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codeName="ThisWorkbook" defaultThemeVersion="124226"/>
  <mc:AlternateContent xmlns:mc="http://schemas.openxmlformats.org/markup-compatibility/2006">
    <mc:Choice Requires="x15">
      <x15ac:absPath xmlns:x15ac="http://schemas.microsoft.com/office/spreadsheetml/2010/11/ac" url="N:\FMS\CCH\CCH Data Input Workbook Templates\2024 Data Input Workbooks\2024 DIW Master Templates\Final\"/>
    </mc:Choice>
  </mc:AlternateContent>
  <xr:revisionPtr revIDLastSave="0" documentId="13_ncr:1_{A9CDCC65-0144-475C-9098-80DB00D5F10E}" xr6:coauthVersionLast="47" xr6:coauthVersionMax="47" xr10:uidLastSave="{00000000-0000-0000-0000-000000000000}"/>
  <bookViews>
    <workbookView xWindow="57480" yWindow="-8370" windowWidth="29040" windowHeight="15840" tabRatio="860" xr2:uid="{00000000-000D-0000-FFFF-FFFF00000000}"/>
  </bookViews>
  <sheets>
    <sheet name="Instructions" sheetId="81" r:id="rId1"/>
    <sheet name="Unit Data from Audit Worksheet" sheetId="1" r:id="rId2"/>
    <sheet name="TD Info Completed by Auditor" sheetId="91" r:id="rId3"/>
    <sheet name="Performance  Indicators Print" sheetId="88" r:id="rId4"/>
    <sheet name="Import" sheetId="28" state="hidden" r:id="rId5"/>
    <sheet name="Performance Indicator FBA%" sheetId="93" r:id="rId6"/>
    <sheet name="RSS" sheetId="99" r:id="rId7"/>
    <sheet name="Electric trans" sheetId="89" r:id="rId8"/>
    <sheet name="Electric Policy Info" sheetId="100" state="hidden" r:id="rId9"/>
    <sheet name="Tax Reval Rate" sheetId="72" state="hidden" r:id="rId10"/>
    <sheet name="PY1 Data(H)" sheetId="82" state="hidden" r:id="rId11"/>
    <sheet name="PY2 Data(H)" sheetId="84" state="hidden" r:id="rId12"/>
    <sheet name="Unit Names(H)" sheetId="29" state="hidden" r:id="rId13"/>
  </sheets>
  <externalReferences>
    <externalReference r:id="rId14"/>
  </externalReferences>
  <definedNames>
    <definedName name="_xlnm._FilterDatabase" localSheetId="9" hidden="1">'Tax Reval Rate'!$A$7:$E$107</definedName>
    <definedName name="Audit_Dtl">[1]Database!$AC$3:$AP$413</definedName>
    <definedName name="errorCount">#REF!</definedName>
    <definedName name="ppp">#REF!</definedName>
    <definedName name="_xlnm.Print_Area" localSheetId="0">Instructions!$B$1:$B$53</definedName>
    <definedName name="_xlnm.Print_Area" localSheetId="3">'Performance  Indicators Print'!$A$1:$H$46</definedName>
    <definedName name="_xlnm.Print_Area" localSheetId="2">'TD Info Completed by Auditor'!$A$1:$D$44</definedName>
    <definedName name="_xlnm.Print_Area" localSheetId="1">'Unit Data from Audit Worksheet'!$A$9:$F$267</definedName>
    <definedName name="Print_Selection_Auditor">#REF!</definedName>
    <definedName name="Print_Selection_Internal" localSheetId="7">#REF!</definedName>
    <definedName name="Print_Selection_Internal" localSheetId="3">#REF!</definedName>
    <definedName name="Print_Selection_Internal" localSheetId="5">#REF!</definedName>
    <definedName name="Print_Selection_Internal">#REF!</definedName>
    <definedName name="_xlnm.Print_Titles" localSheetId="3">'Performance  Indicators Print'!$3:$5</definedName>
    <definedName name="_xlnm.Print_Titles" localSheetId="1">'Unit Data from Audit Worksheet'!$5:$5</definedName>
    <definedName name="showError">#REF!</definedName>
    <definedName name="TD_IMPORT_RANGE" localSheetId="7">#REF!</definedName>
    <definedName name="TD_IMPORT_RANGE" localSheetId="0">#REF!</definedName>
    <definedName name="TD_IMPORT_RANGE" localSheetId="3">#REF!</definedName>
    <definedName name="TD_IMPORT_RANGE" localSheetId="5">#REF!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S276" i="84" l="1"/>
  <c r="BT276" i="84"/>
  <c r="BU276" i="84"/>
  <c r="BV276" i="84"/>
  <c r="BW276" i="84"/>
  <c r="BX276" i="84"/>
  <c r="BY276" i="84"/>
  <c r="BZ276" i="84"/>
  <c r="CA276" i="84"/>
  <c r="CB276" i="84"/>
  <c r="CC276" i="84"/>
  <c r="CD276" i="84"/>
  <c r="CE276" i="84"/>
  <c r="CF276" i="84"/>
  <c r="CG276" i="84"/>
  <c r="CH276" i="84"/>
  <c r="CI276" i="84"/>
  <c r="CJ276" i="84"/>
  <c r="CK276" i="84"/>
  <c r="BS277" i="84"/>
  <c r="BT277" i="84"/>
  <c r="BU277" i="84"/>
  <c r="BV277" i="84"/>
  <c r="BW277" i="84"/>
  <c r="BX277" i="84"/>
  <c r="BY277" i="84"/>
  <c r="BZ277" i="84"/>
  <c r="CA277" i="84"/>
  <c r="CB277" i="84"/>
  <c r="CC277" i="84"/>
  <c r="CD277" i="84"/>
  <c r="CE277" i="84"/>
  <c r="CF277" i="84"/>
  <c r="CG277" i="84"/>
  <c r="CH277" i="84"/>
  <c r="CI277" i="84"/>
  <c r="CJ277" i="84"/>
  <c r="CK277" i="84"/>
  <c r="CG365" i="82"/>
  <c r="CG367" i="82"/>
  <c r="CG357" i="82"/>
  <c r="CG356" i="82"/>
  <c r="CG363" i="82"/>
  <c r="CG361" i="82"/>
  <c r="CG364" i="82"/>
  <c r="CG362" i="82"/>
  <c r="CG360" i="82"/>
  <c r="CG359" i="82"/>
  <c r="CG358" i="82"/>
  <c r="CG355" i="82"/>
  <c r="CG353" i="82"/>
  <c r="CG354" i="82"/>
  <c r="CG352" i="82"/>
  <c r="CG351" i="82"/>
  <c r="CG350" i="82"/>
  <c r="BS278" i="82" l="1"/>
  <c r="BT278" i="82"/>
  <c r="BU278" i="82"/>
  <c r="BV278" i="82"/>
  <c r="BW278" i="82"/>
  <c r="BX278" i="82"/>
  <c r="BY278" i="82"/>
  <c r="BZ278" i="82"/>
  <c r="CA278" i="82"/>
  <c r="CB278" i="82"/>
  <c r="CC278" i="82"/>
  <c r="CD278" i="82"/>
  <c r="CE278" i="82"/>
  <c r="CF278" i="82"/>
  <c r="CG278" i="82"/>
  <c r="CH278" i="82"/>
  <c r="CI278" i="82"/>
  <c r="CJ278" i="82"/>
  <c r="BS279" i="82"/>
  <c r="BT279" i="82"/>
  <c r="BU279" i="82"/>
  <c r="BV279" i="82"/>
  <c r="BW279" i="82"/>
  <c r="BX279" i="82"/>
  <c r="BY279" i="82"/>
  <c r="BZ279" i="82"/>
  <c r="CA279" i="82"/>
  <c r="CB279" i="82"/>
  <c r="CC279" i="82"/>
  <c r="CD279" i="82"/>
  <c r="CE279" i="82"/>
  <c r="CF279" i="82"/>
  <c r="CG279" i="82"/>
  <c r="CH279" i="82"/>
  <c r="CI279" i="82"/>
  <c r="CJ279" i="82"/>
  <c r="BS332" i="82"/>
  <c r="BT332" i="82"/>
  <c r="BU332" i="82"/>
  <c r="BV332" i="82"/>
  <c r="BW332" i="82"/>
  <c r="BW336" i="82" s="1"/>
  <c r="BX332" i="82"/>
  <c r="BY332" i="82"/>
  <c r="BZ332" i="82"/>
  <c r="CA332" i="82"/>
  <c r="CB332" i="82"/>
  <c r="CC332" i="82"/>
  <c r="CD332" i="82"/>
  <c r="CE332" i="82"/>
  <c r="CF332" i="82"/>
  <c r="CG332" i="82"/>
  <c r="CH332" i="82"/>
  <c r="CI332" i="82"/>
  <c r="CJ332" i="82"/>
  <c r="BS333" i="82"/>
  <c r="BT333" i="82"/>
  <c r="BU333" i="82"/>
  <c r="BV333" i="82"/>
  <c r="BW333" i="82"/>
  <c r="BX333" i="82"/>
  <c r="BY333" i="82"/>
  <c r="BZ333" i="82"/>
  <c r="CA333" i="82"/>
  <c r="CB333" i="82"/>
  <c r="CC333" i="82"/>
  <c r="CD333" i="82"/>
  <c r="CE333" i="82"/>
  <c r="CF333" i="82"/>
  <c r="CG333" i="82"/>
  <c r="CH333" i="82"/>
  <c r="CI333" i="82"/>
  <c r="CJ333" i="82"/>
  <c r="BS334" i="82"/>
  <c r="BT334" i="82"/>
  <c r="BU334" i="82"/>
  <c r="BV334" i="82"/>
  <c r="BW334" i="82"/>
  <c r="BX334" i="82"/>
  <c r="BY334" i="82"/>
  <c r="BZ334" i="82"/>
  <c r="CA334" i="82"/>
  <c r="CB334" i="82"/>
  <c r="CC334" i="82"/>
  <c r="CD334" i="82"/>
  <c r="CE334" i="82"/>
  <c r="CF334" i="82"/>
  <c r="CG334" i="82"/>
  <c r="CH334" i="82"/>
  <c r="CI334" i="82"/>
  <c r="CJ334" i="82"/>
  <c r="BW329" i="82"/>
  <c r="BY329" i="82"/>
  <c r="BY336" i="82" s="1"/>
  <c r="CA329" i="82"/>
  <c r="CA336" i="82" s="1"/>
  <c r="CB329" i="82"/>
  <c r="CC329" i="82"/>
  <c r="CC336" i="82" s="1"/>
  <c r="CD329" i="82"/>
  <c r="E9" i="1"/>
  <c r="BS285" i="82"/>
  <c r="BT285" i="82"/>
  <c r="BU285" i="82"/>
  <c r="BU328" i="82" s="1"/>
  <c r="BU329" i="82" s="1"/>
  <c r="BV285" i="82"/>
  <c r="BV328" i="82" s="1"/>
  <c r="BV329" i="82" s="1"/>
  <c r="BW285" i="82"/>
  <c r="BW328" i="82" s="1"/>
  <c r="BX285" i="82"/>
  <c r="BX328" i="82" s="1"/>
  <c r="BX329" i="82" s="1"/>
  <c r="BX336" i="82" s="1"/>
  <c r="BY285" i="82"/>
  <c r="BZ285" i="82"/>
  <c r="CA285" i="82"/>
  <c r="CB285" i="82"/>
  <c r="CC285" i="82"/>
  <c r="CD285" i="82"/>
  <c r="CE285" i="82"/>
  <c r="CF285" i="82"/>
  <c r="CG285" i="82"/>
  <c r="CG328" i="82" s="1"/>
  <c r="CG329" i="82" s="1"/>
  <c r="CH285" i="82"/>
  <c r="CH328" i="82" s="1"/>
  <c r="CH329" i="82" s="1"/>
  <c r="CI285" i="82"/>
  <c r="CI328" i="82" s="1"/>
  <c r="CI329" i="82" s="1"/>
  <c r="CJ285" i="82"/>
  <c r="BS286" i="82"/>
  <c r="BT286" i="82"/>
  <c r="BU286" i="82"/>
  <c r="BV286" i="82"/>
  <c r="BW286" i="82"/>
  <c r="BX286" i="82"/>
  <c r="BY286" i="82"/>
  <c r="BZ286" i="82"/>
  <c r="CA286" i="82"/>
  <c r="CB286" i="82"/>
  <c r="CC286" i="82"/>
  <c r="CD286" i="82"/>
  <c r="CE286" i="82"/>
  <c r="CF286" i="82"/>
  <c r="CG286" i="82"/>
  <c r="CH286" i="82"/>
  <c r="CI286" i="82"/>
  <c r="CJ286" i="82"/>
  <c r="BS287" i="82"/>
  <c r="BT287" i="82"/>
  <c r="BU287" i="82"/>
  <c r="BV287" i="82"/>
  <c r="BW287" i="82"/>
  <c r="BX287" i="82"/>
  <c r="BY287" i="82"/>
  <c r="BZ287" i="82"/>
  <c r="CA287" i="82"/>
  <c r="CB287" i="82"/>
  <c r="CC287" i="82"/>
  <c r="CD287" i="82"/>
  <c r="CE287" i="82"/>
  <c r="CF287" i="82"/>
  <c r="CG287" i="82"/>
  <c r="CH287" i="82"/>
  <c r="CI287" i="82"/>
  <c r="CJ287" i="82"/>
  <c r="BS288" i="82"/>
  <c r="BT288" i="82"/>
  <c r="BU288" i="82"/>
  <c r="BV288" i="82"/>
  <c r="BW288" i="82"/>
  <c r="BX288" i="82"/>
  <c r="BY288" i="82"/>
  <c r="BZ288" i="82"/>
  <c r="CA288" i="82"/>
  <c r="CB288" i="82"/>
  <c r="CC288" i="82"/>
  <c r="CD288" i="82"/>
  <c r="CE288" i="82"/>
  <c r="CF288" i="82"/>
  <c r="CG288" i="82"/>
  <c r="CH288" i="82"/>
  <c r="CI288" i="82"/>
  <c r="CJ288" i="82"/>
  <c r="BS289" i="82"/>
  <c r="BT289" i="82"/>
  <c r="BU289" i="82"/>
  <c r="BV289" i="82"/>
  <c r="BW289" i="82"/>
  <c r="BX289" i="82"/>
  <c r="BY289" i="82"/>
  <c r="BZ289" i="82"/>
  <c r="CA289" i="82"/>
  <c r="CB289" i="82"/>
  <c r="CC289" i="82"/>
  <c r="CD289" i="82"/>
  <c r="CE289" i="82"/>
  <c r="CF289" i="82"/>
  <c r="CG289" i="82"/>
  <c r="CH289" i="82"/>
  <c r="CI289" i="82"/>
  <c r="CJ289" i="82"/>
  <c r="BS290" i="82"/>
  <c r="BT290" i="82"/>
  <c r="BU290" i="82"/>
  <c r="BV290" i="82"/>
  <c r="BW290" i="82"/>
  <c r="BX290" i="82"/>
  <c r="BY290" i="82"/>
  <c r="BZ290" i="82"/>
  <c r="CA290" i="82"/>
  <c r="CB290" i="82"/>
  <c r="CC290" i="82"/>
  <c r="CD290" i="82"/>
  <c r="CE290" i="82"/>
  <c r="CF290" i="82"/>
  <c r="CG290" i="82"/>
  <c r="CH290" i="82"/>
  <c r="CI290" i="82"/>
  <c r="CJ290" i="82"/>
  <c r="BS291" i="82"/>
  <c r="BT291" i="82"/>
  <c r="BU291" i="82"/>
  <c r="BV291" i="82"/>
  <c r="BW291" i="82"/>
  <c r="BX291" i="82"/>
  <c r="BY291" i="82"/>
  <c r="BZ291" i="82"/>
  <c r="CA291" i="82"/>
  <c r="CB291" i="82"/>
  <c r="CC291" i="82"/>
  <c r="CD291" i="82"/>
  <c r="CE291" i="82"/>
  <c r="CF291" i="82"/>
  <c r="CG291" i="82"/>
  <c r="CH291" i="82"/>
  <c r="CI291" i="82"/>
  <c r="CJ291" i="82"/>
  <c r="BS292" i="82"/>
  <c r="BT292" i="82"/>
  <c r="BU292" i="82"/>
  <c r="BV292" i="82"/>
  <c r="BW292" i="82"/>
  <c r="BX292" i="82"/>
  <c r="BY292" i="82"/>
  <c r="BZ292" i="82"/>
  <c r="CA292" i="82"/>
  <c r="CB292" i="82"/>
  <c r="CC292" i="82"/>
  <c r="CD292" i="82"/>
  <c r="CE292" i="82"/>
  <c r="CF292" i="82"/>
  <c r="CG292" i="82"/>
  <c r="CH292" i="82"/>
  <c r="CI292" i="82"/>
  <c r="CJ292" i="82"/>
  <c r="BS293" i="82"/>
  <c r="BT293" i="82"/>
  <c r="BU293" i="82"/>
  <c r="BV293" i="82"/>
  <c r="BW293" i="82"/>
  <c r="BX293" i="82"/>
  <c r="BY293" i="82"/>
  <c r="BZ293" i="82"/>
  <c r="CA293" i="82"/>
  <c r="CB293" i="82"/>
  <c r="CC293" i="82"/>
  <c r="CD293" i="82"/>
  <c r="CE293" i="82"/>
  <c r="CF293" i="82"/>
  <c r="CG293" i="82"/>
  <c r="CH293" i="82"/>
  <c r="CI293" i="82"/>
  <c r="CJ293" i="82"/>
  <c r="BS294" i="82"/>
  <c r="BT294" i="82"/>
  <c r="BU294" i="82"/>
  <c r="BV294" i="82"/>
  <c r="BW294" i="82"/>
  <c r="BX294" i="82"/>
  <c r="BY294" i="82"/>
  <c r="BZ294" i="82"/>
  <c r="CA294" i="82"/>
  <c r="CB294" i="82"/>
  <c r="CC294" i="82"/>
  <c r="CD294" i="82"/>
  <c r="CE294" i="82"/>
  <c r="CF294" i="82"/>
  <c r="CG294" i="82"/>
  <c r="CH294" i="82"/>
  <c r="CI294" i="82"/>
  <c r="CJ294" i="82"/>
  <c r="BS295" i="82"/>
  <c r="BT295" i="82"/>
  <c r="BU295" i="82"/>
  <c r="BV295" i="82"/>
  <c r="BW295" i="82"/>
  <c r="BX295" i="82"/>
  <c r="BY295" i="82"/>
  <c r="BZ295" i="82"/>
  <c r="CA295" i="82"/>
  <c r="CB295" i="82"/>
  <c r="CC295" i="82"/>
  <c r="CD295" i="82"/>
  <c r="CE295" i="82"/>
  <c r="CF295" i="82"/>
  <c r="CG295" i="82"/>
  <c r="CH295" i="82"/>
  <c r="CI295" i="82"/>
  <c r="CJ295" i="82"/>
  <c r="BS296" i="82"/>
  <c r="BT296" i="82"/>
  <c r="BU296" i="82"/>
  <c r="BV296" i="82"/>
  <c r="BW296" i="82"/>
  <c r="BX296" i="82"/>
  <c r="BY296" i="82"/>
  <c r="BZ296" i="82"/>
  <c r="CA296" i="82"/>
  <c r="CB296" i="82"/>
  <c r="CC296" i="82"/>
  <c r="CD296" i="82"/>
  <c r="CE296" i="82"/>
  <c r="CF296" i="82"/>
  <c r="CG296" i="82"/>
  <c r="CH296" i="82"/>
  <c r="CI296" i="82"/>
  <c r="CJ296" i="82"/>
  <c r="BS297" i="82"/>
  <c r="BT297" i="82"/>
  <c r="BU297" i="82"/>
  <c r="BV297" i="82"/>
  <c r="BW297" i="82"/>
  <c r="BX297" i="82"/>
  <c r="BY297" i="82"/>
  <c r="BZ297" i="82"/>
  <c r="CA297" i="82"/>
  <c r="CB297" i="82"/>
  <c r="CC297" i="82"/>
  <c r="CD297" i="82"/>
  <c r="CE297" i="82"/>
  <c r="CF297" i="82"/>
  <c r="CG297" i="82"/>
  <c r="CH297" i="82"/>
  <c r="CI297" i="82"/>
  <c r="CJ297" i="82"/>
  <c r="BS298" i="82"/>
  <c r="BT298" i="82"/>
  <c r="BU298" i="82"/>
  <c r="BV298" i="82"/>
  <c r="BW298" i="82"/>
  <c r="BX298" i="82"/>
  <c r="BY298" i="82"/>
  <c r="BZ298" i="82"/>
  <c r="CA298" i="82"/>
  <c r="CB298" i="82"/>
  <c r="CC298" i="82"/>
  <c r="CD298" i="82"/>
  <c r="CE298" i="82"/>
  <c r="CF298" i="82"/>
  <c r="CG298" i="82"/>
  <c r="CH298" i="82"/>
  <c r="CI298" i="82"/>
  <c r="CJ298" i="82"/>
  <c r="BS299" i="82"/>
  <c r="BT299" i="82"/>
  <c r="BU299" i="82"/>
  <c r="BV299" i="82"/>
  <c r="BW299" i="82"/>
  <c r="BX299" i="82"/>
  <c r="BY299" i="82"/>
  <c r="BZ299" i="82"/>
  <c r="CA299" i="82"/>
  <c r="CB299" i="82"/>
  <c r="CC299" i="82"/>
  <c r="CD299" i="82"/>
  <c r="CE299" i="82"/>
  <c r="CF299" i="82"/>
  <c r="CG299" i="82"/>
  <c r="CH299" i="82"/>
  <c r="CI299" i="82"/>
  <c r="CJ299" i="82"/>
  <c r="BS300" i="82"/>
  <c r="BT300" i="82"/>
  <c r="BU300" i="82"/>
  <c r="BV300" i="82"/>
  <c r="BW300" i="82"/>
  <c r="BX300" i="82"/>
  <c r="BY300" i="82"/>
  <c r="BZ300" i="82"/>
  <c r="CA300" i="82"/>
  <c r="CB300" i="82"/>
  <c r="CC300" i="82"/>
  <c r="CD300" i="82"/>
  <c r="CE300" i="82"/>
  <c r="CF300" i="82"/>
  <c r="CG300" i="82"/>
  <c r="CH300" i="82"/>
  <c r="CI300" i="82"/>
  <c r="CJ300" i="82"/>
  <c r="BS301" i="82"/>
  <c r="BT301" i="82"/>
  <c r="BU301" i="82"/>
  <c r="BV301" i="82"/>
  <c r="BW301" i="82"/>
  <c r="BX301" i="82"/>
  <c r="BY301" i="82"/>
  <c r="BZ301" i="82"/>
  <c r="CA301" i="82"/>
  <c r="CB301" i="82"/>
  <c r="CC301" i="82"/>
  <c r="CD301" i="82"/>
  <c r="CE301" i="82"/>
  <c r="CF301" i="82"/>
  <c r="CG301" i="82"/>
  <c r="CH301" i="82"/>
  <c r="CI301" i="82"/>
  <c r="CJ301" i="82"/>
  <c r="BS302" i="82"/>
  <c r="BT302" i="82"/>
  <c r="BU302" i="82"/>
  <c r="BV302" i="82"/>
  <c r="BW302" i="82"/>
  <c r="BX302" i="82"/>
  <c r="BY302" i="82"/>
  <c r="BZ302" i="82"/>
  <c r="CA302" i="82"/>
  <c r="CB302" i="82"/>
  <c r="CC302" i="82"/>
  <c r="CD302" i="82"/>
  <c r="CE302" i="82"/>
  <c r="CF302" i="82"/>
  <c r="CG302" i="82"/>
  <c r="CH302" i="82"/>
  <c r="CI302" i="82"/>
  <c r="CJ302" i="82"/>
  <c r="BS303" i="82"/>
  <c r="BT303" i="82"/>
  <c r="BU303" i="82"/>
  <c r="BV303" i="82"/>
  <c r="BW303" i="82"/>
  <c r="BX303" i="82"/>
  <c r="BY303" i="82"/>
  <c r="BZ303" i="82"/>
  <c r="CA303" i="82"/>
  <c r="CB303" i="82"/>
  <c r="CC303" i="82"/>
  <c r="CD303" i="82"/>
  <c r="CE303" i="82"/>
  <c r="CF303" i="82"/>
  <c r="CG303" i="82"/>
  <c r="CH303" i="82"/>
  <c r="CI303" i="82"/>
  <c r="CJ303" i="82"/>
  <c r="BS304" i="82"/>
  <c r="BT304" i="82"/>
  <c r="BU304" i="82"/>
  <c r="BV304" i="82"/>
  <c r="BW304" i="82"/>
  <c r="BX304" i="82"/>
  <c r="BY304" i="82"/>
  <c r="BZ304" i="82"/>
  <c r="CA304" i="82"/>
  <c r="CB304" i="82"/>
  <c r="CC304" i="82"/>
  <c r="CD304" i="82"/>
  <c r="CE304" i="82"/>
  <c r="CF304" i="82"/>
  <c r="CG304" i="82"/>
  <c r="CH304" i="82"/>
  <c r="CI304" i="82"/>
  <c r="CJ304" i="82"/>
  <c r="BS305" i="82"/>
  <c r="BT305" i="82"/>
  <c r="BU305" i="82"/>
  <c r="BV305" i="82"/>
  <c r="BW305" i="82"/>
  <c r="BX305" i="82"/>
  <c r="BY305" i="82"/>
  <c r="BZ305" i="82"/>
  <c r="CA305" i="82"/>
  <c r="CB305" i="82"/>
  <c r="CC305" i="82"/>
  <c r="CD305" i="82"/>
  <c r="CE305" i="82"/>
  <c r="CF305" i="82"/>
  <c r="CG305" i="82"/>
  <c r="CH305" i="82"/>
  <c r="CI305" i="82"/>
  <c r="CJ305" i="82"/>
  <c r="BS306" i="82"/>
  <c r="BT306" i="82"/>
  <c r="BU306" i="82"/>
  <c r="BV306" i="82"/>
  <c r="BW306" i="82"/>
  <c r="BX306" i="82"/>
  <c r="BY306" i="82"/>
  <c r="BZ306" i="82"/>
  <c r="CA306" i="82"/>
  <c r="CB306" i="82"/>
  <c r="CC306" i="82"/>
  <c r="CD306" i="82"/>
  <c r="CE306" i="82"/>
  <c r="CF306" i="82"/>
  <c r="CG306" i="82"/>
  <c r="CH306" i="82"/>
  <c r="CI306" i="82"/>
  <c r="CJ306" i="82"/>
  <c r="BS307" i="82"/>
  <c r="BT307" i="82"/>
  <c r="BU307" i="82"/>
  <c r="BV307" i="82"/>
  <c r="BW307" i="82"/>
  <c r="BX307" i="82"/>
  <c r="BY307" i="82"/>
  <c r="BZ307" i="82"/>
  <c r="CA307" i="82"/>
  <c r="CB307" i="82"/>
  <c r="CC307" i="82"/>
  <c r="CD307" i="82"/>
  <c r="CE307" i="82"/>
  <c r="CF307" i="82"/>
  <c r="CG307" i="82"/>
  <c r="CH307" i="82"/>
  <c r="CI307" i="82"/>
  <c r="CJ307" i="82"/>
  <c r="BS308" i="82"/>
  <c r="BT308" i="82"/>
  <c r="BU308" i="82"/>
  <c r="BV308" i="82"/>
  <c r="BW308" i="82"/>
  <c r="BX308" i="82"/>
  <c r="BY308" i="82"/>
  <c r="BZ308" i="82"/>
  <c r="CA308" i="82"/>
  <c r="CB308" i="82"/>
  <c r="CC308" i="82"/>
  <c r="CD308" i="82"/>
  <c r="CE308" i="82"/>
  <c r="CF308" i="82"/>
  <c r="CG308" i="82"/>
  <c r="CH308" i="82"/>
  <c r="CI308" i="82"/>
  <c r="CJ308" i="82"/>
  <c r="BS309" i="82"/>
  <c r="BT309" i="82"/>
  <c r="BU309" i="82"/>
  <c r="BV309" i="82"/>
  <c r="BW309" i="82"/>
  <c r="BX309" i="82"/>
  <c r="BY309" i="82"/>
  <c r="BZ309" i="82"/>
  <c r="CA309" i="82"/>
  <c r="CB309" i="82"/>
  <c r="CC309" i="82"/>
  <c r="CD309" i="82"/>
  <c r="CE309" i="82"/>
  <c r="CF309" i="82"/>
  <c r="CG309" i="82"/>
  <c r="CH309" i="82"/>
  <c r="CI309" i="82"/>
  <c r="CJ309" i="82"/>
  <c r="BS310" i="82"/>
  <c r="BT310" i="82"/>
  <c r="BU310" i="82"/>
  <c r="BV310" i="82"/>
  <c r="BW310" i="82"/>
  <c r="BX310" i="82"/>
  <c r="BY310" i="82"/>
  <c r="BZ310" i="82"/>
  <c r="CA310" i="82"/>
  <c r="CB310" i="82"/>
  <c r="CC310" i="82"/>
  <c r="CD310" i="82"/>
  <c r="CE310" i="82"/>
  <c r="CF310" i="82"/>
  <c r="CG310" i="82"/>
  <c r="CH310" i="82"/>
  <c r="CI310" i="82"/>
  <c r="CJ310" i="82"/>
  <c r="BS311" i="82"/>
  <c r="BT311" i="82"/>
  <c r="BU311" i="82"/>
  <c r="BV311" i="82"/>
  <c r="BW311" i="82"/>
  <c r="BX311" i="82"/>
  <c r="BY311" i="82"/>
  <c r="BZ311" i="82"/>
  <c r="CA311" i="82"/>
  <c r="CB311" i="82"/>
  <c r="CC311" i="82"/>
  <c r="CD311" i="82"/>
  <c r="CE311" i="82"/>
  <c r="CF311" i="82"/>
  <c r="CG311" i="82"/>
  <c r="CH311" i="82"/>
  <c r="CI311" i="82"/>
  <c r="CJ311" i="82"/>
  <c r="BS312" i="82"/>
  <c r="BT312" i="82"/>
  <c r="BU312" i="82"/>
  <c r="BV312" i="82"/>
  <c r="BW312" i="82"/>
  <c r="BX312" i="82"/>
  <c r="BY312" i="82"/>
  <c r="BZ312" i="82"/>
  <c r="CA312" i="82"/>
  <c r="CB312" i="82"/>
  <c r="CC312" i="82"/>
  <c r="CD312" i="82"/>
  <c r="CE312" i="82"/>
  <c r="CF312" i="82"/>
  <c r="CG312" i="82"/>
  <c r="CH312" i="82"/>
  <c r="CI312" i="82"/>
  <c r="CJ312" i="82"/>
  <c r="BS313" i="82"/>
  <c r="BT313" i="82"/>
  <c r="BU313" i="82"/>
  <c r="BV313" i="82"/>
  <c r="BW313" i="82"/>
  <c r="BX313" i="82"/>
  <c r="BY313" i="82"/>
  <c r="BZ313" i="82"/>
  <c r="CA313" i="82"/>
  <c r="CB313" i="82"/>
  <c r="CC313" i="82"/>
  <c r="CD313" i="82"/>
  <c r="CE313" i="82"/>
  <c r="CF313" i="82"/>
  <c r="CG313" i="82"/>
  <c r="CH313" i="82"/>
  <c r="CI313" i="82"/>
  <c r="CJ313" i="82"/>
  <c r="BS314" i="82"/>
  <c r="BT314" i="82"/>
  <c r="BU314" i="82"/>
  <c r="BV314" i="82"/>
  <c r="BW314" i="82"/>
  <c r="BX314" i="82"/>
  <c r="BY314" i="82"/>
  <c r="BZ314" i="82"/>
  <c r="CA314" i="82"/>
  <c r="CB314" i="82"/>
  <c r="CC314" i="82"/>
  <c r="CD314" i="82"/>
  <c r="CE314" i="82"/>
  <c r="CF314" i="82"/>
  <c r="CG314" i="82"/>
  <c r="CH314" i="82"/>
  <c r="CI314" i="82"/>
  <c r="CJ314" i="82"/>
  <c r="BS315" i="82"/>
  <c r="BT315" i="82"/>
  <c r="BU315" i="82"/>
  <c r="BV315" i="82"/>
  <c r="BW315" i="82"/>
  <c r="BX315" i="82"/>
  <c r="BY315" i="82"/>
  <c r="BZ315" i="82"/>
  <c r="CA315" i="82"/>
  <c r="CB315" i="82"/>
  <c r="CC315" i="82"/>
  <c r="CD315" i="82"/>
  <c r="CE315" i="82"/>
  <c r="CF315" i="82"/>
  <c r="CG315" i="82"/>
  <c r="CH315" i="82"/>
  <c r="CI315" i="82"/>
  <c r="CJ315" i="82"/>
  <c r="BS316" i="82"/>
  <c r="BT316" i="82"/>
  <c r="BU316" i="82"/>
  <c r="BV316" i="82"/>
  <c r="BW316" i="82"/>
  <c r="BX316" i="82"/>
  <c r="BY316" i="82"/>
  <c r="BZ316" i="82"/>
  <c r="CA316" i="82"/>
  <c r="CB316" i="82"/>
  <c r="CC316" i="82"/>
  <c r="CD316" i="82"/>
  <c r="CE316" i="82"/>
  <c r="CF316" i="82"/>
  <c r="CG316" i="82"/>
  <c r="CH316" i="82"/>
  <c r="CI316" i="82"/>
  <c r="CJ316" i="82"/>
  <c r="BS317" i="82"/>
  <c r="BT317" i="82"/>
  <c r="BU317" i="82"/>
  <c r="BV317" i="82"/>
  <c r="BW317" i="82"/>
  <c r="BX317" i="82"/>
  <c r="BY317" i="82"/>
  <c r="BZ317" i="82"/>
  <c r="BZ328" i="82" s="1"/>
  <c r="BZ329" i="82" s="1"/>
  <c r="BZ336" i="82" s="1"/>
  <c r="CA317" i="82"/>
  <c r="CB317" i="82"/>
  <c r="CC317" i="82"/>
  <c r="CD317" i="82"/>
  <c r="CE317" i="82"/>
  <c r="CF317" i="82"/>
  <c r="CG317" i="82"/>
  <c r="CH317" i="82"/>
  <c r="CI317" i="82"/>
  <c r="CJ317" i="82"/>
  <c r="BS318" i="82"/>
  <c r="BT318" i="82"/>
  <c r="BU318" i="82"/>
  <c r="BV318" i="82"/>
  <c r="BW318" i="82"/>
  <c r="BX318" i="82"/>
  <c r="BY318" i="82"/>
  <c r="BZ318" i="82"/>
  <c r="CA318" i="82"/>
  <c r="CB318" i="82"/>
  <c r="CC318" i="82"/>
  <c r="CD318" i="82"/>
  <c r="CE318" i="82"/>
  <c r="CF318" i="82"/>
  <c r="CG318" i="82"/>
  <c r="CH318" i="82"/>
  <c r="CI318" i="82"/>
  <c r="CJ318" i="82"/>
  <c r="BS319" i="82"/>
  <c r="BT319" i="82"/>
  <c r="BU319" i="82"/>
  <c r="BV319" i="82"/>
  <c r="BW319" i="82"/>
  <c r="BX319" i="82"/>
  <c r="BY319" i="82"/>
  <c r="BZ319" i="82"/>
  <c r="CA319" i="82"/>
  <c r="CB319" i="82"/>
  <c r="CC319" i="82"/>
  <c r="CD319" i="82"/>
  <c r="CE319" i="82"/>
  <c r="CF319" i="82"/>
  <c r="CG319" i="82"/>
  <c r="CH319" i="82"/>
  <c r="CI319" i="82"/>
  <c r="CJ319" i="82"/>
  <c r="BS320" i="82"/>
  <c r="BT320" i="82"/>
  <c r="BU320" i="82"/>
  <c r="BV320" i="82"/>
  <c r="BW320" i="82"/>
  <c r="BX320" i="82"/>
  <c r="BY320" i="82"/>
  <c r="BZ320" i="82"/>
  <c r="CA320" i="82"/>
  <c r="CB320" i="82"/>
  <c r="CC320" i="82"/>
  <c r="CD320" i="82"/>
  <c r="CE320" i="82"/>
  <c r="CF320" i="82"/>
  <c r="CG320" i="82"/>
  <c r="CH320" i="82"/>
  <c r="CI320" i="82"/>
  <c r="CJ320" i="82"/>
  <c r="BS321" i="82"/>
  <c r="BT321" i="82"/>
  <c r="BU321" i="82"/>
  <c r="BV321" i="82"/>
  <c r="BW321" i="82"/>
  <c r="BX321" i="82"/>
  <c r="BY321" i="82"/>
  <c r="BZ321" i="82"/>
  <c r="CA321" i="82"/>
  <c r="CB321" i="82"/>
  <c r="CC321" i="82"/>
  <c r="CD321" i="82"/>
  <c r="CE321" i="82"/>
  <c r="CF321" i="82"/>
  <c r="CG321" i="82"/>
  <c r="CH321" i="82"/>
  <c r="CI321" i="82"/>
  <c r="CJ321" i="82"/>
  <c r="BS322" i="82"/>
  <c r="BT322" i="82"/>
  <c r="BU322" i="82"/>
  <c r="BV322" i="82"/>
  <c r="BW322" i="82"/>
  <c r="BX322" i="82"/>
  <c r="BY322" i="82"/>
  <c r="BZ322" i="82"/>
  <c r="CA322" i="82"/>
  <c r="CB322" i="82"/>
  <c r="CC322" i="82"/>
  <c r="CD322" i="82"/>
  <c r="CE322" i="82"/>
  <c r="CF322" i="82"/>
  <c r="CG322" i="82"/>
  <c r="CH322" i="82"/>
  <c r="CI322" i="82"/>
  <c r="CJ322" i="82"/>
  <c r="BS323" i="82"/>
  <c r="BT323" i="82"/>
  <c r="BU323" i="82"/>
  <c r="BV323" i="82"/>
  <c r="BW323" i="82"/>
  <c r="BX323" i="82"/>
  <c r="BY323" i="82"/>
  <c r="BZ323" i="82"/>
  <c r="CA323" i="82"/>
  <c r="CB323" i="82"/>
  <c r="CC323" i="82"/>
  <c r="CD323" i="82"/>
  <c r="CE323" i="82"/>
  <c r="CF323" i="82"/>
  <c r="CG323" i="82"/>
  <c r="CH323" i="82"/>
  <c r="CI323" i="82"/>
  <c r="CJ323" i="82"/>
  <c r="BS324" i="82"/>
  <c r="BT324" i="82"/>
  <c r="BU324" i="82"/>
  <c r="BV324" i="82"/>
  <c r="BW324" i="82"/>
  <c r="BX324" i="82"/>
  <c r="BY324" i="82"/>
  <c r="BZ324" i="82"/>
  <c r="CA324" i="82"/>
  <c r="CB324" i="82"/>
  <c r="CC324" i="82"/>
  <c r="CD324" i="82"/>
  <c r="CE324" i="82"/>
  <c r="CF324" i="82"/>
  <c r="CG324" i="82"/>
  <c r="CH324" i="82"/>
  <c r="CI324" i="82"/>
  <c r="CJ324" i="82"/>
  <c r="BS325" i="82"/>
  <c r="BT325" i="82"/>
  <c r="BU325" i="82"/>
  <c r="BV325" i="82"/>
  <c r="BW325" i="82"/>
  <c r="BX325" i="82"/>
  <c r="BY325" i="82"/>
  <c r="BZ325" i="82"/>
  <c r="CA325" i="82"/>
  <c r="CB325" i="82"/>
  <c r="CC325" i="82"/>
  <c r="CD325" i="82"/>
  <c r="CE325" i="82"/>
  <c r="CF325" i="82"/>
  <c r="CG325" i="82"/>
  <c r="CH325" i="82"/>
  <c r="CI325" i="82"/>
  <c r="CJ325" i="82"/>
  <c r="BS326" i="82"/>
  <c r="BT326" i="82"/>
  <c r="BU326" i="82"/>
  <c r="BV326" i="82"/>
  <c r="BW326" i="82"/>
  <c r="BX326" i="82"/>
  <c r="BY326" i="82"/>
  <c r="BZ326" i="82"/>
  <c r="CA326" i="82"/>
  <c r="CB326" i="82"/>
  <c r="CC326" i="82"/>
  <c r="CD326" i="82"/>
  <c r="CE326" i="82"/>
  <c r="CF326" i="82"/>
  <c r="CG326" i="82"/>
  <c r="CH326" i="82"/>
  <c r="CI326" i="82"/>
  <c r="CJ326" i="82"/>
  <c r="BS327" i="82"/>
  <c r="BS328" i="82" s="1"/>
  <c r="BS329" i="82" s="1"/>
  <c r="BS336" i="82" s="1"/>
  <c r="BT327" i="82"/>
  <c r="BU327" i="82"/>
  <c r="BV327" i="82"/>
  <c r="BW327" i="82"/>
  <c r="BX327" i="82"/>
  <c r="BY327" i="82"/>
  <c r="BZ327" i="82"/>
  <c r="CA327" i="82"/>
  <c r="CB327" i="82"/>
  <c r="CC327" i="82"/>
  <c r="CD327" i="82"/>
  <c r="CE327" i="82"/>
  <c r="CF327" i="82"/>
  <c r="CG327" i="82"/>
  <c r="CH327" i="82"/>
  <c r="CI327" i="82"/>
  <c r="CJ327" i="82"/>
  <c r="BT328" i="82"/>
  <c r="BT329" i="82" s="1"/>
  <c r="BT336" i="82" s="1"/>
  <c r="BY328" i="82"/>
  <c r="CA328" i="82"/>
  <c r="CB328" i="82"/>
  <c r="CC328" i="82"/>
  <c r="CD328" i="82"/>
  <c r="CE328" i="82"/>
  <c r="CE329" i="82" s="1"/>
  <c r="CE336" i="82" s="1"/>
  <c r="CF328" i="82"/>
  <c r="CF329" i="82" s="1"/>
  <c r="CF336" i="82" s="1"/>
  <c r="CJ328" i="82"/>
  <c r="CJ329" i="82" s="1"/>
  <c r="CJ336" i="82" s="1"/>
  <c r="E345" i="82"/>
  <c r="F345" i="82"/>
  <c r="G345" i="82"/>
  <c r="H345" i="82"/>
  <c r="I345" i="82"/>
  <c r="J345" i="82"/>
  <c r="K345" i="82"/>
  <c r="L345" i="82"/>
  <c r="M345" i="82"/>
  <c r="N345" i="82"/>
  <c r="O345" i="82"/>
  <c r="P345" i="82"/>
  <c r="Q345" i="82"/>
  <c r="R345" i="82"/>
  <c r="S345" i="82"/>
  <c r="T345" i="82"/>
  <c r="U345" i="82"/>
  <c r="V345" i="82"/>
  <c r="W345" i="82"/>
  <c r="X345" i="82"/>
  <c r="Y345" i="82"/>
  <c r="Z345" i="82"/>
  <c r="AA345" i="82"/>
  <c r="AB345" i="82"/>
  <c r="AC345" i="82"/>
  <c r="AD345" i="82"/>
  <c r="AE345" i="82"/>
  <c r="AF345" i="82"/>
  <c r="AG345" i="82"/>
  <c r="AH345" i="82"/>
  <c r="AI345" i="82"/>
  <c r="AJ345" i="82"/>
  <c r="AK345" i="82"/>
  <c r="AL345" i="82"/>
  <c r="AM345" i="82"/>
  <c r="AN345" i="82"/>
  <c r="AO345" i="82"/>
  <c r="AP345" i="82"/>
  <c r="AQ345" i="82"/>
  <c r="AR345" i="82"/>
  <c r="AS345" i="82"/>
  <c r="AT345" i="82"/>
  <c r="AU345" i="82"/>
  <c r="AV345" i="82"/>
  <c r="AW345" i="82"/>
  <c r="AX345" i="82"/>
  <c r="AY345" i="82"/>
  <c r="AZ345" i="82"/>
  <c r="BA345" i="82"/>
  <c r="BB345" i="82"/>
  <c r="BC345" i="82"/>
  <c r="BD345" i="82"/>
  <c r="BE345" i="82"/>
  <c r="BF345" i="82"/>
  <c r="BG345" i="82"/>
  <c r="BH345" i="82"/>
  <c r="BI345" i="82"/>
  <c r="BJ345" i="82"/>
  <c r="BK345" i="82"/>
  <c r="BL345" i="82"/>
  <c r="BM345" i="82"/>
  <c r="BN345" i="82"/>
  <c r="BO345" i="82"/>
  <c r="BP345" i="82"/>
  <c r="BQ345" i="82"/>
  <c r="BR345" i="82"/>
  <c r="BS345" i="82"/>
  <c r="BT345" i="82"/>
  <c r="BU345" i="82"/>
  <c r="BV345" i="82"/>
  <c r="BW345" i="82"/>
  <c r="BX345" i="82"/>
  <c r="BY345" i="82"/>
  <c r="BZ345" i="82"/>
  <c r="CA345" i="82"/>
  <c r="CB345" i="82"/>
  <c r="CC345" i="82"/>
  <c r="CD345" i="82"/>
  <c r="CE345" i="82"/>
  <c r="CF345" i="82"/>
  <c r="CG345" i="82"/>
  <c r="CH345" i="82"/>
  <c r="CI345" i="82"/>
  <c r="CJ345" i="82"/>
  <c r="D345" i="82"/>
  <c r="E282" i="84"/>
  <c r="F282" i="84"/>
  <c r="G282" i="84"/>
  <c r="H282" i="84"/>
  <c r="I282" i="84"/>
  <c r="J282" i="84"/>
  <c r="K282" i="84"/>
  <c r="L282" i="84"/>
  <c r="M282" i="84"/>
  <c r="N282" i="84"/>
  <c r="O282" i="84"/>
  <c r="P282" i="84"/>
  <c r="Q282" i="84"/>
  <c r="R282" i="84"/>
  <c r="S282" i="84"/>
  <c r="T282" i="84"/>
  <c r="U282" i="84"/>
  <c r="V282" i="84"/>
  <c r="W282" i="84"/>
  <c r="X282" i="84"/>
  <c r="Y282" i="84"/>
  <c r="Z282" i="84"/>
  <c r="AA282" i="84"/>
  <c r="AB282" i="84"/>
  <c r="AC282" i="84"/>
  <c r="AD282" i="84"/>
  <c r="AE282" i="84"/>
  <c r="AF282" i="84"/>
  <c r="AG282" i="84"/>
  <c r="AH282" i="84"/>
  <c r="AI282" i="84"/>
  <c r="AJ282" i="84"/>
  <c r="AK282" i="84"/>
  <c r="AL282" i="84"/>
  <c r="AM282" i="84"/>
  <c r="AN282" i="84"/>
  <c r="AO282" i="84"/>
  <c r="AP282" i="84"/>
  <c r="AQ282" i="84"/>
  <c r="AR282" i="84"/>
  <c r="AS282" i="84"/>
  <c r="AT282" i="84"/>
  <c r="AU282" i="84"/>
  <c r="AV282" i="84"/>
  <c r="AW282" i="84"/>
  <c r="AX282" i="84"/>
  <c r="AY282" i="84"/>
  <c r="AZ282" i="84"/>
  <c r="BA282" i="84"/>
  <c r="BB282" i="84"/>
  <c r="BC282" i="84"/>
  <c r="BD282" i="84"/>
  <c r="BE282" i="84"/>
  <c r="BF282" i="84"/>
  <c r="BG282" i="84"/>
  <c r="BH282" i="84"/>
  <c r="BI282" i="84"/>
  <c r="BJ282" i="84"/>
  <c r="BK282" i="84"/>
  <c r="BL282" i="84"/>
  <c r="BM282" i="84"/>
  <c r="BN282" i="84"/>
  <c r="BO282" i="84"/>
  <c r="BP282" i="84"/>
  <c r="BQ282" i="84"/>
  <c r="BR282" i="84"/>
  <c r="BS282" i="84"/>
  <c r="BT282" i="84"/>
  <c r="BU282" i="84"/>
  <c r="BV282" i="84"/>
  <c r="BW282" i="84"/>
  <c r="BX282" i="84"/>
  <c r="BY282" i="84"/>
  <c r="BZ282" i="84"/>
  <c r="CA282" i="84"/>
  <c r="CB282" i="84"/>
  <c r="CC282" i="84"/>
  <c r="CD282" i="84"/>
  <c r="CE282" i="84"/>
  <c r="CF282" i="84"/>
  <c r="CG282" i="84"/>
  <c r="CH282" i="84"/>
  <c r="CI282" i="84"/>
  <c r="CJ282" i="84"/>
  <c r="CK282" i="84"/>
  <c r="D282" i="84"/>
  <c r="L239" i="28"/>
  <c r="L240" i="28"/>
  <c r="G86" i="1"/>
  <c r="E278" i="82"/>
  <c r="F278" i="82"/>
  <c r="G278" i="82"/>
  <c r="H278" i="82"/>
  <c r="I278" i="82"/>
  <c r="J278" i="82"/>
  <c r="K278" i="82"/>
  <c r="L278" i="82"/>
  <c r="M278" i="82"/>
  <c r="N278" i="82"/>
  <c r="O278" i="82"/>
  <c r="P278" i="82"/>
  <c r="Q278" i="82"/>
  <c r="R278" i="82"/>
  <c r="S278" i="82"/>
  <c r="T278" i="82"/>
  <c r="U278" i="82"/>
  <c r="V278" i="82"/>
  <c r="W278" i="82"/>
  <c r="X278" i="82"/>
  <c r="Y278" i="82"/>
  <c r="Z278" i="82"/>
  <c r="AA278" i="82"/>
  <c r="AB278" i="82"/>
  <c r="AC278" i="82"/>
  <c r="AD278" i="82"/>
  <c r="AE278" i="82"/>
  <c r="AF278" i="82"/>
  <c r="AG278" i="82"/>
  <c r="AH278" i="82"/>
  <c r="AI278" i="82"/>
  <c r="AJ278" i="82"/>
  <c r="AK278" i="82"/>
  <c r="AL278" i="82"/>
  <c r="AM278" i="82"/>
  <c r="AN278" i="82"/>
  <c r="AO278" i="82"/>
  <c r="AP278" i="82"/>
  <c r="AQ278" i="82"/>
  <c r="AR278" i="82"/>
  <c r="AS278" i="82"/>
  <c r="AT278" i="82"/>
  <c r="AU278" i="82"/>
  <c r="AV278" i="82"/>
  <c r="AW278" i="82"/>
  <c r="AX278" i="82"/>
  <c r="AY278" i="82"/>
  <c r="AZ278" i="82"/>
  <c r="BA278" i="82"/>
  <c r="BB278" i="82"/>
  <c r="BC278" i="82"/>
  <c r="BD278" i="82"/>
  <c r="BE278" i="82"/>
  <c r="BF278" i="82"/>
  <c r="BG278" i="82"/>
  <c r="BH278" i="82"/>
  <c r="BI278" i="82"/>
  <c r="BJ278" i="82"/>
  <c r="BK278" i="82"/>
  <c r="BL278" i="82"/>
  <c r="BM278" i="82"/>
  <c r="BN278" i="82"/>
  <c r="BO278" i="82"/>
  <c r="BP278" i="82"/>
  <c r="BQ278" i="82"/>
  <c r="BR278" i="82"/>
  <c r="D278" i="82"/>
  <c r="E332" i="82"/>
  <c r="F332" i="82"/>
  <c r="G332" i="82"/>
  <c r="H332" i="82"/>
  <c r="I332" i="82"/>
  <c r="J332" i="82"/>
  <c r="K332" i="82"/>
  <c r="L332" i="82"/>
  <c r="M332" i="82"/>
  <c r="N332" i="82"/>
  <c r="O332" i="82"/>
  <c r="P332" i="82"/>
  <c r="Q332" i="82"/>
  <c r="R332" i="82"/>
  <c r="S332" i="82"/>
  <c r="T332" i="82"/>
  <c r="U332" i="82"/>
  <c r="V332" i="82"/>
  <c r="W332" i="82"/>
  <c r="X332" i="82"/>
  <c r="Y332" i="82"/>
  <c r="Z332" i="82"/>
  <c r="AA332" i="82"/>
  <c r="AB332" i="82"/>
  <c r="AC332" i="82"/>
  <c r="AD332" i="82"/>
  <c r="AE332" i="82"/>
  <c r="AF332" i="82"/>
  <c r="AG332" i="82"/>
  <c r="AH332" i="82"/>
  <c r="AI332" i="82"/>
  <c r="AJ332" i="82"/>
  <c r="AK332" i="82"/>
  <c r="AL332" i="82"/>
  <c r="AM332" i="82"/>
  <c r="AN332" i="82"/>
  <c r="AO332" i="82"/>
  <c r="AP332" i="82"/>
  <c r="AQ332" i="82"/>
  <c r="AR332" i="82"/>
  <c r="AS332" i="82"/>
  <c r="AT332" i="82"/>
  <c r="AU332" i="82"/>
  <c r="AV332" i="82"/>
  <c r="AW332" i="82"/>
  <c r="AX332" i="82"/>
  <c r="AY332" i="82"/>
  <c r="AZ332" i="82"/>
  <c r="BA332" i="82"/>
  <c r="BB332" i="82"/>
  <c r="BC332" i="82"/>
  <c r="BD332" i="82"/>
  <c r="BE332" i="82"/>
  <c r="BF332" i="82"/>
  <c r="BG332" i="82"/>
  <c r="BH332" i="82"/>
  <c r="BI332" i="82"/>
  <c r="BJ332" i="82"/>
  <c r="BK332" i="82"/>
  <c r="BL332" i="82"/>
  <c r="BM332" i="82"/>
  <c r="BN332" i="82"/>
  <c r="BO332" i="82"/>
  <c r="BP332" i="82"/>
  <c r="BQ332" i="82"/>
  <c r="BR332" i="82"/>
  <c r="E333" i="82"/>
  <c r="F333" i="82"/>
  <c r="G333" i="82"/>
  <c r="H333" i="82"/>
  <c r="I333" i="82"/>
  <c r="J333" i="82"/>
  <c r="K333" i="82"/>
  <c r="L333" i="82"/>
  <c r="M333" i="82"/>
  <c r="N333" i="82"/>
  <c r="O333" i="82"/>
  <c r="P333" i="82"/>
  <c r="Q333" i="82"/>
  <c r="R333" i="82"/>
  <c r="S333" i="82"/>
  <c r="T333" i="82"/>
  <c r="U333" i="82"/>
  <c r="V333" i="82"/>
  <c r="W333" i="82"/>
  <c r="X333" i="82"/>
  <c r="Y333" i="82"/>
  <c r="Z333" i="82"/>
  <c r="AA333" i="82"/>
  <c r="AB333" i="82"/>
  <c r="AC333" i="82"/>
  <c r="AD333" i="82"/>
  <c r="AE333" i="82"/>
  <c r="AF333" i="82"/>
  <c r="AG333" i="82"/>
  <c r="AH333" i="82"/>
  <c r="AI333" i="82"/>
  <c r="AJ333" i="82"/>
  <c r="AK333" i="82"/>
  <c r="AL333" i="82"/>
  <c r="AM333" i="82"/>
  <c r="AN333" i="82"/>
  <c r="AO333" i="82"/>
  <c r="AP333" i="82"/>
  <c r="AQ333" i="82"/>
  <c r="AR333" i="82"/>
  <c r="AS333" i="82"/>
  <c r="AT333" i="82"/>
  <c r="AU333" i="82"/>
  <c r="AV333" i="82"/>
  <c r="AW333" i="82"/>
  <c r="AX333" i="82"/>
  <c r="AY333" i="82"/>
  <c r="AZ333" i="82"/>
  <c r="BA333" i="82"/>
  <c r="BB333" i="82"/>
  <c r="BC333" i="82"/>
  <c r="BD333" i="82"/>
  <c r="BE333" i="82"/>
  <c r="BF333" i="82"/>
  <c r="BG333" i="82"/>
  <c r="BH333" i="82"/>
  <c r="BI333" i="82"/>
  <c r="BJ333" i="82"/>
  <c r="BK333" i="82"/>
  <c r="BL333" i="82"/>
  <c r="BM333" i="82"/>
  <c r="BN333" i="82"/>
  <c r="BO333" i="82"/>
  <c r="BP333" i="82"/>
  <c r="BQ333" i="82"/>
  <c r="BR333" i="82"/>
  <c r="E334" i="82"/>
  <c r="F334" i="82"/>
  <c r="G334" i="82"/>
  <c r="H334" i="82"/>
  <c r="I334" i="82"/>
  <c r="J334" i="82"/>
  <c r="K334" i="82"/>
  <c r="L334" i="82"/>
  <c r="M334" i="82"/>
  <c r="N334" i="82"/>
  <c r="O334" i="82"/>
  <c r="P334" i="82"/>
  <c r="Q334" i="82"/>
  <c r="R334" i="82"/>
  <c r="S334" i="82"/>
  <c r="T334" i="82"/>
  <c r="U334" i="82"/>
  <c r="V334" i="82"/>
  <c r="W334" i="82"/>
  <c r="X334" i="82"/>
  <c r="Y334" i="82"/>
  <c r="Z334" i="82"/>
  <c r="AA334" i="82"/>
  <c r="AB334" i="82"/>
  <c r="AC334" i="82"/>
  <c r="AD334" i="82"/>
  <c r="AE334" i="82"/>
  <c r="AF334" i="82"/>
  <c r="AG334" i="82"/>
  <c r="AH334" i="82"/>
  <c r="AI334" i="82"/>
  <c r="AJ334" i="82"/>
  <c r="AK334" i="82"/>
  <c r="AL334" i="82"/>
  <c r="AM334" i="82"/>
  <c r="AN334" i="82"/>
  <c r="AO334" i="82"/>
  <c r="AP334" i="82"/>
  <c r="AQ334" i="82"/>
  <c r="AR334" i="82"/>
  <c r="AS334" i="82"/>
  <c r="AT334" i="82"/>
  <c r="AU334" i="82"/>
  <c r="AV334" i="82"/>
  <c r="AW334" i="82"/>
  <c r="AX334" i="82"/>
  <c r="AY334" i="82"/>
  <c r="AZ334" i="82"/>
  <c r="BA334" i="82"/>
  <c r="BB334" i="82"/>
  <c r="BC334" i="82"/>
  <c r="BD334" i="82"/>
  <c r="BE334" i="82"/>
  <c r="BF334" i="82"/>
  <c r="BG334" i="82"/>
  <c r="BH334" i="82"/>
  <c r="BI334" i="82"/>
  <c r="BJ334" i="82"/>
  <c r="BK334" i="82"/>
  <c r="BL334" i="82"/>
  <c r="BM334" i="82"/>
  <c r="BN334" i="82"/>
  <c r="BO334" i="82"/>
  <c r="BP334" i="82"/>
  <c r="BQ334" i="82"/>
  <c r="BR334" i="82"/>
  <c r="D333" i="82"/>
  <c r="D334" i="82"/>
  <c r="D332" i="82"/>
  <c r="B324" i="82"/>
  <c r="C324" i="82"/>
  <c r="D324" i="82"/>
  <c r="E324" i="82"/>
  <c r="F324" i="82"/>
  <c r="G324" i="82"/>
  <c r="H324" i="82"/>
  <c r="I324" i="82"/>
  <c r="J324" i="82"/>
  <c r="K324" i="82"/>
  <c r="L324" i="82"/>
  <c r="M324" i="82"/>
  <c r="N324" i="82"/>
  <c r="O324" i="82"/>
  <c r="P324" i="82"/>
  <c r="Q324" i="82"/>
  <c r="R324" i="82"/>
  <c r="S324" i="82"/>
  <c r="T324" i="82"/>
  <c r="U324" i="82"/>
  <c r="V324" i="82"/>
  <c r="W324" i="82"/>
  <c r="X324" i="82"/>
  <c r="Y324" i="82"/>
  <c r="Z324" i="82"/>
  <c r="AA324" i="82"/>
  <c r="AB324" i="82"/>
  <c r="AC324" i="82"/>
  <c r="AD324" i="82"/>
  <c r="AE324" i="82"/>
  <c r="AF324" i="82"/>
  <c r="AG324" i="82"/>
  <c r="AH324" i="82"/>
  <c r="AI324" i="82"/>
  <c r="AJ324" i="82"/>
  <c r="AK324" i="82"/>
  <c r="AL324" i="82"/>
  <c r="AM324" i="82"/>
  <c r="AN324" i="82"/>
  <c r="AO324" i="82"/>
  <c r="AP324" i="82"/>
  <c r="AQ324" i="82"/>
  <c r="AR324" i="82"/>
  <c r="AS324" i="82"/>
  <c r="AT324" i="82"/>
  <c r="AU324" i="82"/>
  <c r="AV324" i="82"/>
  <c r="AW324" i="82"/>
  <c r="AX324" i="82"/>
  <c r="AY324" i="82"/>
  <c r="AZ324" i="82"/>
  <c r="BA324" i="82"/>
  <c r="BB324" i="82"/>
  <c r="BC324" i="82"/>
  <c r="BD324" i="82"/>
  <c r="BE324" i="82"/>
  <c r="BF324" i="82"/>
  <c r="BG324" i="82"/>
  <c r="BH324" i="82"/>
  <c r="BI324" i="82"/>
  <c r="BJ324" i="82"/>
  <c r="BK324" i="82"/>
  <c r="BL324" i="82"/>
  <c r="BM324" i="82"/>
  <c r="BN324" i="82"/>
  <c r="BO324" i="82"/>
  <c r="BP324" i="82"/>
  <c r="BQ324" i="82"/>
  <c r="BR324" i="82"/>
  <c r="A324" i="82"/>
  <c r="E239" i="1"/>
  <c r="E240" i="1"/>
  <c r="E241" i="1"/>
  <c r="E228" i="1"/>
  <c r="E229" i="1"/>
  <c r="E231" i="1"/>
  <c r="E232" i="1"/>
  <c r="E233" i="1"/>
  <c r="E234" i="1"/>
  <c r="E235" i="1"/>
  <c r="B285" i="82"/>
  <c r="C285" i="82"/>
  <c r="D285" i="82"/>
  <c r="E285" i="82"/>
  <c r="F285" i="82"/>
  <c r="G285" i="82"/>
  <c r="H285" i="82"/>
  <c r="I285" i="82"/>
  <c r="J285" i="82"/>
  <c r="K285" i="82"/>
  <c r="L285" i="82"/>
  <c r="M285" i="82"/>
  <c r="N285" i="82"/>
  <c r="O285" i="82"/>
  <c r="P285" i="82"/>
  <c r="Q285" i="82"/>
  <c r="R285" i="82"/>
  <c r="S285" i="82"/>
  <c r="T285" i="82"/>
  <c r="U285" i="82"/>
  <c r="V285" i="82"/>
  <c r="W285" i="82"/>
  <c r="X285" i="82"/>
  <c r="Y285" i="82"/>
  <c r="Z285" i="82"/>
  <c r="AA285" i="82"/>
  <c r="AB285" i="82"/>
  <c r="AC285" i="82"/>
  <c r="AD285" i="82"/>
  <c r="AE285" i="82"/>
  <c r="AF285" i="82"/>
  <c r="AG285" i="82"/>
  <c r="AH285" i="82"/>
  <c r="AI285" i="82"/>
  <c r="AJ285" i="82"/>
  <c r="AK285" i="82"/>
  <c r="AL285" i="82"/>
  <c r="AM285" i="82"/>
  <c r="AN285" i="82"/>
  <c r="AO285" i="82"/>
  <c r="AP285" i="82"/>
  <c r="AQ285" i="82"/>
  <c r="AR285" i="82"/>
  <c r="AS285" i="82"/>
  <c r="AT285" i="82"/>
  <c r="AU285" i="82"/>
  <c r="AV285" i="82"/>
  <c r="AW285" i="82"/>
  <c r="AX285" i="82"/>
  <c r="AY285" i="82"/>
  <c r="AZ285" i="82"/>
  <c r="BA285" i="82"/>
  <c r="BB285" i="82"/>
  <c r="BC285" i="82"/>
  <c r="BD285" i="82"/>
  <c r="BE285" i="82"/>
  <c r="BF285" i="82"/>
  <c r="BG285" i="82"/>
  <c r="BH285" i="82"/>
  <c r="BI285" i="82"/>
  <c r="BJ285" i="82"/>
  <c r="BK285" i="82"/>
  <c r="BL285" i="82"/>
  <c r="BM285" i="82"/>
  <c r="BN285" i="82"/>
  <c r="BO285" i="82"/>
  <c r="BP285" i="82"/>
  <c r="BQ285" i="82"/>
  <c r="BR285" i="82"/>
  <c r="B286" i="82"/>
  <c r="C286" i="82"/>
  <c r="D286" i="82"/>
  <c r="E286" i="82"/>
  <c r="F286" i="82"/>
  <c r="G286" i="82"/>
  <c r="H286" i="82"/>
  <c r="I286" i="82"/>
  <c r="J286" i="82"/>
  <c r="K286" i="82"/>
  <c r="L286" i="82"/>
  <c r="M286" i="82"/>
  <c r="N286" i="82"/>
  <c r="O286" i="82"/>
  <c r="P286" i="82"/>
  <c r="Q286" i="82"/>
  <c r="R286" i="82"/>
  <c r="S286" i="82"/>
  <c r="T286" i="82"/>
  <c r="U286" i="82"/>
  <c r="V286" i="82"/>
  <c r="W286" i="82"/>
  <c r="X286" i="82"/>
  <c r="Y286" i="82"/>
  <c r="Z286" i="82"/>
  <c r="AA286" i="82"/>
  <c r="AB286" i="82"/>
  <c r="AC286" i="82"/>
  <c r="AD286" i="82"/>
  <c r="AE286" i="82"/>
  <c r="AF286" i="82"/>
  <c r="AG286" i="82"/>
  <c r="AH286" i="82"/>
  <c r="AI286" i="82"/>
  <c r="AJ286" i="82"/>
  <c r="AK286" i="82"/>
  <c r="AL286" i="82"/>
  <c r="AM286" i="82"/>
  <c r="AN286" i="82"/>
  <c r="AO286" i="82"/>
  <c r="AP286" i="82"/>
  <c r="AQ286" i="82"/>
  <c r="AR286" i="82"/>
  <c r="AS286" i="82"/>
  <c r="AT286" i="82"/>
  <c r="AU286" i="82"/>
  <c r="AV286" i="82"/>
  <c r="AW286" i="82"/>
  <c r="AX286" i="82"/>
  <c r="AY286" i="82"/>
  <c r="AZ286" i="82"/>
  <c r="BA286" i="82"/>
  <c r="BB286" i="82"/>
  <c r="BC286" i="82"/>
  <c r="BD286" i="82"/>
  <c r="BE286" i="82"/>
  <c r="BF286" i="82"/>
  <c r="BG286" i="82"/>
  <c r="BH286" i="82"/>
  <c r="BI286" i="82"/>
  <c r="BJ286" i="82"/>
  <c r="BK286" i="82"/>
  <c r="BL286" i="82"/>
  <c r="BM286" i="82"/>
  <c r="BN286" i="82"/>
  <c r="BO286" i="82"/>
  <c r="BP286" i="82"/>
  <c r="BQ286" i="82"/>
  <c r="BR286" i="82"/>
  <c r="B287" i="82"/>
  <c r="C287" i="82"/>
  <c r="D287" i="82"/>
  <c r="E287" i="82"/>
  <c r="F287" i="82"/>
  <c r="G287" i="82"/>
  <c r="H287" i="82"/>
  <c r="I287" i="82"/>
  <c r="J287" i="82"/>
  <c r="K287" i="82"/>
  <c r="L287" i="82"/>
  <c r="M287" i="82"/>
  <c r="N287" i="82"/>
  <c r="O287" i="82"/>
  <c r="P287" i="82"/>
  <c r="Q287" i="82"/>
  <c r="R287" i="82"/>
  <c r="S287" i="82"/>
  <c r="T287" i="82"/>
  <c r="U287" i="82"/>
  <c r="V287" i="82"/>
  <c r="W287" i="82"/>
  <c r="X287" i="82"/>
  <c r="Y287" i="82"/>
  <c r="Z287" i="82"/>
  <c r="AA287" i="82"/>
  <c r="AB287" i="82"/>
  <c r="AC287" i="82"/>
  <c r="AD287" i="82"/>
  <c r="AE287" i="82"/>
  <c r="AF287" i="82"/>
  <c r="AG287" i="82"/>
  <c r="AH287" i="82"/>
  <c r="AI287" i="82"/>
  <c r="AJ287" i="82"/>
  <c r="AK287" i="82"/>
  <c r="AL287" i="82"/>
  <c r="AM287" i="82"/>
  <c r="AN287" i="82"/>
  <c r="AO287" i="82"/>
  <c r="AP287" i="82"/>
  <c r="AQ287" i="82"/>
  <c r="AR287" i="82"/>
  <c r="AS287" i="82"/>
  <c r="AT287" i="82"/>
  <c r="AU287" i="82"/>
  <c r="AV287" i="82"/>
  <c r="AW287" i="82"/>
  <c r="AX287" i="82"/>
  <c r="AY287" i="82"/>
  <c r="AZ287" i="82"/>
  <c r="BA287" i="82"/>
  <c r="BB287" i="82"/>
  <c r="BC287" i="82"/>
  <c r="BD287" i="82"/>
  <c r="BE287" i="82"/>
  <c r="BF287" i="82"/>
  <c r="BG287" i="82"/>
  <c r="BH287" i="82"/>
  <c r="BI287" i="82"/>
  <c r="BJ287" i="82"/>
  <c r="BK287" i="82"/>
  <c r="BL287" i="82"/>
  <c r="BM287" i="82"/>
  <c r="BN287" i="82"/>
  <c r="BO287" i="82"/>
  <c r="BP287" i="82"/>
  <c r="BQ287" i="82"/>
  <c r="BR287" i="82"/>
  <c r="B288" i="82"/>
  <c r="C288" i="82"/>
  <c r="D288" i="82"/>
  <c r="E288" i="82"/>
  <c r="F288" i="82"/>
  <c r="G288" i="82"/>
  <c r="H288" i="82"/>
  <c r="I288" i="82"/>
  <c r="J288" i="82"/>
  <c r="K288" i="82"/>
  <c r="L288" i="82"/>
  <c r="M288" i="82"/>
  <c r="N288" i="82"/>
  <c r="O288" i="82"/>
  <c r="P288" i="82"/>
  <c r="Q288" i="82"/>
  <c r="R288" i="82"/>
  <c r="S288" i="82"/>
  <c r="T288" i="82"/>
  <c r="U288" i="82"/>
  <c r="V288" i="82"/>
  <c r="W288" i="82"/>
  <c r="X288" i="82"/>
  <c r="Y288" i="82"/>
  <c r="Z288" i="82"/>
  <c r="AA288" i="82"/>
  <c r="AB288" i="82"/>
  <c r="AC288" i="82"/>
  <c r="AD288" i="82"/>
  <c r="AE288" i="82"/>
  <c r="AF288" i="82"/>
  <c r="AG288" i="82"/>
  <c r="AH288" i="82"/>
  <c r="AI288" i="82"/>
  <c r="AJ288" i="82"/>
  <c r="AK288" i="82"/>
  <c r="AL288" i="82"/>
  <c r="AM288" i="82"/>
  <c r="AN288" i="82"/>
  <c r="AO288" i="82"/>
  <c r="AP288" i="82"/>
  <c r="AQ288" i="82"/>
  <c r="AR288" i="82"/>
  <c r="AS288" i="82"/>
  <c r="AT288" i="82"/>
  <c r="AU288" i="82"/>
  <c r="AV288" i="82"/>
  <c r="AW288" i="82"/>
  <c r="AX288" i="82"/>
  <c r="AY288" i="82"/>
  <c r="AZ288" i="82"/>
  <c r="BA288" i="82"/>
  <c r="BB288" i="82"/>
  <c r="BC288" i="82"/>
  <c r="BD288" i="82"/>
  <c r="BE288" i="82"/>
  <c r="BF288" i="82"/>
  <c r="BG288" i="82"/>
  <c r="BH288" i="82"/>
  <c r="BI288" i="82"/>
  <c r="BJ288" i="82"/>
  <c r="BK288" i="82"/>
  <c r="BL288" i="82"/>
  <c r="BM288" i="82"/>
  <c r="BN288" i="82"/>
  <c r="BO288" i="82"/>
  <c r="BP288" i="82"/>
  <c r="BQ288" i="82"/>
  <c r="BR288" i="82"/>
  <c r="B289" i="82"/>
  <c r="C289" i="82"/>
  <c r="D289" i="82"/>
  <c r="E289" i="82"/>
  <c r="F289" i="82"/>
  <c r="G289" i="82"/>
  <c r="H289" i="82"/>
  <c r="I289" i="82"/>
  <c r="J289" i="82"/>
  <c r="K289" i="82"/>
  <c r="L289" i="82"/>
  <c r="M289" i="82"/>
  <c r="N289" i="82"/>
  <c r="O289" i="82"/>
  <c r="P289" i="82"/>
  <c r="Q289" i="82"/>
  <c r="R289" i="82"/>
  <c r="S289" i="82"/>
  <c r="T289" i="82"/>
  <c r="U289" i="82"/>
  <c r="V289" i="82"/>
  <c r="W289" i="82"/>
  <c r="X289" i="82"/>
  <c r="Y289" i="82"/>
  <c r="Z289" i="82"/>
  <c r="AA289" i="82"/>
  <c r="AB289" i="82"/>
  <c r="AC289" i="82"/>
  <c r="AD289" i="82"/>
  <c r="AE289" i="82"/>
  <c r="AF289" i="82"/>
  <c r="AG289" i="82"/>
  <c r="AH289" i="82"/>
  <c r="AI289" i="82"/>
  <c r="AJ289" i="82"/>
  <c r="AK289" i="82"/>
  <c r="AL289" i="82"/>
  <c r="AM289" i="82"/>
  <c r="AN289" i="82"/>
  <c r="AO289" i="82"/>
  <c r="AP289" i="82"/>
  <c r="AQ289" i="82"/>
  <c r="AR289" i="82"/>
  <c r="AS289" i="82"/>
  <c r="AT289" i="82"/>
  <c r="AU289" i="82"/>
  <c r="AV289" i="82"/>
  <c r="AW289" i="82"/>
  <c r="AX289" i="82"/>
  <c r="AY289" i="82"/>
  <c r="AZ289" i="82"/>
  <c r="BA289" i="82"/>
  <c r="BB289" i="82"/>
  <c r="BC289" i="82"/>
  <c r="BD289" i="82"/>
  <c r="BE289" i="82"/>
  <c r="BF289" i="82"/>
  <c r="BG289" i="82"/>
  <c r="BH289" i="82"/>
  <c r="BI289" i="82"/>
  <c r="BJ289" i="82"/>
  <c r="BK289" i="82"/>
  <c r="BL289" i="82"/>
  <c r="BM289" i="82"/>
  <c r="BN289" i="82"/>
  <c r="BO289" i="82"/>
  <c r="BP289" i="82"/>
  <c r="BQ289" i="82"/>
  <c r="BR289" i="82"/>
  <c r="B290" i="82"/>
  <c r="C290" i="82"/>
  <c r="D290" i="82"/>
  <c r="E290" i="82"/>
  <c r="F290" i="82"/>
  <c r="G290" i="82"/>
  <c r="H290" i="82"/>
  <c r="I290" i="82"/>
  <c r="J290" i="82"/>
  <c r="K290" i="82"/>
  <c r="L290" i="82"/>
  <c r="M290" i="82"/>
  <c r="N290" i="82"/>
  <c r="O290" i="82"/>
  <c r="P290" i="82"/>
  <c r="Q290" i="82"/>
  <c r="R290" i="82"/>
  <c r="S290" i="82"/>
  <c r="T290" i="82"/>
  <c r="U290" i="82"/>
  <c r="V290" i="82"/>
  <c r="W290" i="82"/>
  <c r="X290" i="82"/>
  <c r="Y290" i="82"/>
  <c r="Z290" i="82"/>
  <c r="AA290" i="82"/>
  <c r="AB290" i="82"/>
  <c r="AC290" i="82"/>
  <c r="AD290" i="82"/>
  <c r="AE290" i="82"/>
  <c r="AF290" i="82"/>
  <c r="AG290" i="82"/>
  <c r="AH290" i="82"/>
  <c r="AI290" i="82"/>
  <c r="AJ290" i="82"/>
  <c r="AK290" i="82"/>
  <c r="AL290" i="82"/>
  <c r="AM290" i="82"/>
  <c r="AN290" i="82"/>
  <c r="AO290" i="82"/>
  <c r="AP290" i="82"/>
  <c r="AQ290" i="82"/>
  <c r="AR290" i="82"/>
  <c r="AS290" i="82"/>
  <c r="AT290" i="82"/>
  <c r="AU290" i="82"/>
  <c r="AV290" i="82"/>
  <c r="AW290" i="82"/>
  <c r="AX290" i="82"/>
  <c r="AY290" i="82"/>
  <c r="AZ290" i="82"/>
  <c r="BA290" i="82"/>
  <c r="BB290" i="82"/>
  <c r="BC290" i="82"/>
  <c r="BD290" i="82"/>
  <c r="BE290" i="82"/>
  <c r="BF290" i="82"/>
  <c r="BG290" i="82"/>
  <c r="BH290" i="82"/>
  <c r="BI290" i="82"/>
  <c r="BJ290" i="82"/>
  <c r="BK290" i="82"/>
  <c r="BL290" i="82"/>
  <c r="BM290" i="82"/>
  <c r="BN290" i="82"/>
  <c r="BO290" i="82"/>
  <c r="BP290" i="82"/>
  <c r="BQ290" i="82"/>
  <c r="BR290" i="82"/>
  <c r="B291" i="82"/>
  <c r="C291" i="82"/>
  <c r="D291" i="82"/>
  <c r="E291" i="82"/>
  <c r="F291" i="82"/>
  <c r="G291" i="82"/>
  <c r="H291" i="82"/>
  <c r="I291" i="82"/>
  <c r="J291" i="82"/>
  <c r="K291" i="82"/>
  <c r="L291" i="82"/>
  <c r="M291" i="82"/>
  <c r="N291" i="82"/>
  <c r="O291" i="82"/>
  <c r="P291" i="82"/>
  <c r="Q291" i="82"/>
  <c r="R291" i="82"/>
  <c r="S291" i="82"/>
  <c r="T291" i="82"/>
  <c r="U291" i="82"/>
  <c r="V291" i="82"/>
  <c r="W291" i="82"/>
  <c r="X291" i="82"/>
  <c r="Y291" i="82"/>
  <c r="Z291" i="82"/>
  <c r="AA291" i="82"/>
  <c r="AB291" i="82"/>
  <c r="AC291" i="82"/>
  <c r="AD291" i="82"/>
  <c r="AE291" i="82"/>
  <c r="AF291" i="82"/>
  <c r="AG291" i="82"/>
  <c r="AH291" i="82"/>
  <c r="AI291" i="82"/>
  <c r="AJ291" i="82"/>
  <c r="AK291" i="82"/>
  <c r="AL291" i="82"/>
  <c r="AM291" i="82"/>
  <c r="AN291" i="82"/>
  <c r="AO291" i="82"/>
  <c r="AP291" i="82"/>
  <c r="AQ291" i="82"/>
  <c r="AR291" i="82"/>
  <c r="AS291" i="82"/>
  <c r="AT291" i="82"/>
  <c r="AU291" i="82"/>
  <c r="AV291" i="82"/>
  <c r="AW291" i="82"/>
  <c r="AX291" i="82"/>
  <c r="AY291" i="82"/>
  <c r="AZ291" i="82"/>
  <c r="BA291" i="82"/>
  <c r="BB291" i="82"/>
  <c r="BC291" i="82"/>
  <c r="BD291" i="82"/>
  <c r="BE291" i="82"/>
  <c r="BF291" i="82"/>
  <c r="BG291" i="82"/>
  <c r="BH291" i="82"/>
  <c r="BI291" i="82"/>
  <c r="BJ291" i="82"/>
  <c r="BK291" i="82"/>
  <c r="BL291" i="82"/>
  <c r="BM291" i="82"/>
  <c r="BN291" i="82"/>
  <c r="BO291" i="82"/>
  <c r="BP291" i="82"/>
  <c r="BQ291" i="82"/>
  <c r="BR291" i="82"/>
  <c r="B292" i="82"/>
  <c r="C292" i="82"/>
  <c r="D292" i="82"/>
  <c r="E292" i="82"/>
  <c r="F292" i="82"/>
  <c r="G292" i="82"/>
  <c r="H292" i="82"/>
  <c r="I292" i="82"/>
  <c r="J292" i="82"/>
  <c r="K292" i="82"/>
  <c r="L292" i="82"/>
  <c r="M292" i="82"/>
  <c r="N292" i="82"/>
  <c r="O292" i="82"/>
  <c r="P292" i="82"/>
  <c r="Q292" i="82"/>
  <c r="R292" i="82"/>
  <c r="S292" i="82"/>
  <c r="T292" i="82"/>
  <c r="U292" i="82"/>
  <c r="V292" i="82"/>
  <c r="W292" i="82"/>
  <c r="X292" i="82"/>
  <c r="Y292" i="82"/>
  <c r="Z292" i="82"/>
  <c r="AA292" i="82"/>
  <c r="AB292" i="82"/>
  <c r="AC292" i="82"/>
  <c r="AD292" i="82"/>
  <c r="AE292" i="82"/>
  <c r="AF292" i="82"/>
  <c r="AG292" i="82"/>
  <c r="AH292" i="82"/>
  <c r="AI292" i="82"/>
  <c r="AJ292" i="82"/>
  <c r="AK292" i="82"/>
  <c r="AL292" i="82"/>
  <c r="AM292" i="82"/>
  <c r="AN292" i="82"/>
  <c r="AO292" i="82"/>
  <c r="AP292" i="82"/>
  <c r="AQ292" i="82"/>
  <c r="AR292" i="82"/>
  <c r="AS292" i="82"/>
  <c r="AT292" i="82"/>
  <c r="AU292" i="82"/>
  <c r="AV292" i="82"/>
  <c r="AW292" i="82"/>
  <c r="AX292" i="82"/>
  <c r="AY292" i="82"/>
  <c r="AZ292" i="82"/>
  <c r="BA292" i="82"/>
  <c r="BB292" i="82"/>
  <c r="BC292" i="82"/>
  <c r="BD292" i="82"/>
  <c r="BE292" i="82"/>
  <c r="BF292" i="82"/>
  <c r="BG292" i="82"/>
  <c r="BH292" i="82"/>
  <c r="BI292" i="82"/>
  <c r="BJ292" i="82"/>
  <c r="BK292" i="82"/>
  <c r="BL292" i="82"/>
  <c r="BM292" i="82"/>
  <c r="BN292" i="82"/>
  <c r="BO292" i="82"/>
  <c r="BP292" i="82"/>
  <c r="BQ292" i="82"/>
  <c r="BR292" i="82"/>
  <c r="B293" i="82"/>
  <c r="C293" i="82"/>
  <c r="D293" i="82"/>
  <c r="E293" i="82"/>
  <c r="F293" i="82"/>
  <c r="G293" i="82"/>
  <c r="H293" i="82"/>
  <c r="I293" i="82"/>
  <c r="J293" i="82"/>
  <c r="K293" i="82"/>
  <c r="L293" i="82"/>
  <c r="M293" i="82"/>
  <c r="N293" i="82"/>
  <c r="O293" i="82"/>
  <c r="P293" i="82"/>
  <c r="Q293" i="82"/>
  <c r="R293" i="82"/>
  <c r="S293" i="82"/>
  <c r="T293" i="82"/>
  <c r="U293" i="82"/>
  <c r="V293" i="82"/>
  <c r="W293" i="82"/>
  <c r="X293" i="82"/>
  <c r="Y293" i="82"/>
  <c r="Z293" i="82"/>
  <c r="AA293" i="82"/>
  <c r="AB293" i="82"/>
  <c r="AC293" i="82"/>
  <c r="AD293" i="82"/>
  <c r="AE293" i="82"/>
  <c r="AF293" i="82"/>
  <c r="AG293" i="82"/>
  <c r="AH293" i="82"/>
  <c r="AI293" i="82"/>
  <c r="AJ293" i="82"/>
  <c r="AK293" i="82"/>
  <c r="AL293" i="82"/>
  <c r="AM293" i="82"/>
  <c r="AN293" i="82"/>
  <c r="AO293" i="82"/>
  <c r="AP293" i="82"/>
  <c r="AQ293" i="82"/>
  <c r="AR293" i="82"/>
  <c r="AS293" i="82"/>
  <c r="AT293" i="82"/>
  <c r="AU293" i="82"/>
  <c r="AV293" i="82"/>
  <c r="AW293" i="82"/>
  <c r="AX293" i="82"/>
  <c r="AY293" i="82"/>
  <c r="AZ293" i="82"/>
  <c r="BA293" i="82"/>
  <c r="BB293" i="82"/>
  <c r="BC293" i="82"/>
  <c r="BD293" i="82"/>
  <c r="BE293" i="82"/>
  <c r="BF293" i="82"/>
  <c r="BG293" i="82"/>
  <c r="BH293" i="82"/>
  <c r="BI293" i="82"/>
  <c r="BJ293" i="82"/>
  <c r="BK293" i="82"/>
  <c r="BL293" i="82"/>
  <c r="BM293" i="82"/>
  <c r="BN293" i="82"/>
  <c r="BO293" i="82"/>
  <c r="BP293" i="82"/>
  <c r="BQ293" i="82"/>
  <c r="BR293" i="82"/>
  <c r="B294" i="82"/>
  <c r="C294" i="82"/>
  <c r="D294" i="82"/>
  <c r="E294" i="82"/>
  <c r="F294" i="82"/>
  <c r="G294" i="82"/>
  <c r="H294" i="82"/>
  <c r="I294" i="82"/>
  <c r="J294" i="82"/>
  <c r="K294" i="82"/>
  <c r="L294" i="82"/>
  <c r="M294" i="82"/>
  <c r="N294" i="82"/>
  <c r="O294" i="82"/>
  <c r="P294" i="82"/>
  <c r="Q294" i="82"/>
  <c r="R294" i="82"/>
  <c r="S294" i="82"/>
  <c r="T294" i="82"/>
  <c r="U294" i="82"/>
  <c r="V294" i="82"/>
  <c r="W294" i="82"/>
  <c r="X294" i="82"/>
  <c r="Y294" i="82"/>
  <c r="Z294" i="82"/>
  <c r="AA294" i="82"/>
  <c r="AB294" i="82"/>
  <c r="AC294" i="82"/>
  <c r="AD294" i="82"/>
  <c r="AE294" i="82"/>
  <c r="AF294" i="82"/>
  <c r="AG294" i="82"/>
  <c r="AH294" i="82"/>
  <c r="AI294" i="82"/>
  <c r="AJ294" i="82"/>
  <c r="AK294" i="82"/>
  <c r="AL294" i="82"/>
  <c r="AM294" i="82"/>
  <c r="AN294" i="82"/>
  <c r="AO294" i="82"/>
  <c r="AP294" i="82"/>
  <c r="AQ294" i="82"/>
  <c r="AR294" i="82"/>
  <c r="AS294" i="82"/>
  <c r="AT294" i="82"/>
  <c r="AU294" i="82"/>
  <c r="AV294" i="82"/>
  <c r="AW294" i="82"/>
  <c r="AX294" i="82"/>
  <c r="AY294" i="82"/>
  <c r="AZ294" i="82"/>
  <c r="BA294" i="82"/>
  <c r="BB294" i="82"/>
  <c r="BC294" i="82"/>
  <c r="BD294" i="82"/>
  <c r="BE294" i="82"/>
  <c r="BF294" i="82"/>
  <c r="BG294" i="82"/>
  <c r="BH294" i="82"/>
  <c r="BI294" i="82"/>
  <c r="BJ294" i="82"/>
  <c r="BK294" i="82"/>
  <c r="BL294" i="82"/>
  <c r="BM294" i="82"/>
  <c r="BN294" i="82"/>
  <c r="BO294" i="82"/>
  <c r="BP294" i="82"/>
  <c r="BQ294" i="82"/>
  <c r="BR294" i="82"/>
  <c r="B295" i="82"/>
  <c r="C295" i="82"/>
  <c r="D295" i="82"/>
  <c r="E295" i="82"/>
  <c r="F295" i="82"/>
  <c r="G295" i="82"/>
  <c r="H295" i="82"/>
  <c r="I295" i="82"/>
  <c r="J295" i="82"/>
  <c r="K295" i="82"/>
  <c r="L295" i="82"/>
  <c r="M295" i="82"/>
  <c r="N295" i="82"/>
  <c r="O295" i="82"/>
  <c r="P295" i="82"/>
  <c r="Q295" i="82"/>
  <c r="R295" i="82"/>
  <c r="S295" i="82"/>
  <c r="T295" i="82"/>
  <c r="U295" i="82"/>
  <c r="V295" i="82"/>
  <c r="W295" i="82"/>
  <c r="X295" i="82"/>
  <c r="Y295" i="82"/>
  <c r="Z295" i="82"/>
  <c r="AA295" i="82"/>
  <c r="AB295" i="82"/>
  <c r="AC295" i="82"/>
  <c r="AD295" i="82"/>
  <c r="AE295" i="82"/>
  <c r="AF295" i="82"/>
  <c r="AG295" i="82"/>
  <c r="AH295" i="82"/>
  <c r="AI295" i="82"/>
  <c r="AJ295" i="82"/>
  <c r="AK295" i="82"/>
  <c r="AL295" i="82"/>
  <c r="AM295" i="82"/>
  <c r="AN295" i="82"/>
  <c r="AO295" i="82"/>
  <c r="AP295" i="82"/>
  <c r="AQ295" i="82"/>
  <c r="AR295" i="82"/>
  <c r="AS295" i="82"/>
  <c r="AT295" i="82"/>
  <c r="AU295" i="82"/>
  <c r="AV295" i="82"/>
  <c r="AW295" i="82"/>
  <c r="AX295" i="82"/>
  <c r="AY295" i="82"/>
  <c r="AZ295" i="82"/>
  <c r="BA295" i="82"/>
  <c r="BB295" i="82"/>
  <c r="BC295" i="82"/>
  <c r="BD295" i="82"/>
  <c r="BE295" i="82"/>
  <c r="BF295" i="82"/>
  <c r="BG295" i="82"/>
  <c r="BH295" i="82"/>
  <c r="BI295" i="82"/>
  <c r="BJ295" i="82"/>
  <c r="BK295" i="82"/>
  <c r="BL295" i="82"/>
  <c r="BM295" i="82"/>
  <c r="BN295" i="82"/>
  <c r="BO295" i="82"/>
  <c r="BP295" i="82"/>
  <c r="BQ295" i="82"/>
  <c r="BR295" i="82"/>
  <c r="B296" i="82"/>
  <c r="C296" i="82"/>
  <c r="D296" i="82"/>
  <c r="E296" i="82"/>
  <c r="F296" i="82"/>
  <c r="G296" i="82"/>
  <c r="H296" i="82"/>
  <c r="I296" i="82"/>
  <c r="J296" i="82"/>
  <c r="K296" i="82"/>
  <c r="L296" i="82"/>
  <c r="M296" i="82"/>
  <c r="N296" i="82"/>
  <c r="O296" i="82"/>
  <c r="P296" i="82"/>
  <c r="Q296" i="82"/>
  <c r="R296" i="82"/>
  <c r="S296" i="82"/>
  <c r="T296" i="82"/>
  <c r="U296" i="82"/>
  <c r="V296" i="82"/>
  <c r="W296" i="82"/>
  <c r="X296" i="82"/>
  <c r="Y296" i="82"/>
  <c r="Z296" i="82"/>
  <c r="AA296" i="82"/>
  <c r="AB296" i="82"/>
  <c r="AC296" i="82"/>
  <c r="AD296" i="82"/>
  <c r="AE296" i="82"/>
  <c r="AF296" i="82"/>
  <c r="AG296" i="82"/>
  <c r="AH296" i="82"/>
  <c r="AI296" i="82"/>
  <c r="AJ296" i="82"/>
  <c r="AK296" i="82"/>
  <c r="AL296" i="82"/>
  <c r="AM296" i="82"/>
  <c r="AN296" i="82"/>
  <c r="AO296" i="82"/>
  <c r="AP296" i="82"/>
  <c r="AQ296" i="82"/>
  <c r="AR296" i="82"/>
  <c r="AS296" i="82"/>
  <c r="AT296" i="82"/>
  <c r="AU296" i="82"/>
  <c r="AV296" i="82"/>
  <c r="AW296" i="82"/>
  <c r="AX296" i="82"/>
  <c r="AY296" i="82"/>
  <c r="AZ296" i="82"/>
  <c r="BA296" i="82"/>
  <c r="BB296" i="82"/>
  <c r="BC296" i="82"/>
  <c r="BD296" i="82"/>
  <c r="BE296" i="82"/>
  <c r="BF296" i="82"/>
  <c r="BG296" i="82"/>
  <c r="BH296" i="82"/>
  <c r="BI296" i="82"/>
  <c r="BJ296" i="82"/>
  <c r="BK296" i="82"/>
  <c r="BL296" i="82"/>
  <c r="BM296" i="82"/>
  <c r="BN296" i="82"/>
  <c r="BO296" i="82"/>
  <c r="BP296" i="82"/>
  <c r="BQ296" i="82"/>
  <c r="BR296" i="82"/>
  <c r="B297" i="82"/>
  <c r="C297" i="82"/>
  <c r="D297" i="82"/>
  <c r="E297" i="82"/>
  <c r="F297" i="82"/>
  <c r="G297" i="82"/>
  <c r="H297" i="82"/>
  <c r="I297" i="82"/>
  <c r="J297" i="82"/>
  <c r="K297" i="82"/>
  <c r="L297" i="82"/>
  <c r="M297" i="82"/>
  <c r="N297" i="82"/>
  <c r="O297" i="82"/>
  <c r="P297" i="82"/>
  <c r="Q297" i="82"/>
  <c r="R297" i="82"/>
  <c r="S297" i="82"/>
  <c r="T297" i="82"/>
  <c r="U297" i="82"/>
  <c r="V297" i="82"/>
  <c r="W297" i="82"/>
  <c r="X297" i="82"/>
  <c r="Y297" i="82"/>
  <c r="Z297" i="82"/>
  <c r="AA297" i="82"/>
  <c r="AB297" i="82"/>
  <c r="AC297" i="82"/>
  <c r="AD297" i="82"/>
  <c r="AE297" i="82"/>
  <c r="AF297" i="82"/>
  <c r="AG297" i="82"/>
  <c r="AH297" i="82"/>
  <c r="AI297" i="82"/>
  <c r="AJ297" i="82"/>
  <c r="AK297" i="82"/>
  <c r="AL297" i="82"/>
  <c r="AM297" i="82"/>
  <c r="AN297" i="82"/>
  <c r="AO297" i="82"/>
  <c r="AP297" i="82"/>
  <c r="AQ297" i="82"/>
  <c r="AR297" i="82"/>
  <c r="AS297" i="82"/>
  <c r="AT297" i="82"/>
  <c r="AU297" i="82"/>
  <c r="AV297" i="82"/>
  <c r="AW297" i="82"/>
  <c r="AX297" i="82"/>
  <c r="AY297" i="82"/>
  <c r="AZ297" i="82"/>
  <c r="BA297" i="82"/>
  <c r="BB297" i="82"/>
  <c r="BC297" i="82"/>
  <c r="BD297" i="82"/>
  <c r="BE297" i="82"/>
  <c r="BF297" i="82"/>
  <c r="BG297" i="82"/>
  <c r="BH297" i="82"/>
  <c r="BI297" i="82"/>
  <c r="BJ297" i="82"/>
  <c r="BK297" i="82"/>
  <c r="BL297" i="82"/>
  <c r="BM297" i="82"/>
  <c r="BN297" i="82"/>
  <c r="BO297" i="82"/>
  <c r="BP297" i="82"/>
  <c r="BQ297" i="82"/>
  <c r="BR297" i="82"/>
  <c r="B298" i="82"/>
  <c r="C298" i="82"/>
  <c r="D298" i="82"/>
  <c r="E298" i="82"/>
  <c r="F298" i="82"/>
  <c r="G298" i="82"/>
  <c r="H298" i="82"/>
  <c r="I298" i="82"/>
  <c r="J298" i="82"/>
  <c r="K298" i="82"/>
  <c r="L298" i="82"/>
  <c r="M298" i="82"/>
  <c r="N298" i="82"/>
  <c r="O298" i="82"/>
  <c r="P298" i="82"/>
  <c r="Q298" i="82"/>
  <c r="R298" i="82"/>
  <c r="S298" i="82"/>
  <c r="T298" i="82"/>
  <c r="U298" i="82"/>
  <c r="V298" i="82"/>
  <c r="W298" i="82"/>
  <c r="X298" i="82"/>
  <c r="Y298" i="82"/>
  <c r="Z298" i="82"/>
  <c r="AA298" i="82"/>
  <c r="AB298" i="82"/>
  <c r="AC298" i="82"/>
  <c r="AD298" i="82"/>
  <c r="AE298" i="82"/>
  <c r="AF298" i="82"/>
  <c r="AG298" i="82"/>
  <c r="AH298" i="82"/>
  <c r="AI298" i="82"/>
  <c r="AJ298" i="82"/>
  <c r="AK298" i="82"/>
  <c r="AL298" i="82"/>
  <c r="AM298" i="82"/>
  <c r="AN298" i="82"/>
  <c r="AO298" i="82"/>
  <c r="AP298" i="82"/>
  <c r="AQ298" i="82"/>
  <c r="AR298" i="82"/>
  <c r="AS298" i="82"/>
  <c r="AT298" i="82"/>
  <c r="AU298" i="82"/>
  <c r="AV298" i="82"/>
  <c r="AW298" i="82"/>
  <c r="AX298" i="82"/>
  <c r="AY298" i="82"/>
  <c r="AZ298" i="82"/>
  <c r="BA298" i="82"/>
  <c r="BB298" i="82"/>
  <c r="BC298" i="82"/>
  <c r="BD298" i="82"/>
  <c r="BE298" i="82"/>
  <c r="BF298" i="82"/>
  <c r="BG298" i="82"/>
  <c r="BH298" i="82"/>
  <c r="BI298" i="82"/>
  <c r="BJ298" i="82"/>
  <c r="BK298" i="82"/>
  <c r="BL298" i="82"/>
  <c r="BM298" i="82"/>
  <c r="BN298" i="82"/>
  <c r="BO298" i="82"/>
  <c r="BP298" i="82"/>
  <c r="BQ298" i="82"/>
  <c r="BR298" i="82"/>
  <c r="B299" i="82"/>
  <c r="C299" i="82"/>
  <c r="D299" i="82"/>
  <c r="E299" i="82"/>
  <c r="F299" i="82"/>
  <c r="G299" i="82"/>
  <c r="H299" i="82"/>
  <c r="I299" i="82"/>
  <c r="J299" i="82"/>
  <c r="K299" i="82"/>
  <c r="L299" i="82"/>
  <c r="M299" i="82"/>
  <c r="N299" i="82"/>
  <c r="O299" i="82"/>
  <c r="P299" i="82"/>
  <c r="Q299" i="82"/>
  <c r="R299" i="82"/>
  <c r="S299" i="82"/>
  <c r="T299" i="82"/>
  <c r="U299" i="82"/>
  <c r="V299" i="82"/>
  <c r="W299" i="82"/>
  <c r="X299" i="82"/>
  <c r="Y299" i="82"/>
  <c r="Z299" i="82"/>
  <c r="AA299" i="82"/>
  <c r="AB299" i="82"/>
  <c r="AC299" i="82"/>
  <c r="AD299" i="82"/>
  <c r="AE299" i="82"/>
  <c r="AF299" i="82"/>
  <c r="AG299" i="82"/>
  <c r="AH299" i="82"/>
  <c r="AI299" i="82"/>
  <c r="AJ299" i="82"/>
  <c r="AK299" i="82"/>
  <c r="AL299" i="82"/>
  <c r="AM299" i="82"/>
  <c r="AN299" i="82"/>
  <c r="AO299" i="82"/>
  <c r="AP299" i="82"/>
  <c r="AQ299" i="82"/>
  <c r="AR299" i="82"/>
  <c r="AS299" i="82"/>
  <c r="AT299" i="82"/>
  <c r="AU299" i="82"/>
  <c r="AV299" i="82"/>
  <c r="AW299" i="82"/>
  <c r="AX299" i="82"/>
  <c r="AY299" i="82"/>
  <c r="AZ299" i="82"/>
  <c r="BA299" i="82"/>
  <c r="BB299" i="82"/>
  <c r="BC299" i="82"/>
  <c r="BD299" i="82"/>
  <c r="BE299" i="82"/>
  <c r="BF299" i="82"/>
  <c r="BG299" i="82"/>
  <c r="BH299" i="82"/>
  <c r="BI299" i="82"/>
  <c r="BJ299" i="82"/>
  <c r="BK299" i="82"/>
  <c r="BL299" i="82"/>
  <c r="BM299" i="82"/>
  <c r="BN299" i="82"/>
  <c r="BO299" i="82"/>
  <c r="BP299" i="82"/>
  <c r="BQ299" i="82"/>
  <c r="BR299" i="82"/>
  <c r="B300" i="82"/>
  <c r="C300" i="82"/>
  <c r="D300" i="82"/>
  <c r="E300" i="82"/>
  <c r="F300" i="82"/>
  <c r="G300" i="82"/>
  <c r="H300" i="82"/>
  <c r="I300" i="82"/>
  <c r="J300" i="82"/>
  <c r="K300" i="82"/>
  <c r="L300" i="82"/>
  <c r="M300" i="82"/>
  <c r="N300" i="82"/>
  <c r="O300" i="82"/>
  <c r="P300" i="82"/>
  <c r="Q300" i="82"/>
  <c r="R300" i="82"/>
  <c r="S300" i="82"/>
  <c r="T300" i="82"/>
  <c r="U300" i="82"/>
  <c r="V300" i="82"/>
  <c r="W300" i="82"/>
  <c r="X300" i="82"/>
  <c r="Y300" i="82"/>
  <c r="Z300" i="82"/>
  <c r="AA300" i="82"/>
  <c r="AB300" i="82"/>
  <c r="AC300" i="82"/>
  <c r="AD300" i="82"/>
  <c r="AE300" i="82"/>
  <c r="AF300" i="82"/>
  <c r="AG300" i="82"/>
  <c r="AH300" i="82"/>
  <c r="AI300" i="82"/>
  <c r="AJ300" i="82"/>
  <c r="AK300" i="82"/>
  <c r="AL300" i="82"/>
  <c r="AM300" i="82"/>
  <c r="AN300" i="82"/>
  <c r="AO300" i="82"/>
  <c r="AP300" i="82"/>
  <c r="AQ300" i="82"/>
  <c r="AR300" i="82"/>
  <c r="AS300" i="82"/>
  <c r="AT300" i="82"/>
  <c r="AU300" i="82"/>
  <c r="AV300" i="82"/>
  <c r="AW300" i="82"/>
  <c r="AX300" i="82"/>
  <c r="AY300" i="82"/>
  <c r="AZ300" i="82"/>
  <c r="BA300" i="82"/>
  <c r="BB300" i="82"/>
  <c r="BC300" i="82"/>
  <c r="BD300" i="82"/>
  <c r="BE300" i="82"/>
  <c r="BF300" i="82"/>
  <c r="BG300" i="82"/>
  <c r="BH300" i="82"/>
  <c r="BI300" i="82"/>
  <c r="BJ300" i="82"/>
  <c r="BK300" i="82"/>
  <c r="BL300" i="82"/>
  <c r="BM300" i="82"/>
  <c r="BN300" i="82"/>
  <c r="BO300" i="82"/>
  <c r="BP300" i="82"/>
  <c r="BQ300" i="82"/>
  <c r="BR300" i="82"/>
  <c r="B301" i="82"/>
  <c r="C301" i="82"/>
  <c r="D301" i="82"/>
  <c r="E301" i="82"/>
  <c r="F301" i="82"/>
  <c r="G301" i="82"/>
  <c r="H301" i="82"/>
  <c r="I301" i="82"/>
  <c r="J301" i="82"/>
  <c r="K301" i="82"/>
  <c r="L301" i="82"/>
  <c r="M301" i="82"/>
  <c r="N301" i="82"/>
  <c r="O301" i="82"/>
  <c r="P301" i="82"/>
  <c r="Q301" i="82"/>
  <c r="R301" i="82"/>
  <c r="S301" i="82"/>
  <c r="T301" i="82"/>
  <c r="U301" i="82"/>
  <c r="V301" i="82"/>
  <c r="W301" i="82"/>
  <c r="X301" i="82"/>
  <c r="Y301" i="82"/>
  <c r="Z301" i="82"/>
  <c r="AA301" i="82"/>
  <c r="AB301" i="82"/>
  <c r="AC301" i="82"/>
  <c r="AD301" i="82"/>
  <c r="AE301" i="82"/>
  <c r="AF301" i="82"/>
  <c r="AG301" i="82"/>
  <c r="AH301" i="82"/>
  <c r="AI301" i="82"/>
  <c r="AJ301" i="82"/>
  <c r="AK301" i="82"/>
  <c r="AL301" i="82"/>
  <c r="AM301" i="82"/>
  <c r="AN301" i="82"/>
  <c r="AO301" i="82"/>
  <c r="AP301" i="82"/>
  <c r="AQ301" i="82"/>
  <c r="AR301" i="82"/>
  <c r="AS301" i="82"/>
  <c r="AT301" i="82"/>
  <c r="AU301" i="82"/>
  <c r="AV301" i="82"/>
  <c r="AW301" i="82"/>
  <c r="AX301" i="82"/>
  <c r="AY301" i="82"/>
  <c r="AZ301" i="82"/>
  <c r="BA301" i="82"/>
  <c r="BB301" i="82"/>
  <c r="BC301" i="82"/>
  <c r="BD301" i="82"/>
  <c r="BE301" i="82"/>
  <c r="BF301" i="82"/>
  <c r="BG301" i="82"/>
  <c r="BH301" i="82"/>
  <c r="BI301" i="82"/>
  <c r="BJ301" i="82"/>
  <c r="BK301" i="82"/>
  <c r="BL301" i="82"/>
  <c r="BM301" i="82"/>
  <c r="BN301" i="82"/>
  <c r="BO301" i="82"/>
  <c r="BP301" i="82"/>
  <c r="BQ301" i="82"/>
  <c r="BR301" i="82"/>
  <c r="B302" i="82"/>
  <c r="C302" i="82"/>
  <c r="D302" i="82"/>
  <c r="E302" i="82"/>
  <c r="F302" i="82"/>
  <c r="G302" i="82"/>
  <c r="H302" i="82"/>
  <c r="I302" i="82"/>
  <c r="J302" i="82"/>
  <c r="K302" i="82"/>
  <c r="L302" i="82"/>
  <c r="M302" i="82"/>
  <c r="N302" i="82"/>
  <c r="O302" i="82"/>
  <c r="P302" i="82"/>
  <c r="Q302" i="82"/>
  <c r="R302" i="82"/>
  <c r="S302" i="82"/>
  <c r="T302" i="82"/>
  <c r="U302" i="82"/>
  <c r="V302" i="82"/>
  <c r="W302" i="82"/>
  <c r="X302" i="82"/>
  <c r="Y302" i="82"/>
  <c r="Z302" i="82"/>
  <c r="AA302" i="82"/>
  <c r="AB302" i="82"/>
  <c r="AC302" i="82"/>
  <c r="AD302" i="82"/>
  <c r="AE302" i="82"/>
  <c r="AF302" i="82"/>
  <c r="AG302" i="82"/>
  <c r="AH302" i="82"/>
  <c r="AI302" i="82"/>
  <c r="AJ302" i="82"/>
  <c r="AK302" i="82"/>
  <c r="AL302" i="82"/>
  <c r="AM302" i="82"/>
  <c r="AN302" i="82"/>
  <c r="AO302" i="82"/>
  <c r="AP302" i="82"/>
  <c r="AQ302" i="82"/>
  <c r="AR302" i="82"/>
  <c r="AS302" i="82"/>
  <c r="AT302" i="82"/>
  <c r="AU302" i="82"/>
  <c r="AV302" i="82"/>
  <c r="AW302" i="82"/>
  <c r="AX302" i="82"/>
  <c r="AY302" i="82"/>
  <c r="AZ302" i="82"/>
  <c r="BA302" i="82"/>
  <c r="BB302" i="82"/>
  <c r="BC302" i="82"/>
  <c r="BD302" i="82"/>
  <c r="BE302" i="82"/>
  <c r="BF302" i="82"/>
  <c r="BG302" i="82"/>
  <c r="BH302" i="82"/>
  <c r="BI302" i="82"/>
  <c r="BJ302" i="82"/>
  <c r="BK302" i="82"/>
  <c r="BL302" i="82"/>
  <c r="BM302" i="82"/>
  <c r="BN302" i="82"/>
  <c r="BO302" i="82"/>
  <c r="BP302" i="82"/>
  <c r="BQ302" i="82"/>
  <c r="BR302" i="82"/>
  <c r="B303" i="82"/>
  <c r="C303" i="82"/>
  <c r="D303" i="82"/>
  <c r="E303" i="82"/>
  <c r="F303" i="82"/>
  <c r="G303" i="82"/>
  <c r="H303" i="82"/>
  <c r="I303" i="82"/>
  <c r="J303" i="82"/>
  <c r="K303" i="82"/>
  <c r="L303" i="82"/>
  <c r="M303" i="82"/>
  <c r="N303" i="82"/>
  <c r="O303" i="82"/>
  <c r="P303" i="82"/>
  <c r="Q303" i="82"/>
  <c r="R303" i="82"/>
  <c r="S303" i="82"/>
  <c r="T303" i="82"/>
  <c r="U303" i="82"/>
  <c r="V303" i="82"/>
  <c r="W303" i="82"/>
  <c r="X303" i="82"/>
  <c r="Y303" i="82"/>
  <c r="Z303" i="82"/>
  <c r="AA303" i="82"/>
  <c r="AB303" i="82"/>
  <c r="AC303" i="82"/>
  <c r="AD303" i="82"/>
  <c r="AE303" i="82"/>
  <c r="AF303" i="82"/>
  <c r="AG303" i="82"/>
  <c r="AH303" i="82"/>
  <c r="AI303" i="82"/>
  <c r="AJ303" i="82"/>
  <c r="AK303" i="82"/>
  <c r="AL303" i="82"/>
  <c r="AM303" i="82"/>
  <c r="AN303" i="82"/>
  <c r="AO303" i="82"/>
  <c r="AP303" i="82"/>
  <c r="AQ303" i="82"/>
  <c r="AR303" i="82"/>
  <c r="AS303" i="82"/>
  <c r="AT303" i="82"/>
  <c r="AU303" i="82"/>
  <c r="AV303" i="82"/>
  <c r="AW303" i="82"/>
  <c r="AX303" i="82"/>
  <c r="AY303" i="82"/>
  <c r="AZ303" i="82"/>
  <c r="BA303" i="82"/>
  <c r="BB303" i="82"/>
  <c r="BC303" i="82"/>
  <c r="BD303" i="82"/>
  <c r="BE303" i="82"/>
  <c r="BF303" i="82"/>
  <c r="BG303" i="82"/>
  <c r="BH303" i="82"/>
  <c r="BI303" i="82"/>
  <c r="BJ303" i="82"/>
  <c r="BK303" i="82"/>
  <c r="BL303" i="82"/>
  <c r="BM303" i="82"/>
  <c r="BN303" i="82"/>
  <c r="BO303" i="82"/>
  <c r="BP303" i="82"/>
  <c r="BQ303" i="82"/>
  <c r="BR303" i="82"/>
  <c r="B304" i="82"/>
  <c r="C304" i="82"/>
  <c r="D304" i="82"/>
  <c r="E304" i="82"/>
  <c r="F304" i="82"/>
  <c r="G304" i="82"/>
  <c r="H304" i="82"/>
  <c r="I304" i="82"/>
  <c r="J304" i="82"/>
  <c r="K304" i="82"/>
  <c r="L304" i="82"/>
  <c r="M304" i="82"/>
  <c r="N304" i="82"/>
  <c r="O304" i="82"/>
  <c r="P304" i="82"/>
  <c r="Q304" i="82"/>
  <c r="R304" i="82"/>
  <c r="S304" i="82"/>
  <c r="T304" i="82"/>
  <c r="U304" i="82"/>
  <c r="V304" i="82"/>
  <c r="W304" i="82"/>
  <c r="X304" i="82"/>
  <c r="Y304" i="82"/>
  <c r="Z304" i="82"/>
  <c r="AA304" i="82"/>
  <c r="AB304" i="82"/>
  <c r="AC304" i="82"/>
  <c r="AD304" i="82"/>
  <c r="AE304" i="82"/>
  <c r="AF304" i="82"/>
  <c r="AG304" i="82"/>
  <c r="AH304" i="82"/>
  <c r="AI304" i="82"/>
  <c r="AJ304" i="82"/>
  <c r="AK304" i="82"/>
  <c r="AL304" i="82"/>
  <c r="AM304" i="82"/>
  <c r="AN304" i="82"/>
  <c r="AO304" i="82"/>
  <c r="AP304" i="82"/>
  <c r="AQ304" i="82"/>
  <c r="AR304" i="82"/>
  <c r="AS304" i="82"/>
  <c r="AT304" i="82"/>
  <c r="AU304" i="82"/>
  <c r="AV304" i="82"/>
  <c r="AW304" i="82"/>
  <c r="AX304" i="82"/>
  <c r="AY304" i="82"/>
  <c r="AZ304" i="82"/>
  <c r="BA304" i="82"/>
  <c r="BB304" i="82"/>
  <c r="BC304" i="82"/>
  <c r="BD304" i="82"/>
  <c r="BE304" i="82"/>
  <c r="BF304" i="82"/>
  <c r="BG304" i="82"/>
  <c r="BH304" i="82"/>
  <c r="BI304" i="82"/>
  <c r="BJ304" i="82"/>
  <c r="BK304" i="82"/>
  <c r="BL304" i="82"/>
  <c r="BM304" i="82"/>
  <c r="BN304" i="82"/>
  <c r="BO304" i="82"/>
  <c r="BP304" i="82"/>
  <c r="BQ304" i="82"/>
  <c r="BR304" i="82"/>
  <c r="B305" i="82"/>
  <c r="C305" i="82"/>
  <c r="D305" i="82"/>
  <c r="E305" i="82"/>
  <c r="F305" i="82"/>
  <c r="G305" i="82"/>
  <c r="H305" i="82"/>
  <c r="I305" i="82"/>
  <c r="J305" i="82"/>
  <c r="K305" i="82"/>
  <c r="L305" i="82"/>
  <c r="M305" i="82"/>
  <c r="N305" i="82"/>
  <c r="O305" i="82"/>
  <c r="P305" i="82"/>
  <c r="Q305" i="82"/>
  <c r="R305" i="82"/>
  <c r="S305" i="82"/>
  <c r="T305" i="82"/>
  <c r="U305" i="82"/>
  <c r="V305" i="82"/>
  <c r="W305" i="82"/>
  <c r="X305" i="82"/>
  <c r="Y305" i="82"/>
  <c r="Z305" i="82"/>
  <c r="AA305" i="82"/>
  <c r="AB305" i="82"/>
  <c r="AC305" i="82"/>
  <c r="AD305" i="82"/>
  <c r="AE305" i="82"/>
  <c r="AF305" i="82"/>
  <c r="AG305" i="82"/>
  <c r="AH305" i="82"/>
  <c r="AI305" i="82"/>
  <c r="AJ305" i="82"/>
  <c r="AK305" i="82"/>
  <c r="AL305" i="82"/>
  <c r="AM305" i="82"/>
  <c r="AN305" i="82"/>
  <c r="AO305" i="82"/>
  <c r="AP305" i="82"/>
  <c r="AQ305" i="82"/>
  <c r="AR305" i="82"/>
  <c r="AS305" i="82"/>
  <c r="AT305" i="82"/>
  <c r="AU305" i="82"/>
  <c r="AV305" i="82"/>
  <c r="AW305" i="82"/>
  <c r="AX305" i="82"/>
  <c r="AY305" i="82"/>
  <c r="AZ305" i="82"/>
  <c r="BA305" i="82"/>
  <c r="BB305" i="82"/>
  <c r="BC305" i="82"/>
  <c r="BD305" i="82"/>
  <c r="BE305" i="82"/>
  <c r="BF305" i="82"/>
  <c r="BG305" i="82"/>
  <c r="BH305" i="82"/>
  <c r="BI305" i="82"/>
  <c r="BJ305" i="82"/>
  <c r="BK305" i="82"/>
  <c r="BL305" i="82"/>
  <c r="BM305" i="82"/>
  <c r="BN305" i="82"/>
  <c r="BO305" i="82"/>
  <c r="BP305" i="82"/>
  <c r="BQ305" i="82"/>
  <c r="BR305" i="82"/>
  <c r="B306" i="82"/>
  <c r="C306" i="82"/>
  <c r="D306" i="82"/>
  <c r="E306" i="82"/>
  <c r="F306" i="82"/>
  <c r="G306" i="82"/>
  <c r="H306" i="82"/>
  <c r="I306" i="82"/>
  <c r="J306" i="82"/>
  <c r="K306" i="82"/>
  <c r="L306" i="82"/>
  <c r="M306" i="82"/>
  <c r="N306" i="82"/>
  <c r="O306" i="82"/>
  <c r="P306" i="82"/>
  <c r="Q306" i="82"/>
  <c r="R306" i="82"/>
  <c r="S306" i="82"/>
  <c r="T306" i="82"/>
  <c r="U306" i="82"/>
  <c r="V306" i="82"/>
  <c r="W306" i="82"/>
  <c r="X306" i="82"/>
  <c r="Y306" i="82"/>
  <c r="Z306" i="82"/>
  <c r="AA306" i="82"/>
  <c r="AB306" i="82"/>
  <c r="AC306" i="82"/>
  <c r="AD306" i="82"/>
  <c r="AE306" i="82"/>
  <c r="AF306" i="82"/>
  <c r="AG306" i="82"/>
  <c r="AH306" i="82"/>
  <c r="AI306" i="82"/>
  <c r="AJ306" i="82"/>
  <c r="AK306" i="82"/>
  <c r="AL306" i="82"/>
  <c r="AM306" i="82"/>
  <c r="AN306" i="82"/>
  <c r="AO306" i="82"/>
  <c r="AP306" i="82"/>
  <c r="AQ306" i="82"/>
  <c r="AR306" i="82"/>
  <c r="AS306" i="82"/>
  <c r="AT306" i="82"/>
  <c r="AU306" i="82"/>
  <c r="AV306" i="82"/>
  <c r="AW306" i="82"/>
  <c r="AX306" i="82"/>
  <c r="AY306" i="82"/>
  <c r="AZ306" i="82"/>
  <c r="BA306" i="82"/>
  <c r="BB306" i="82"/>
  <c r="BC306" i="82"/>
  <c r="BD306" i="82"/>
  <c r="BE306" i="82"/>
  <c r="BF306" i="82"/>
  <c r="BG306" i="82"/>
  <c r="BH306" i="82"/>
  <c r="BI306" i="82"/>
  <c r="BJ306" i="82"/>
  <c r="BK306" i="82"/>
  <c r="BL306" i="82"/>
  <c r="BM306" i="82"/>
  <c r="BN306" i="82"/>
  <c r="BO306" i="82"/>
  <c r="BP306" i="82"/>
  <c r="BQ306" i="82"/>
  <c r="BR306" i="82"/>
  <c r="B307" i="82"/>
  <c r="C307" i="82"/>
  <c r="D307" i="82"/>
  <c r="E307" i="82"/>
  <c r="F307" i="82"/>
  <c r="G307" i="82"/>
  <c r="H307" i="82"/>
  <c r="I307" i="82"/>
  <c r="J307" i="82"/>
  <c r="K307" i="82"/>
  <c r="L307" i="82"/>
  <c r="M307" i="82"/>
  <c r="N307" i="82"/>
  <c r="O307" i="82"/>
  <c r="P307" i="82"/>
  <c r="Q307" i="82"/>
  <c r="R307" i="82"/>
  <c r="S307" i="82"/>
  <c r="T307" i="82"/>
  <c r="U307" i="82"/>
  <c r="V307" i="82"/>
  <c r="W307" i="82"/>
  <c r="X307" i="82"/>
  <c r="Y307" i="82"/>
  <c r="Z307" i="82"/>
  <c r="AA307" i="82"/>
  <c r="AB307" i="82"/>
  <c r="AC307" i="82"/>
  <c r="AD307" i="82"/>
  <c r="AE307" i="82"/>
  <c r="AF307" i="82"/>
  <c r="AG307" i="82"/>
  <c r="AH307" i="82"/>
  <c r="AI307" i="82"/>
  <c r="AJ307" i="82"/>
  <c r="AK307" i="82"/>
  <c r="AL307" i="82"/>
  <c r="AM307" i="82"/>
  <c r="AN307" i="82"/>
  <c r="AO307" i="82"/>
  <c r="AP307" i="82"/>
  <c r="AR307" i="82"/>
  <c r="AS307" i="82"/>
  <c r="AT307" i="82"/>
  <c r="AU307" i="82"/>
  <c r="AV307" i="82"/>
  <c r="AW307" i="82"/>
  <c r="AX307" i="82"/>
  <c r="AY307" i="82"/>
  <c r="AZ307" i="82"/>
  <c r="BA307" i="82"/>
  <c r="BB307" i="82"/>
  <c r="BC307" i="82"/>
  <c r="BD307" i="82"/>
  <c r="BE307" i="82"/>
  <c r="BF307" i="82"/>
  <c r="BG307" i="82"/>
  <c r="BH307" i="82"/>
  <c r="BI307" i="82"/>
  <c r="BJ307" i="82"/>
  <c r="BK307" i="82"/>
  <c r="BL307" i="82"/>
  <c r="BM307" i="82"/>
  <c r="BN307" i="82"/>
  <c r="BO307" i="82"/>
  <c r="BP307" i="82"/>
  <c r="BQ307" i="82"/>
  <c r="BR307" i="82"/>
  <c r="B308" i="82"/>
  <c r="C308" i="82"/>
  <c r="D308" i="82"/>
  <c r="E308" i="82"/>
  <c r="F308" i="82"/>
  <c r="G308" i="82"/>
  <c r="H308" i="82"/>
  <c r="I308" i="82"/>
  <c r="J308" i="82"/>
  <c r="K308" i="82"/>
  <c r="L308" i="82"/>
  <c r="M308" i="82"/>
  <c r="N308" i="82"/>
  <c r="O308" i="82"/>
  <c r="P308" i="82"/>
  <c r="Q308" i="82"/>
  <c r="R308" i="82"/>
  <c r="S308" i="82"/>
  <c r="T308" i="82"/>
  <c r="U308" i="82"/>
  <c r="V308" i="82"/>
  <c r="W308" i="82"/>
  <c r="X308" i="82"/>
  <c r="Y308" i="82"/>
  <c r="Z308" i="82"/>
  <c r="AA308" i="82"/>
  <c r="AB308" i="82"/>
  <c r="AC308" i="82"/>
  <c r="AD308" i="82"/>
  <c r="AE308" i="82"/>
  <c r="AF308" i="82"/>
  <c r="AG308" i="82"/>
  <c r="AH308" i="82"/>
  <c r="AI308" i="82"/>
  <c r="AJ308" i="82"/>
  <c r="AK308" i="82"/>
  <c r="AL308" i="82"/>
  <c r="AM308" i="82"/>
  <c r="AN308" i="82"/>
  <c r="AO308" i="82"/>
  <c r="AP308" i="82"/>
  <c r="AQ308" i="82"/>
  <c r="AR308" i="82"/>
  <c r="AS308" i="82"/>
  <c r="AT308" i="82"/>
  <c r="AU308" i="82"/>
  <c r="AV308" i="82"/>
  <c r="AW308" i="82"/>
  <c r="AX308" i="82"/>
  <c r="AY308" i="82"/>
  <c r="AZ308" i="82"/>
  <c r="BA308" i="82"/>
  <c r="BB308" i="82"/>
  <c r="BC308" i="82"/>
  <c r="BD308" i="82"/>
  <c r="BE308" i="82"/>
  <c r="BF308" i="82"/>
  <c r="BG308" i="82"/>
  <c r="BH308" i="82"/>
  <c r="BI308" i="82"/>
  <c r="BJ308" i="82"/>
  <c r="BK308" i="82"/>
  <c r="BL308" i="82"/>
  <c r="BM308" i="82"/>
  <c r="BN308" i="82"/>
  <c r="BO308" i="82"/>
  <c r="BP308" i="82"/>
  <c r="BQ308" i="82"/>
  <c r="BR308" i="82"/>
  <c r="B309" i="82"/>
  <c r="C309" i="82"/>
  <c r="D309" i="82"/>
  <c r="E309" i="82"/>
  <c r="F309" i="82"/>
  <c r="G309" i="82"/>
  <c r="H309" i="82"/>
  <c r="I309" i="82"/>
  <c r="J309" i="82"/>
  <c r="K309" i="82"/>
  <c r="L309" i="82"/>
  <c r="M309" i="82"/>
  <c r="N309" i="82"/>
  <c r="O309" i="82"/>
  <c r="P309" i="82"/>
  <c r="Q309" i="82"/>
  <c r="R309" i="82"/>
  <c r="S309" i="82"/>
  <c r="T309" i="82"/>
  <c r="U309" i="82"/>
  <c r="V309" i="82"/>
  <c r="W309" i="82"/>
  <c r="X309" i="82"/>
  <c r="Y309" i="82"/>
  <c r="Z309" i="82"/>
  <c r="AA309" i="82"/>
  <c r="AB309" i="82"/>
  <c r="AC309" i="82"/>
  <c r="AD309" i="82"/>
  <c r="AE309" i="82"/>
  <c r="AF309" i="82"/>
  <c r="AG309" i="82"/>
  <c r="AH309" i="82"/>
  <c r="AI309" i="82"/>
  <c r="AJ309" i="82"/>
  <c r="AK309" i="82"/>
  <c r="AL309" i="82"/>
  <c r="AM309" i="82"/>
  <c r="AN309" i="82"/>
  <c r="AO309" i="82"/>
  <c r="AP309" i="82"/>
  <c r="AQ309" i="82"/>
  <c r="AR309" i="82"/>
  <c r="AS309" i="82"/>
  <c r="AT309" i="82"/>
  <c r="AU309" i="82"/>
  <c r="AV309" i="82"/>
  <c r="AW309" i="82"/>
  <c r="AX309" i="82"/>
  <c r="AY309" i="82"/>
  <c r="AZ309" i="82"/>
  <c r="BA309" i="82"/>
  <c r="BB309" i="82"/>
  <c r="BC309" i="82"/>
  <c r="BD309" i="82"/>
  <c r="BE309" i="82"/>
  <c r="BF309" i="82"/>
  <c r="BG309" i="82"/>
  <c r="BH309" i="82"/>
  <c r="BI309" i="82"/>
  <c r="BJ309" i="82"/>
  <c r="BK309" i="82"/>
  <c r="BL309" i="82"/>
  <c r="BM309" i="82"/>
  <c r="BN309" i="82"/>
  <c r="BO309" i="82"/>
  <c r="BP309" i="82"/>
  <c r="BQ309" i="82"/>
  <c r="BR309" i="82"/>
  <c r="B310" i="82"/>
  <c r="C310" i="82"/>
  <c r="D310" i="82"/>
  <c r="E310" i="82"/>
  <c r="F310" i="82"/>
  <c r="G310" i="82"/>
  <c r="H310" i="82"/>
  <c r="I310" i="82"/>
  <c r="J310" i="82"/>
  <c r="K310" i="82"/>
  <c r="L310" i="82"/>
  <c r="M310" i="82"/>
  <c r="N310" i="82"/>
  <c r="O310" i="82"/>
  <c r="P310" i="82"/>
  <c r="Q310" i="82"/>
  <c r="R310" i="82"/>
  <c r="S310" i="82"/>
  <c r="T310" i="82"/>
  <c r="U310" i="82"/>
  <c r="V310" i="82"/>
  <c r="W310" i="82"/>
  <c r="X310" i="82"/>
  <c r="Y310" i="82"/>
  <c r="Z310" i="82"/>
  <c r="AA310" i="82"/>
  <c r="AB310" i="82"/>
  <c r="AC310" i="82"/>
  <c r="AD310" i="82"/>
  <c r="AE310" i="82"/>
  <c r="AF310" i="82"/>
  <c r="AG310" i="82"/>
  <c r="AH310" i="82"/>
  <c r="AI310" i="82"/>
  <c r="AJ310" i="82"/>
  <c r="AK310" i="82"/>
  <c r="AL310" i="82"/>
  <c r="AM310" i="82"/>
  <c r="AN310" i="82"/>
  <c r="AO310" i="82"/>
  <c r="AP310" i="82"/>
  <c r="AQ310" i="82"/>
  <c r="AR310" i="82"/>
  <c r="AS310" i="82"/>
  <c r="AT310" i="82"/>
  <c r="AU310" i="82"/>
  <c r="AV310" i="82"/>
  <c r="AW310" i="82"/>
  <c r="AX310" i="82"/>
  <c r="AY310" i="82"/>
  <c r="AZ310" i="82"/>
  <c r="BA310" i="82"/>
  <c r="BB310" i="82"/>
  <c r="BC310" i="82"/>
  <c r="BD310" i="82"/>
  <c r="BE310" i="82"/>
  <c r="BF310" i="82"/>
  <c r="BG310" i="82"/>
  <c r="BH310" i="82"/>
  <c r="BI310" i="82"/>
  <c r="BJ310" i="82"/>
  <c r="BK310" i="82"/>
  <c r="BL310" i="82"/>
  <c r="BM310" i="82"/>
  <c r="BN310" i="82"/>
  <c r="BO310" i="82"/>
  <c r="BP310" i="82"/>
  <c r="BQ310" i="82"/>
  <c r="BR310" i="82"/>
  <c r="B311" i="82"/>
  <c r="C311" i="82"/>
  <c r="D311" i="82"/>
  <c r="E311" i="82"/>
  <c r="F311" i="82"/>
  <c r="G311" i="82"/>
  <c r="H311" i="82"/>
  <c r="I311" i="82"/>
  <c r="J311" i="82"/>
  <c r="K311" i="82"/>
  <c r="L311" i="82"/>
  <c r="M311" i="82"/>
  <c r="N311" i="82"/>
  <c r="O311" i="82"/>
  <c r="P311" i="82"/>
  <c r="Q311" i="82"/>
  <c r="R311" i="82"/>
  <c r="S311" i="82"/>
  <c r="T311" i="82"/>
  <c r="U311" i="82"/>
  <c r="V311" i="82"/>
  <c r="W311" i="82"/>
  <c r="X311" i="82"/>
  <c r="Y311" i="82"/>
  <c r="Z311" i="82"/>
  <c r="AA311" i="82"/>
  <c r="AB311" i="82"/>
  <c r="AC311" i="82"/>
  <c r="AD311" i="82"/>
  <c r="AE311" i="82"/>
  <c r="AF311" i="82"/>
  <c r="AG311" i="82"/>
  <c r="AH311" i="82"/>
  <c r="AI311" i="82"/>
  <c r="AJ311" i="82"/>
  <c r="AK311" i="82"/>
  <c r="AL311" i="82"/>
  <c r="AM311" i="82"/>
  <c r="AN311" i="82"/>
  <c r="AO311" i="82"/>
  <c r="AP311" i="82"/>
  <c r="AQ311" i="82"/>
  <c r="AR311" i="82"/>
  <c r="AS311" i="82"/>
  <c r="AT311" i="82"/>
  <c r="AU311" i="82"/>
  <c r="AV311" i="82"/>
  <c r="AW311" i="82"/>
  <c r="AX311" i="82"/>
  <c r="AY311" i="82"/>
  <c r="AZ311" i="82"/>
  <c r="BA311" i="82"/>
  <c r="BB311" i="82"/>
  <c r="BC311" i="82"/>
  <c r="BD311" i="82"/>
  <c r="BE311" i="82"/>
  <c r="BF311" i="82"/>
  <c r="BG311" i="82"/>
  <c r="BH311" i="82"/>
  <c r="BI311" i="82"/>
  <c r="BJ311" i="82"/>
  <c r="BK311" i="82"/>
  <c r="BL311" i="82"/>
  <c r="BM311" i="82"/>
  <c r="BN311" i="82"/>
  <c r="BO311" i="82"/>
  <c r="BP311" i="82"/>
  <c r="BQ311" i="82"/>
  <c r="BR311" i="82"/>
  <c r="B312" i="82"/>
  <c r="C312" i="82"/>
  <c r="D312" i="82"/>
  <c r="E312" i="82"/>
  <c r="F312" i="82"/>
  <c r="G312" i="82"/>
  <c r="H312" i="82"/>
  <c r="I312" i="82"/>
  <c r="J312" i="82"/>
  <c r="K312" i="82"/>
  <c r="L312" i="82"/>
  <c r="M312" i="82"/>
  <c r="N312" i="82"/>
  <c r="O312" i="82"/>
  <c r="P312" i="82"/>
  <c r="Q312" i="82"/>
  <c r="R312" i="82"/>
  <c r="S312" i="82"/>
  <c r="T312" i="82"/>
  <c r="U312" i="82"/>
  <c r="V312" i="82"/>
  <c r="W312" i="82"/>
  <c r="X312" i="82"/>
  <c r="Y312" i="82"/>
  <c r="Z312" i="82"/>
  <c r="AA312" i="82"/>
  <c r="AB312" i="82"/>
  <c r="AC312" i="82"/>
  <c r="AD312" i="82"/>
  <c r="AE312" i="82"/>
  <c r="AF312" i="82"/>
  <c r="AG312" i="82"/>
  <c r="AH312" i="82"/>
  <c r="AI312" i="82"/>
  <c r="AJ312" i="82"/>
  <c r="AK312" i="82"/>
  <c r="AL312" i="82"/>
  <c r="AM312" i="82"/>
  <c r="AN312" i="82"/>
  <c r="AO312" i="82"/>
  <c r="AP312" i="82"/>
  <c r="AQ312" i="82"/>
  <c r="AR312" i="82"/>
  <c r="AS312" i="82"/>
  <c r="AT312" i="82"/>
  <c r="AU312" i="82"/>
  <c r="AV312" i="82"/>
  <c r="AW312" i="82"/>
  <c r="AX312" i="82"/>
  <c r="AY312" i="82"/>
  <c r="AZ312" i="82"/>
  <c r="BA312" i="82"/>
  <c r="BB312" i="82"/>
  <c r="BC312" i="82"/>
  <c r="BD312" i="82"/>
  <c r="BE312" i="82"/>
  <c r="BF312" i="82"/>
  <c r="BG312" i="82"/>
  <c r="BH312" i="82"/>
  <c r="BI312" i="82"/>
  <c r="BJ312" i="82"/>
  <c r="BK312" i="82"/>
  <c r="BL312" i="82"/>
  <c r="BM312" i="82"/>
  <c r="BN312" i="82"/>
  <c r="BO312" i="82"/>
  <c r="BP312" i="82"/>
  <c r="BQ312" i="82"/>
  <c r="BR312" i="82"/>
  <c r="B313" i="82"/>
  <c r="C313" i="82"/>
  <c r="D313" i="82"/>
  <c r="E313" i="82"/>
  <c r="F313" i="82"/>
  <c r="G313" i="82"/>
  <c r="H313" i="82"/>
  <c r="I313" i="82"/>
  <c r="J313" i="82"/>
  <c r="K313" i="82"/>
  <c r="L313" i="82"/>
  <c r="M313" i="82"/>
  <c r="N313" i="82"/>
  <c r="O313" i="82"/>
  <c r="P313" i="82"/>
  <c r="Q313" i="82"/>
  <c r="R313" i="82"/>
  <c r="S313" i="82"/>
  <c r="T313" i="82"/>
  <c r="U313" i="82"/>
  <c r="V313" i="82"/>
  <c r="W313" i="82"/>
  <c r="X313" i="82"/>
  <c r="Y313" i="82"/>
  <c r="Z313" i="82"/>
  <c r="AA313" i="82"/>
  <c r="AB313" i="82"/>
  <c r="AC313" i="82"/>
  <c r="AD313" i="82"/>
  <c r="AE313" i="82"/>
  <c r="AF313" i="82"/>
  <c r="AG313" i="82"/>
  <c r="AH313" i="82"/>
  <c r="AI313" i="82"/>
  <c r="AJ313" i="82"/>
  <c r="AK313" i="82"/>
  <c r="AL313" i="82"/>
  <c r="AM313" i="82"/>
  <c r="AN313" i="82"/>
  <c r="AO313" i="82"/>
  <c r="AP313" i="82"/>
  <c r="AQ313" i="82"/>
  <c r="AR313" i="82"/>
  <c r="AS313" i="82"/>
  <c r="AT313" i="82"/>
  <c r="AU313" i="82"/>
  <c r="AV313" i="82"/>
  <c r="AW313" i="82"/>
  <c r="AX313" i="82"/>
  <c r="AY313" i="82"/>
  <c r="AZ313" i="82"/>
  <c r="BA313" i="82"/>
  <c r="BB313" i="82"/>
  <c r="BC313" i="82"/>
  <c r="BD313" i="82"/>
  <c r="BE313" i="82"/>
  <c r="BF313" i="82"/>
  <c r="BG313" i="82"/>
  <c r="BH313" i="82"/>
  <c r="BI313" i="82"/>
  <c r="BJ313" i="82"/>
  <c r="BK313" i="82"/>
  <c r="BL313" i="82"/>
  <c r="BM313" i="82"/>
  <c r="BN313" i="82"/>
  <c r="BO313" i="82"/>
  <c r="BP313" i="82"/>
  <c r="BQ313" i="82"/>
  <c r="BR313" i="82"/>
  <c r="B314" i="82"/>
  <c r="C314" i="82"/>
  <c r="D314" i="82"/>
  <c r="E314" i="82"/>
  <c r="F314" i="82"/>
  <c r="G314" i="82"/>
  <c r="H314" i="82"/>
  <c r="I314" i="82"/>
  <c r="J314" i="82"/>
  <c r="K314" i="82"/>
  <c r="L314" i="82"/>
  <c r="M314" i="82"/>
  <c r="N314" i="82"/>
  <c r="O314" i="82"/>
  <c r="P314" i="82"/>
  <c r="Q314" i="82"/>
  <c r="R314" i="82"/>
  <c r="S314" i="82"/>
  <c r="T314" i="82"/>
  <c r="U314" i="82"/>
  <c r="V314" i="82"/>
  <c r="W314" i="82"/>
  <c r="X314" i="82"/>
  <c r="Y314" i="82"/>
  <c r="Z314" i="82"/>
  <c r="AA314" i="82"/>
  <c r="AB314" i="82"/>
  <c r="AC314" i="82"/>
  <c r="AD314" i="82"/>
  <c r="AE314" i="82"/>
  <c r="AF314" i="82"/>
  <c r="AG314" i="82"/>
  <c r="AH314" i="82"/>
  <c r="AI314" i="82"/>
  <c r="AJ314" i="82"/>
  <c r="AK314" i="82"/>
  <c r="AL314" i="82"/>
  <c r="AM314" i="82"/>
  <c r="AN314" i="82"/>
  <c r="AO314" i="82"/>
  <c r="AP314" i="82"/>
  <c r="AQ314" i="82"/>
  <c r="AR314" i="82"/>
  <c r="AS314" i="82"/>
  <c r="AT314" i="82"/>
  <c r="AU314" i="82"/>
  <c r="AV314" i="82"/>
  <c r="AW314" i="82"/>
  <c r="AX314" i="82"/>
  <c r="AY314" i="82"/>
  <c r="AZ314" i="82"/>
  <c r="BA314" i="82"/>
  <c r="BB314" i="82"/>
  <c r="BC314" i="82"/>
  <c r="BD314" i="82"/>
  <c r="BE314" i="82"/>
  <c r="BF314" i="82"/>
  <c r="BG314" i="82"/>
  <c r="BH314" i="82"/>
  <c r="BI314" i="82"/>
  <c r="BJ314" i="82"/>
  <c r="BK314" i="82"/>
  <c r="BL314" i="82"/>
  <c r="BM314" i="82"/>
  <c r="BN314" i="82"/>
  <c r="BO314" i="82"/>
  <c r="BP314" i="82"/>
  <c r="BQ314" i="82"/>
  <c r="BR314" i="82"/>
  <c r="B315" i="82"/>
  <c r="C315" i="82"/>
  <c r="D315" i="82"/>
  <c r="E315" i="82"/>
  <c r="F315" i="82"/>
  <c r="G315" i="82"/>
  <c r="H315" i="82"/>
  <c r="I315" i="82"/>
  <c r="J315" i="82"/>
  <c r="K315" i="82"/>
  <c r="L315" i="82"/>
  <c r="M315" i="82"/>
  <c r="N315" i="82"/>
  <c r="O315" i="82"/>
  <c r="P315" i="82"/>
  <c r="Q315" i="82"/>
  <c r="R315" i="82"/>
  <c r="S315" i="82"/>
  <c r="T315" i="82"/>
  <c r="U315" i="82"/>
  <c r="V315" i="82"/>
  <c r="W315" i="82"/>
  <c r="X315" i="82"/>
  <c r="Y315" i="82"/>
  <c r="Z315" i="82"/>
  <c r="AA315" i="82"/>
  <c r="AB315" i="82"/>
  <c r="AC315" i="82"/>
  <c r="AD315" i="82"/>
  <c r="AE315" i="82"/>
  <c r="AF315" i="82"/>
  <c r="AG315" i="82"/>
  <c r="AH315" i="82"/>
  <c r="AI315" i="82"/>
  <c r="AJ315" i="82"/>
  <c r="AK315" i="82"/>
  <c r="AL315" i="82"/>
  <c r="AM315" i="82"/>
  <c r="AN315" i="82"/>
  <c r="AO315" i="82"/>
  <c r="AP315" i="82"/>
  <c r="AQ315" i="82"/>
  <c r="AR315" i="82"/>
  <c r="AS315" i="82"/>
  <c r="AT315" i="82"/>
  <c r="AU315" i="82"/>
  <c r="AV315" i="82"/>
  <c r="AW315" i="82"/>
  <c r="AX315" i="82"/>
  <c r="AY315" i="82"/>
  <c r="AZ315" i="82"/>
  <c r="BA315" i="82"/>
  <c r="BB315" i="82"/>
  <c r="BC315" i="82"/>
  <c r="BD315" i="82"/>
  <c r="BE315" i="82"/>
  <c r="BF315" i="82"/>
  <c r="BG315" i="82"/>
  <c r="BH315" i="82"/>
  <c r="BI315" i="82"/>
  <c r="BJ315" i="82"/>
  <c r="BK315" i="82"/>
  <c r="BL315" i="82"/>
  <c r="BM315" i="82"/>
  <c r="BN315" i="82"/>
  <c r="BO315" i="82"/>
  <c r="BP315" i="82"/>
  <c r="BQ315" i="82"/>
  <c r="BR315" i="82"/>
  <c r="B316" i="82"/>
  <c r="C316" i="82"/>
  <c r="D316" i="82"/>
  <c r="E316" i="82"/>
  <c r="F316" i="82"/>
  <c r="G316" i="82"/>
  <c r="H316" i="82"/>
  <c r="I316" i="82"/>
  <c r="J316" i="82"/>
  <c r="K316" i="82"/>
  <c r="L316" i="82"/>
  <c r="M316" i="82"/>
  <c r="N316" i="82"/>
  <c r="O316" i="82"/>
  <c r="P316" i="82"/>
  <c r="Q316" i="82"/>
  <c r="R316" i="82"/>
  <c r="S316" i="82"/>
  <c r="T316" i="82"/>
  <c r="U316" i="82"/>
  <c r="V316" i="82"/>
  <c r="W316" i="82"/>
  <c r="X316" i="82"/>
  <c r="Y316" i="82"/>
  <c r="Z316" i="82"/>
  <c r="AA316" i="82"/>
  <c r="AB316" i="82"/>
  <c r="AC316" i="82"/>
  <c r="AD316" i="82"/>
  <c r="AE316" i="82"/>
  <c r="AF316" i="82"/>
  <c r="AG316" i="82"/>
  <c r="AH316" i="82"/>
  <c r="AI316" i="82"/>
  <c r="AJ316" i="82"/>
  <c r="AK316" i="82"/>
  <c r="AL316" i="82"/>
  <c r="AM316" i="82"/>
  <c r="AN316" i="82"/>
  <c r="AO316" i="82"/>
  <c r="AP316" i="82"/>
  <c r="AQ316" i="82"/>
  <c r="AR316" i="82"/>
  <c r="AS316" i="82"/>
  <c r="AT316" i="82"/>
  <c r="AU316" i="82"/>
  <c r="AV316" i="82"/>
  <c r="AW316" i="82"/>
  <c r="AX316" i="82"/>
  <c r="AY316" i="82"/>
  <c r="AZ316" i="82"/>
  <c r="BA316" i="82"/>
  <c r="BB316" i="82"/>
  <c r="BC316" i="82"/>
  <c r="BD316" i="82"/>
  <c r="BE316" i="82"/>
  <c r="BF316" i="82"/>
  <c r="BG316" i="82"/>
  <c r="BH316" i="82"/>
  <c r="BI316" i="82"/>
  <c r="BJ316" i="82"/>
  <c r="BK316" i="82"/>
  <c r="BL316" i="82"/>
  <c r="BM316" i="82"/>
  <c r="BN316" i="82"/>
  <c r="BO316" i="82"/>
  <c r="BP316" i="82"/>
  <c r="BQ316" i="82"/>
  <c r="BR316" i="82"/>
  <c r="B317" i="82"/>
  <c r="C317" i="82"/>
  <c r="D317" i="82"/>
  <c r="E317" i="82"/>
  <c r="F317" i="82"/>
  <c r="G317" i="82"/>
  <c r="H317" i="82"/>
  <c r="I317" i="82"/>
  <c r="J317" i="82"/>
  <c r="K317" i="82"/>
  <c r="L317" i="82"/>
  <c r="M317" i="82"/>
  <c r="N317" i="82"/>
  <c r="O317" i="82"/>
  <c r="P317" i="82"/>
  <c r="Q317" i="82"/>
  <c r="R317" i="82"/>
  <c r="S317" i="82"/>
  <c r="T317" i="82"/>
  <c r="U317" i="82"/>
  <c r="V317" i="82"/>
  <c r="W317" i="82"/>
  <c r="X317" i="82"/>
  <c r="Y317" i="82"/>
  <c r="Z317" i="82"/>
  <c r="AA317" i="82"/>
  <c r="AB317" i="82"/>
  <c r="AC317" i="82"/>
  <c r="AD317" i="82"/>
  <c r="AE317" i="82"/>
  <c r="AF317" i="82"/>
  <c r="AG317" i="82"/>
  <c r="AH317" i="82"/>
  <c r="AI317" i="82"/>
  <c r="AJ317" i="82"/>
  <c r="AK317" i="82"/>
  <c r="AL317" i="82"/>
  <c r="AM317" i="82"/>
  <c r="AN317" i="82"/>
  <c r="AO317" i="82"/>
  <c r="AP317" i="82"/>
  <c r="AQ317" i="82"/>
  <c r="AR317" i="82"/>
  <c r="AS317" i="82"/>
  <c r="AT317" i="82"/>
  <c r="AU317" i="82"/>
  <c r="AV317" i="82"/>
  <c r="AW317" i="82"/>
  <c r="AX317" i="82"/>
  <c r="AY317" i="82"/>
  <c r="AZ317" i="82"/>
  <c r="BA317" i="82"/>
  <c r="BB317" i="82"/>
  <c r="BC317" i="82"/>
  <c r="BD317" i="82"/>
  <c r="BE317" i="82"/>
  <c r="BF317" i="82"/>
  <c r="BG317" i="82"/>
  <c r="BH317" i="82"/>
  <c r="BI317" i="82"/>
  <c r="BJ317" i="82"/>
  <c r="BK317" i="82"/>
  <c r="BL317" i="82"/>
  <c r="BM317" i="82"/>
  <c r="BN317" i="82"/>
  <c r="BO317" i="82"/>
  <c r="BP317" i="82"/>
  <c r="BQ317" i="82"/>
  <c r="BR317" i="82"/>
  <c r="B318" i="82"/>
  <c r="C318" i="82"/>
  <c r="D318" i="82"/>
  <c r="E318" i="82"/>
  <c r="F318" i="82"/>
  <c r="G318" i="82"/>
  <c r="H318" i="82"/>
  <c r="I318" i="82"/>
  <c r="J318" i="82"/>
  <c r="K318" i="82"/>
  <c r="L318" i="82"/>
  <c r="M318" i="82"/>
  <c r="N318" i="82"/>
  <c r="O318" i="82"/>
  <c r="P318" i="82"/>
  <c r="Q318" i="82"/>
  <c r="R318" i="82"/>
  <c r="S318" i="82"/>
  <c r="T318" i="82"/>
  <c r="U318" i="82"/>
  <c r="V318" i="82"/>
  <c r="W318" i="82"/>
  <c r="X318" i="82"/>
  <c r="Y318" i="82"/>
  <c r="Z318" i="82"/>
  <c r="AA318" i="82"/>
  <c r="AB318" i="82"/>
  <c r="AC318" i="82"/>
  <c r="AD318" i="82"/>
  <c r="AE318" i="82"/>
  <c r="AF318" i="82"/>
  <c r="AG318" i="82"/>
  <c r="AH318" i="82"/>
  <c r="AI318" i="82"/>
  <c r="AJ318" i="82"/>
  <c r="AK318" i="82"/>
  <c r="AL318" i="82"/>
  <c r="AM318" i="82"/>
  <c r="AN318" i="82"/>
  <c r="AO318" i="82"/>
  <c r="AP318" i="82"/>
  <c r="AQ318" i="82"/>
  <c r="AR318" i="82"/>
  <c r="AS318" i="82"/>
  <c r="AT318" i="82"/>
  <c r="AU318" i="82"/>
  <c r="AV318" i="82"/>
  <c r="AW318" i="82"/>
  <c r="AX318" i="82"/>
  <c r="AY318" i="82"/>
  <c r="AZ318" i="82"/>
  <c r="BA318" i="82"/>
  <c r="BB318" i="82"/>
  <c r="BC318" i="82"/>
  <c r="BD318" i="82"/>
  <c r="BE318" i="82"/>
  <c r="BF318" i="82"/>
  <c r="BG318" i="82"/>
  <c r="BH318" i="82"/>
  <c r="BI318" i="82"/>
  <c r="BJ318" i="82"/>
  <c r="BK318" i="82"/>
  <c r="BL318" i="82"/>
  <c r="BM318" i="82"/>
  <c r="BN318" i="82"/>
  <c r="BO318" i="82"/>
  <c r="BP318" i="82"/>
  <c r="BQ318" i="82"/>
  <c r="BR318" i="82"/>
  <c r="B319" i="82"/>
  <c r="C319" i="82"/>
  <c r="D319" i="82"/>
  <c r="E319" i="82"/>
  <c r="F319" i="82"/>
  <c r="G319" i="82"/>
  <c r="H319" i="82"/>
  <c r="I319" i="82"/>
  <c r="J319" i="82"/>
  <c r="K319" i="82"/>
  <c r="L319" i="82"/>
  <c r="M319" i="82"/>
  <c r="N319" i="82"/>
  <c r="O319" i="82"/>
  <c r="P319" i="82"/>
  <c r="Q319" i="82"/>
  <c r="R319" i="82"/>
  <c r="S319" i="82"/>
  <c r="T319" i="82"/>
  <c r="U319" i="82"/>
  <c r="V319" i="82"/>
  <c r="W319" i="82"/>
  <c r="X319" i="82"/>
  <c r="Y319" i="82"/>
  <c r="Z319" i="82"/>
  <c r="AA319" i="82"/>
  <c r="AB319" i="82"/>
  <c r="AC319" i="82"/>
  <c r="AD319" i="82"/>
  <c r="AE319" i="82"/>
  <c r="AF319" i="82"/>
  <c r="AG319" i="82"/>
  <c r="AH319" i="82"/>
  <c r="AI319" i="82"/>
  <c r="AJ319" i="82"/>
  <c r="AK319" i="82"/>
  <c r="AL319" i="82"/>
  <c r="AM319" i="82"/>
  <c r="AN319" i="82"/>
  <c r="AO319" i="82"/>
  <c r="AP319" i="82"/>
  <c r="AQ319" i="82"/>
  <c r="AR319" i="82"/>
  <c r="AS319" i="82"/>
  <c r="AT319" i="82"/>
  <c r="AU319" i="82"/>
  <c r="AV319" i="82"/>
  <c r="AW319" i="82"/>
  <c r="AX319" i="82"/>
  <c r="AY319" i="82"/>
  <c r="AZ319" i="82"/>
  <c r="BA319" i="82"/>
  <c r="BB319" i="82"/>
  <c r="BC319" i="82"/>
  <c r="BD319" i="82"/>
  <c r="BE319" i="82"/>
  <c r="BF319" i="82"/>
  <c r="BG319" i="82"/>
  <c r="BH319" i="82"/>
  <c r="BI319" i="82"/>
  <c r="BJ319" i="82"/>
  <c r="BK319" i="82"/>
  <c r="BL319" i="82"/>
  <c r="BM319" i="82"/>
  <c r="BN319" i="82"/>
  <c r="BO319" i="82"/>
  <c r="BP319" i="82"/>
  <c r="BQ319" i="82"/>
  <c r="BR319" i="82"/>
  <c r="B320" i="82"/>
  <c r="C320" i="82"/>
  <c r="D320" i="82"/>
  <c r="E320" i="82"/>
  <c r="F320" i="82"/>
  <c r="G320" i="82"/>
  <c r="H320" i="82"/>
  <c r="I320" i="82"/>
  <c r="J320" i="82"/>
  <c r="K320" i="82"/>
  <c r="L320" i="82"/>
  <c r="M320" i="82"/>
  <c r="N320" i="82"/>
  <c r="O320" i="82"/>
  <c r="P320" i="82"/>
  <c r="Q320" i="82"/>
  <c r="R320" i="82"/>
  <c r="S320" i="82"/>
  <c r="T320" i="82"/>
  <c r="U320" i="82"/>
  <c r="V320" i="82"/>
  <c r="W320" i="82"/>
  <c r="X320" i="82"/>
  <c r="Y320" i="82"/>
  <c r="Z320" i="82"/>
  <c r="AA320" i="82"/>
  <c r="AB320" i="82"/>
  <c r="AC320" i="82"/>
  <c r="AD320" i="82"/>
  <c r="AE320" i="82"/>
  <c r="AF320" i="82"/>
  <c r="AG320" i="82"/>
  <c r="AH320" i="82"/>
  <c r="AI320" i="82"/>
  <c r="AJ320" i="82"/>
  <c r="AK320" i="82"/>
  <c r="AL320" i="82"/>
  <c r="AM320" i="82"/>
  <c r="AN320" i="82"/>
  <c r="AO320" i="82"/>
  <c r="AP320" i="82"/>
  <c r="AQ320" i="82"/>
  <c r="AR320" i="82"/>
  <c r="AS320" i="82"/>
  <c r="AT320" i="82"/>
  <c r="AU320" i="82"/>
  <c r="AV320" i="82"/>
  <c r="AW320" i="82"/>
  <c r="AX320" i="82"/>
  <c r="AY320" i="82"/>
  <c r="AZ320" i="82"/>
  <c r="BA320" i="82"/>
  <c r="BB320" i="82"/>
  <c r="BC320" i="82"/>
  <c r="BD320" i="82"/>
  <c r="BE320" i="82"/>
  <c r="BF320" i="82"/>
  <c r="BG320" i="82"/>
  <c r="BH320" i="82"/>
  <c r="BI320" i="82"/>
  <c r="BJ320" i="82"/>
  <c r="BK320" i="82"/>
  <c r="BL320" i="82"/>
  <c r="BM320" i="82"/>
  <c r="BN320" i="82"/>
  <c r="BO320" i="82"/>
  <c r="BP320" i="82"/>
  <c r="BQ320" i="82"/>
  <c r="BR320" i="82"/>
  <c r="B321" i="82"/>
  <c r="C321" i="82"/>
  <c r="D321" i="82"/>
  <c r="E321" i="82"/>
  <c r="F321" i="82"/>
  <c r="G321" i="82"/>
  <c r="H321" i="82"/>
  <c r="I321" i="82"/>
  <c r="J321" i="82"/>
  <c r="K321" i="82"/>
  <c r="L321" i="82"/>
  <c r="M321" i="82"/>
  <c r="N321" i="82"/>
  <c r="O321" i="82"/>
  <c r="P321" i="82"/>
  <c r="Q321" i="82"/>
  <c r="R321" i="82"/>
  <c r="S321" i="82"/>
  <c r="T321" i="82"/>
  <c r="U321" i="82"/>
  <c r="V321" i="82"/>
  <c r="W321" i="82"/>
  <c r="X321" i="82"/>
  <c r="Y321" i="82"/>
  <c r="Z321" i="82"/>
  <c r="AA321" i="82"/>
  <c r="AB321" i="82"/>
  <c r="AC321" i="82"/>
  <c r="AD321" i="82"/>
  <c r="AE321" i="82"/>
  <c r="AF321" i="82"/>
  <c r="AG321" i="82"/>
  <c r="AH321" i="82"/>
  <c r="AI321" i="82"/>
  <c r="AJ321" i="82"/>
  <c r="AK321" i="82"/>
  <c r="AL321" i="82"/>
  <c r="AM321" i="82"/>
  <c r="AN321" i="82"/>
  <c r="AO321" i="82"/>
  <c r="AP321" i="82"/>
  <c r="AQ321" i="82"/>
  <c r="AR321" i="82"/>
  <c r="AS321" i="82"/>
  <c r="AT321" i="82"/>
  <c r="AU321" i="82"/>
  <c r="AV321" i="82"/>
  <c r="AW321" i="82"/>
  <c r="AX321" i="82"/>
  <c r="AY321" i="82"/>
  <c r="AZ321" i="82"/>
  <c r="BA321" i="82"/>
  <c r="BB321" i="82"/>
  <c r="BC321" i="82"/>
  <c r="BD321" i="82"/>
  <c r="BE321" i="82"/>
  <c r="BF321" i="82"/>
  <c r="BG321" i="82"/>
  <c r="BH321" i="82"/>
  <c r="BI321" i="82"/>
  <c r="BJ321" i="82"/>
  <c r="BK321" i="82"/>
  <c r="BL321" i="82"/>
  <c r="BM321" i="82"/>
  <c r="BN321" i="82"/>
  <c r="BO321" i="82"/>
  <c r="BP321" i="82"/>
  <c r="BQ321" i="82"/>
  <c r="BR321" i="82"/>
  <c r="B322" i="82"/>
  <c r="C322" i="82"/>
  <c r="D322" i="82"/>
  <c r="E322" i="82"/>
  <c r="F322" i="82"/>
  <c r="G322" i="82"/>
  <c r="H322" i="82"/>
  <c r="I322" i="82"/>
  <c r="J322" i="82"/>
  <c r="K322" i="82"/>
  <c r="L322" i="82"/>
  <c r="M322" i="82"/>
  <c r="N322" i="82"/>
  <c r="O322" i="82"/>
  <c r="P322" i="82"/>
  <c r="Q322" i="82"/>
  <c r="R322" i="82"/>
  <c r="S322" i="82"/>
  <c r="T322" i="82"/>
  <c r="U322" i="82"/>
  <c r="V322" i="82"/>
  <c r="W322" i="82"/>
  <c r="X322" i="82"/>
  <c r="Y322" i="82"/>
  <c r="Z322" i="82"/>
  <c r="AA322" i="82"/>
  <c r="AB322" i="82"/>
  <c r="AC322" i="82"/>
  <c r="AD322" i="82"/>
  <c r="AE322" i="82"/>
  <c r="AF322" i="82"/>
  <c r="AG322" i="82"/>
  <c r="AH322" i="82"/>
  <c r="AI322" i="82"/>
  <c r="AJ322" i="82"/>
  <c r="AK322" i="82"/>
  <c r="AL322" i="82"/>
  <c r="AM322" i="82"/>
  <c r="AN322" i="82"/>
  <c r="AO322" i="82"/>
  <c r="AP322" i="82"/>
  <c r="AQ322" i="82"/>
  <c r="AR322" i="82"/>
  <c r="AS322" i="82"/>
  <c r="AT322" i="82"/>
  <c r="AU322" i="82"/>
  <c r="AV322" i="82"/>
  <c r="AW322" i="82"/>
  <c r="AX322" i="82"/>
  <c r="AY322" i="82"/>
  <c r="AZ322" i="82"/>
  <c r="BA322" i="82"/>
  <c r="BB322" i="82"/>
  <c r="BC322" i="82"/>
  <c r="BD322" i="82"/>
  <c r="BE322" i="82"/>
  <c r="BF322" i="82"/>
  <c r="BG322" i="82"/>
  <c r="BH322" i="82"/>
  <c r="BI322" i="82"/>
  <c r="BJ322" i="82"/>
  <c r="BK322" i="82"/>
  <c r="BL322" i="82"/>
  <c r="BM322" i="82"/>
  <c r="BN322" i="82"/>
  <c r="BO322" i="82"/>
  <c r="BP322" i="82"/>
  <c r="BQ322" i="82"/>
  <c r="BR322" i="82"/>
  <c r="B323" i="82"/>
  <c r="C323" i="82"/>
  <c r="D323" i="82"/>
  <c r="E323" i="82"/>
  <c r="F323" i="82"/>
  <c r="G323" i="82"/>
  <c r="H323" i="82"/>
  <c r="I323" i="82"/>
  <c r="J323" i="82"/>
  <c r="K323" i="82"/>
  <c r="L323" i="82"/>
  <c r="M323" i="82"/>
  <c r="N323" i="82"/>
  <c r="O323" i="82"/>
  <c r="P323" i="82"/>
  <c r="Q323" i="82"/>
  <c r="R323" i="82"/>
  <c r="S323" i="82"/>
  <c r="T323" i="82"/>
  <c r="U323" i="82"/>
  <c r="V323" i="82"/>
  <c r="W323" i="82"/>
  <c r="X323" i="82"/>
  <c r="Y323" i="82"/>
  <c r="Z323" i="82"/>
  <c r="AA323" i="82"/>
  <c r="AB323" i="82"/>
  <c r="AC323" i="82"/>
  <c r="AD323" i="82"/>
  <c r="AE323" i="82"/>
  <c r="AF323" i="82"/>
  <c r="AG323" i="82"/>
  <c r="AH323" i="82"/>
  <c r="AI323" i="82"/>
  <c r="AJ323" i="82"/>
  <c r="AK323" i="82"/>
  <c r="AL323" i="82"/>
  <c r="AM323" i="82"/>
  <c r="AN323" i="82"/>
  <c r="AO323" i="82"/>
  <c r="AP323" i="82"/>
  <c r="AQ323" i="82"/>
  <c r="AR323" i="82"/>
  <c r="AS323" i="82"/>
  <c r="AT323" i="82"/>
  <c r="AU323" i="82"/>
  <c r="AV323" i="82"/>
  <c r="AW323" i="82"/>
  <c r="AX323" i="82"/>
  <c r="AY323" i="82"/>
  <c r="AZ323" i="82"/>
  <c r="BA323" i="82"/>
  <c r="BB323" i="82"/>
  <c r="BC323" i="82"/>
  <c r="BD323" i="82"/>
  <c r="BE323" i="82"/>
  <c r="BF323" i="82"/>
  <c r="BG323" i="82"/>
  <c r="BH323" i="82"/>
  <c r="BI323" i="82"/>
  <c r="BJ323" i="82"/>
  <c r="BK323" i="82"/>
  <c r="BL323" i="82"/>
  <c r="BM323" i="82"/>
  <c r="BN323" i="82"/>
  <c r="BO323" i="82"/>
  <c r="BP323" i="82"/>
  <c r="BQ323" i="82"/>
  <c r="BR323" i="82"/>
  <c r="B325" i="82"/>
  <c r="C325" i="82"/>
  <c r="D325" i="82"/>
  <c r="E325" i="82"/>
  <c r="F325" i="82"/>
  <c r="G325" i="82"/>
  <c r="H325" i="82"/>
  <c r="I325" i="82"/>
  <c r="J325" i="82"/>
  <c r="K325" i="82"/>
  <c r="L325" i="82"/>
  <c r="M325" i="82"/>
  <c r="N325" i="82"/>
  <c r="O325" i="82"/>
  <c r="P325" i="82"/>
  <c r="Q325" i="82"/>
  <c r="R325" i="82"/>
  <c r="S325" i="82"/>
  <c r="T325" i="82"/>
  <c r="U325" i="82"/>
  <c r="V325" i="82"/>
  <c r="W325" i="82"/>
  <c r="X325" i="82"/>
  <c r="Y325" i="82"/>
  <c r="Z325" i="82"/>
  <c r="AA325" i="82"/>
  <c r="AB325" i="82"/>
  <c r="AC325" i="82"/>
  <c r="AD325" i="82"/>
  <c r="AE325" i="82"/>
  <c r="AF325" i="82"/>
  <c r="AG325" i="82"/>
  <c r="AH325" i="82"/>
  <c r="AI325" i="82"/>
  <c r="AJ325" i="82"/>
  <c r="AK325" i="82"/>
  <c r="AL325" i="82"/>
  <c r="AM325" i="82"/>
  <c r="AN325" i="82"/>
  <c r="AO325" i="82"/>
  <c r="AP325" i="82"/>
  <c r="AQ325" i="82"/>
  <c r="AR325" i="82"/>
  <c r="AS325" i="82"/>
  <c r="AT325" i="82"/>
  <c r="AU325" i="82"/>
  <c r="AV325" i="82"/>
  <c r="AW325" i="82"/>
  <c r="AX325" i="82"/>
  <c r="AY325" i="82"/>
  <c r="AZ325" i="82"/>
  <c r="BA325" i="82"/>
  <c r="BB325" i="82"/>
  <c r="BC325" i="82"/>
  <c r="BD325" i="82"/>
  <c r="BE325" i="82"/>
  <c r="BF325" i="82"/>
  <c r="BG325" i="82"/>
  <c r="BH325" i="82"/>
  <c r="BI325" i="82"/>
  <c r="BJ325" i="82"/>
  <c r="BK325" i="82"/>
  <c r="BL325" i="82"/>
  <c r="BM325" i="82"/>
  <c r="BN325" i="82"/>
  <c r="BO325" i="82"/>
  <c r="BP325" i="82"/>
  <c r="BQ325" i="82"/>
  <c r="BR325" i="82"/>
  <c r="B326" i="82"/>
  <c r="C326" i="82"/>
  <c r="D326" i="82"/>
  <c r="E326" i="82"/>
  <c r="F326" i="82"/>
  <c r="G326" i="82"/>
  <c r="H326" i="82"/>
  <c r="I326" i="82"/>
  <c r="J326" i="82"/>
  <c r="K326" i="82"/>
  <c r="L326" i="82"/>
  <c r="M326" i="82"/>
  <c r="N326" i="82"/>
  <c r="O326" i="82"/>
  <c r="P326" i="82"/>
  <c r="Q326" i="82"/>
  <c r="R326" i="82"/>
  <c r="S326" i="82"/>
  <c r="T326" i="82"/>
  <c r="U326" i="82"/>
  <c r="V326" i="82"/>
  <c r="W326" i="82"/>
  <c r="X326" i="82"/>
  <c r="Y326" i="82"/>
  <c r="Z326" i="82"/>
  <c r="AA326" i="82"/>
  <c r="AB326" i="82"/>
  <c r="AC326" i="82"/>
  <c r="AD326" i="82"/>
  <c r="AE326" i="82"/>
  <c r="AF326" i="82"/>
  <c r="AG326" i="82"/>
  <c r="AH326" i="82"/>
  <c r="AI326" i="82"/>
  <c r="AJ326" i="82"/>
  <c r="AK326" i="82"/>
  <c r="AL326" i="82"/>
  <c r="AM326" i="82"/>
  <c r="AN326" i="82"/>
  <c r="AO326" i="82"/>
  <c r="AP326" i="82"/>
  <c r="AQ326" i="82"/>
  <c r="AR326" i="82"/>
  <c r="AS326" i="82"/>
  <c r="AT326" i="82"/>
  <c r="AU326" i="82"/>
  <c r="AV326" i="82"/>
  <c r="AW326" i="82"/>
  <c r="AX326" i="82"/>
  <c r="AY326" i="82"/>
  <c r="AZ326" i="82"/>
  <c r="BA326" i="82"/>
  <c r="BB326" i="82"/>
  <c r="BC326" i="82"/>
  <c r="BD326" i="82"/>
  <c r="BE326" i="82"/>
  <c r="BF326" i="82"/>
  <c r="BG326" i="82"/>
  <c r="BH326" i="82"/>
  <c r="BI326" i="82"/>
  <c r="BJ326" i="82"/>
  <c r="BK326" i="82"/>
  <c r="BL326" i="82"/>
  <c r="BM326" i="82"/>
  <c r="BN326" i="82"/>
  <c r="BO326" i="82"/>
  <c r="BP326" i="82"/>
  <c r="BQ326" i="82"/>
  <c r="BR326" i="82"/>
  <c r="B327" i="82"/>
  <c r="C327" i="82"/>
  <c r="D327" i="82"/>
  <c r="E327" i="82"/>
  <c r="F327" i="82"/>
  <c r="G327" i="82"/>
  <c r="H327" i="82"/>
  <c r="I327" i="82"/>
  <c r="J327" i="82"/>
  <c r="K327" i="82"/>
  <c r="L327" i="82"/>
  <c r="M327" i="82"/>
  <c r="N327" i="82"/>
  <c r="O327" i="82"/>
  <c r="P327" i="82"/>
  <c r="Q327" i="82"/>
  <c r="R327" i="82"/>
  <c r="S327" i="82"/>
  <c r="T327" i="82"/>
  <c r="U327" i="82"/>
  <c r="V327" i="82"/>
  <c r="W327" i="82"/>
  <c r="X327" i="82"/>
  <c r="Y327" i="82"/>
  <c r="Z327" i="82"/>
  <c r="AA327" i="82"/>
  <c r="AB327" i="82"/>
  <c r="AC327" i="82"/>
  <c r="AD327" i="82"/>
  <c r="AE327" i="82"/>
  <c r="AF327" i="82"/>
  <c r="AG327" i="82"/>
  <c r="AH327" i="82"/>
  <c r="AI327" i="82"/>
  <c r="AJ327" i="82"/>
  <c r="AK327" i="82"/>
  <c r="AL327" i="82"/>
  <c r="AM327" i="82"/>
  <c r="AN327" i="82"/>
  <c r="AO327" i="82"/>
  <c r="AP327" i="82"/>
  <c r="AQ327" i="82"/>
  <c r="AR327" i="82"/>
  <c r="AS327" i="82"/>
  <c r="AT327" i="82"/>
  <c r="AU327" i="82"/>
  <c r="AV327" i="82"/>
  <c r="AW327" i="82"/>
  <c r="AX327" i="82"/>
  <c r="AY327" i="82"/>
  <c r="AZ327" i="82"/>
  <c r="BA327" i="82"/>
  <c r="BB327" i="82"/>
  <c r="BC327" i="82"/>
  <c r="BD327" i="82"/>
  <c r="BE327" i="82"/>
  <c r="BF327" i="82"/>
  <c r="BG327" i="82"/>
  <c r="BH327" i="82"/>
  <c r="BI327" i="82"/>
  <c r="BJ327" i="82"/>
  <c r="BK327" i="82"/>
  <c r="BL327" i="82"/>
  <c r="BM327" i="82"/>
  <c r="BN327" i="82"/>
  <c r="BO327" i="82"/>
  <c r="BP327" i="82"/>
  <c r="BQ327" i="82"/>
  <c r="BR327" i="82"/>
  <c r="A334" i="82"/>
  <c r="A333" i="82"/>
  <c r="A332" i="82"/>
  <c r="A327" i="82"/>
  <c r="A326" i="82"/>
  <c r="A325" i="82"/>
  <c r="A323" i="82"/>
  <c r="A322" i="82"/>
  <c r="A321" i="82"/>
  <c r="A320" i="82"/>
  <c r="A317" i="82"/>
  <c r="A318" i="82"/>
  <c r="A319" i="82"/>
  <c r="A316" i="82"/>
  <c r="A315" i="82"/>
  <c r="A314" i="82"/>
  <c r="A311" i="82"/>
  <c r="A312" i="82"/>
  <c r="A313" i="82"/>
  <c r="A310" i="82"/>
  <c r="A308" i="82"/>
  <c r="A309" i="82"/>
  <c r="A307" i="82"/>
  <c r="A306" i="82"/>
  <c r="A305" i="82"/>
  <c r="A304" i="82"/>
  <c r="A303" i="82"/>
  <c r="A302" i="82"/>
  <c r="A301" i="82"/>
  <c r="A300" i="82"/>
  <c r="A299" i="82"/>
  <c r="A298" i="82"/>
  <c r="A297" i="82"/>
  <c r="A296" i="82"/>
  <c r="A295" i="82"/>
  <c r="A294" i="82"/>
  <c r="A293" i="82"/>
  <c r="A292" i="82"/>
  <c r="A291" i="82"/>
  <c r="A290" i="82"/>
  <c r="A289" i="82"/>
  <c r="A288" i="82"/>
  <c r="A287" i="82"/>
  <c r="A286" i="82"/>
  <c r="A285" i="82"/>
  <c r="BR276" i="84"/>
  <c r="BQ276" i="84"/>
  <c r="BP276" i="84"/>
  <c r="BO276" i="84"/>
  <c r="BN276" i="84"/>
  <c r="BM276" i="84"/>
  <c r="BL276" i="84"/>
  <c r="BK276" i="84"/>
  <c r="BJ276" i="84"/>
  <c r="BI276" i="84"/>
  <c r="BH276" i="84"/>
  <c r="BG276" i="84"/>
  <c r="BF276" i="84"/>
  <c r="BE276" i="84"/>
  <c r="BD276" i="84"/>
  <c r="BC276" i="84"/>
  <c r="BB276" i="84"/>
  <c r="BA276" i="84"/>
  <c r="AZ276" i="84"/>
  <c r="AY276" i="84"/>
  <c r="AX276" i="84"/>
  <c r="AW276" i="84"/>
  <c r="AV276" i="84"/>
  <c r="AU276" i="84"/>
  <c r="AT276" i="84"/>
  <c r="AS276" i="84"/>
  <c r="AR276" i="84"/>
  <c r="AQ276" i="84"/>
  <c r="AP276" i="84"/>
  <c r="AO276" i="84"/>
  <c r="AN276" i="84"/>
  <c r="AM276" i="84"/>
  <c r="AL276" i="84"/>
  <c r="AK276" i="84"/>
  <c r="AJ276" i="84"/>
  <c r="AI276" i="84"/>
  <c r="AH276" i="84"/>
  <c r="AG276" i="84"/>
  <c r="AF276" i="84"/>
  <c r="AE276" i="84"/>
  <c r="AD276" i="84"/>
  <c r="AC276" i="84"/>
  <c r="AB276" i="84"/>
  <c r="AA276" i="84"/>
  <c r="Z276" i="84"/>
  <c r="Y276" i="84"/>
  <c r="X276" i="84"/>
  <c r="W276" i="84"/>
  <c r="V276" i="84"/>
  <c r="T276" i="84"/>
  <c r="S276" i="84"/>
  <c r="R276" i="84"/>
  <c r="Q276" i="84"/>
  <c r="P276" i="84"/>
  <c r="O276" i="84"/>
  <c r="N276" i="84"/>
  <c r="M276" i="84"/>
  <c r="L276" i="84"/>
  <c r="K276" i="84"/>
  <c r="J276" i="84"/>
  <c r="I276" i="84"/>
  <c r="H276" i="84"/>
  <c r="G276" i="84"/>
  <c r="F276" i="84"/>
  <c r="E276" i="84"/>
  <c r="D276" i="84"/>
  <c r="D277" i="84"/>
  <c r="E277" i="84"/>
  <c r="F277" i="84"/>
  <c r="G277" i="84"/>
  <c r="H277" i="84"/>
  <c r="I277" i="84"/>
  <c r="J277" i="84"/>
  <c r="K277" i="84"/>
  <c r="L277" i="84"/>
  <c r="M277" i="84"/>
  <c r="N277" i="84"/>
  <c r="O277" i="84"/>
  <c r="P277" i="84"/>
  <c r="Q277" i="84"/>
  <c r="R277" i="84"/>
  <c r="S277" i="84"/>
  <c r="T277" i="84"/>
  <c r="U277" i="84"/>
  <c r="V277" i="84"/>
  <c r="W277" i="84"/>
  <c r="X277" i="84"/>
  <c r="Y277" i="84"/>
  <c r="Z277" i="84"/>
  <c r="AA277" i="84"/>
  <c r="AB277" i="84"/>
  <c r="AC277" i="84"/>
  <c r="AD277" i="84"/>
  <c r="AE277" i="84"/>
  <c r="AF277" i="84"/>
  <c r="AG277" i="84"/>
  <c r="AH277" i="84"/>
  <c r="AI277" i="84"/>
  <c r="AJ277" i="84"/>
  <c r="AK277" i="84"/>
  <c r="AL277" i="84"/>
  <c r="AM277" i="84"/>
  <c r="AN277" i="84"/>
  <c r="AO277" i="84"/>
  <c r="AP277" i="84"/>
  <c r="AQ277" i="84"/>
  <c r="AR277" i="84"/>
  <c r="AS277" i="84"/>
  <c r="AT277" i="84"/>
  <c r="AU277" i="84"/>
  <c r="AV277" i="84"/>
  <c r="AW277" i="84"/>
  <c r="AX277" i="84"/>
  <c r="AY277" i="84"/>
  <c r="AZ277" i="84"/>
  <c r="BA277" i="84"/>
  <c r="BB277" i="84"/>
  <c r="BC277" i="84"/>
  <c r="BD277" i="84"/>
  <c r="BE277" i="84"/>
  <c r="BF277" i="84"/>
  <c r="BG277" i="84"/>
  <c r="BH277" i="84"/>
  <c r="BI277" i="84"/>
  <c r="BJ277" i="84"/>
  <c r="BK277" i="84"/>
  <c r="BL277" i="84"/>
  <c r="BM277" i="84"/>
  <c r="BN277" i="84"/>
  <c r="BO277" i="84"/>
  <c r="BP277" i="84"/>
  <c r="BQ277" i="84"/>
  <c r="BR277" i="84"/>
  <c r="H77" i="1"/>
  <c r="D27" i="91"/>
  <c r="BU336" i="82" l="1"/>
  <c r="CI336" i="82"/>
  <c r="CB336" i="82"/>
  <c r="CH336" i="82"/>
  <c r="BV336" i="82"/>
  <c r="CG336" i="82"/>
  <c r="CD336" i="82"/>
  <c r="BQ328" i="82"/>
  <c r="Z328" i="82"/>
  <c r="AO328" i="82"/>
  <c r="AZ328" i="82"/>
  <c r="N328" i="82"/>
  <c r="BA328" i="82"/>
  <c r="BD328" i="82"/>
  <c r="AC328" i="82"/>
  <c r="AN328" i="82"/>
  <c r="BM328" i="82"/>
  <c r="P328" i="82"/>
  <c r="M328" i="82"/>
  <c r="BO328" i="82"/>
  <c r="BC328" i="82"/>
  <c r="AM328" i="82"/>
  <c r="AA328" i="82"/>
  <c r="O328" i="82"/>
  <c r="BJ328" i="82"/>
  <c r="AX328" i="82"/>
  <c r="AK328" i="82"/>
  <c r="Y328" i="82"/>
  <c r="AH328" i="82"/>
  <c r="V328" i="82"/>
  <c r="J328" i="82"/>
  <c r="AQ328" i="82"/>
  <c r="AE328" i="82"/>
  <c r="S328" i="82"/>
  <c r="G328" i="82"/>
  <c r="AJ328" i="82"/>
  <c r="X328" i="82"/>
  <c r="L328" i="82"/>
  <c r="AG328" i="82"/>
  <c r="U328" i="82"/>
  <c r="I328" i="82"/>
  <c r="BN328" i="82"/>
  <c r="BB328" i="82"/>
  <c r="AP328" i="82"/>
  <c r="AD328" i="82"/>
  <c r="R328" i="82"/>
  <c r="F328" i="82"/>
  <c r="BL328" i="82"/>
  <c r="BK328" i="82"/>
  <c r="AY328" i="82"/>
  <c r="BH328" i="82"/>
  <c r="AV328" i="82"/>
  <c r="BR328" i="82"/>
  <c r="AT328" i="82"/>
  <c r="AL328" i="82"/>
  <c r="AI328" i="82"/>
  <c r="W328" i="82"/>
  <c r="K328" i="82"/>
  <c r="BP328" i="82"/>
  <c r="AR328" i="82"/>
  <c r="AF328" i="82"/>
  <c r="T328" i="82"/>
  <c r="H328" i="82"/>
  <c r="Q328" i="82"/>
  <c r="E328" i="82"/>
  <c r="E329" i="82" s="1"/>
  <c r="AB328" i="82"/>
  <c r="D328" i="82"/>
  <c r="D329" i="82" s="1"/>
  <c r="D336" i="82" s="1"/>
  <c r="D340" i="82" s="1"/>
  <c r="BG328" i="82"/>
  <c r="AU328" i="82"/>
  <c r="BF328" i="82"/>
  <c r="BE328" i="82"/>
  <c r="AS328" i="82"/>
  <c r="BI328" i="82"/>
  <c r="AW328" i="82"/>
  <c r="D28" i="91"/>
  <c r="D29" i="91"/>
  <c r="AB329" i="82" l="1"/>
  <c r="AB336" i="82" s="1"/>
  <c r="BM329" i="82"/>
  <c r="BM336" i="82" s="1"/>
  <c r="AR329" i="82"/>
  <c r="AR336" i="82" s="1"/>
  <c r="O336" i="82"/>
  <c r="O329" i="82"/>
  <c r="BP329" i="82"/>
  <c r="BP336" i="82" s="1"/>
  <c r="G329" i="82"/>
  <c r="G336" i="82" s="1"/>
  <c r="K329" i="82"/>
  <c r="K336" i="82" s="1"/>
  <c r="S329" i="82"/>
  <c r="S336" i="82" s="1"/>
  <c r="AO329" i="82"/>
  <c r="AO336" i="82" s="1"/>
  <c r="AU336" i="82"/>
  <c r="AU329" i="82"/>
  <c r="W329" i="82"/>
  <c r="W336" i="82" s="1"/>
  <c r="AD329" i="82"/>
  <c r="AD336" i="82" s="1"/>
  <c r="AE329" i="82"/>
  <c r="AE336" i="82" s="1"/>
  <c r="BC329" i="82"/>
  <c r="BC336" i="82" s="1"/>
  <c r="Z329" i="82"/>
  <c r="Z336" i="82" s="1"/>
  <c r="AT336" i="82"/>
  <c r="AT329" i="82"/>
  <c r="BL329" i="82"/>
  <c r="BL336" i="82" s="1"/>
  <c r="N329" i="82"/>
  <c r="N336" i="82" s="1"/>
  <c r="AA329" i="82"/>
  <c r="AA336" i="82" s="1"/>
  <c r="BF329" i="82"/>
  <c r="BF336" i="82" s="1"/>
  <c r="R329" i="82"/>
  <c r="R336" i="82" s="1"/>
  <c r="R341" i="82" s="1"/>
  <c r="AM336" i="82"/>
  <c r="AM329" i="82"/>
  <c r="BG329" i="82"/>
  <c r="BG336" i="82" s="1"/>
  <c r="AI329" i="82"/>
  <c r="AI336" i="82" s="1"/>
  <c r="AP329" i="82"/>
  <c r="AP336" i="82" s="1"/>
  <c r="AQ329" i="82"/>
  <c r="AQ336" i="82" s="1"/>
  <c r="AQ340" i="82" s="1"/>
  <c r="BO329" i="82"/>
  <c r="BO336" i="82" s="1"/>
  <c r="BQ336" i="82"/>
  <c r="BQ329" i="82"/>
  <c r="P329" i="82"/>
  <c r="P336" i="82" s="1"/>
  <c r="BR329" i="82"/>
  <c r="BR336" i="82" s="1"/>
  <c r="BR339" i="82" s="1"/>
  <c r="AS329" i="82"/>
  <c r="AS336" i="82" s="1"/>
  <c r="AJ329" i="82"/>
  <c r="AJ336" i="82" s="1"/>
  <c r="BE329" i="82"/>
  <c r="BE336" i="82" s="1"/>
  <c r="BE340" i="82" s="1"/>
  <c r="F336" i="82"/>
  <c r="F329" i="82"/>
  <c r="AZ329" i="82"/>
  <c r="AZ336" i="82" s="1"/>
  <c r="AL329" i="82"/>
  <c r="AL336" i="82" s="1"/>
  <c r="BB329" i="82"/>
  <c r="BB336" i="82" s="1"/>
  <c r="J329" i="82"/>
  <c r="J336" i="82" s="1"/>
  <c r="M329" i="82"/>
  <c r="M336" i="82" s="1"/>
  <c r="V336" i="82"/>
  <c r="V329" i="82"/>
  <c r="I329" i="82"/>
  <c r="I336" i="82" s="1"/>
  <c r="Q329" i="82"/>
  <c r="Q336" i="82" s="1"/>
  <c r="Q341" i="82" s="1"/>
  <c r="U329" i="82"/>
  <c r="U336" i="82" s="1"/>
  <c r="AN329" i="82"/>
  <c r="AN336" i="82" s="1"/>
  <c r="BH329" i="82"/>
  <c r="BH336" i="82" s="1"/>
  <c r="AK336" i="82"/>
  <c r="AK329" i="82"/>
  <c r="AW329" i="82"/>
  <c r="AW336" i="82" s="1"/>
  <c r="T329" i="82"/>
  <c r="T336" i="82" s="1"/>
  <c r="AY329" i="82"/>
  <c r="AY336" i="82" s="1"/>
  <c r="L329" i="82"/>
  <c r="L336" i="82" s="1"/>
  <c r="L340" i="82" s="1"/>
  <c r="AX329" i="82"/>
  <c r="AX336" i="82" s="1"/>
  <c r="BD336" i="82"/>
  <c r="BD329" i="82"/>
  <c r="BN329" i="82"/>
  <c r="BN336" i="82" s="1"/>
  <c r="AH329" i="82"/>
  <c r="AH336" i="82" s="1"/>
  <c r="AV329" i="82"/>
  <c r="AV336" i="82" s="1"/>
  <c r="Y329" i="82"/>
  <c r="Y336" i="82" s="1"/>
  <c r="H329" i="82"/>
  <c r="H336" i="82" s="1"/>
  <c r="AG336" i="82"/>
  <c r="AG329" i="82"/>
  <c r="AC329" i="82"/>
  <c r="AC336" i="82" s="1"/>
  <c r="BI329" i="82"/>
  <c r="BI336" i="82" s="1"/>
  <c r="AF329" i="82"/>
  <c r="AF336" i="82" s="1"/>
  <c r="BK329" i="82"/>
  <c r="BK336" i="82" s="1"/>
  <c r="X329" i="82"/>
  <c r="X336" i="82" s="1"/>
  <c r="BJ336" i="82"/>
  <c r="BJ329" i="82"/>
  <c r="BA329" i="82"/>
  <c r="BA336" i="82" s="1"/>
  <c r="E336" i="82"/>
  <c r="D24" i="91"/>
  <c r="D23" i="91"/>
  <c r="D22" i="91"/>
  <c r="D19" i="91"/>
  <c r="D18" i="91"/>
  <c r="D17" i="91"/>
  <c r="D16" i="91"/>
  <c r="L30" i="88"/>
  <c r="M30" i="88"/>
  <c r="C259" i="28"/>
  <c r="E259" i="28"/>
  <c r="L259" i="28" s="1"/>
  <c r="E30" i="88" s="1"/>
  <c r="A259" i="28"/>
  <c r="N30" i="88" l="1"/>
  <c r="G30" i="88" s="1"/>
  <c r="D31" i="91"/>
  <c r="D26" i="91"/>
  <c r="D13" i="91" l="1"/>
  <c r="D33" i="91"/>
  <c r="D15" i="91"/>
  <c r="D14" i="91"/>
  <c r="E219" i="28"/>
  <c r="C228" i="28" l="1"/>
  <c r="E218" i="28" l="1"/>
  <c r="E231" i="28" l="1"/>
  <c r="L219" i="28" l="1"/>
  <c r="C219" i="28"/>
  <c r="E279" i="82" l="1"/>
  <c r="F279" i="82"/>
  <c r="G279" i="82"/>
  <c r="H279" i="82"/>
  <c r="I279" i="82"/>
  <c r="J279" i="82"/>
  <c r="K279" i="82"/>
  <c r="L279" i="82"/>
  <c r="M279" i="82"/>
  <c r="N279" i="82"/>
  <c r="O279" i="82"/>
  <c r="P279" i="82"/>
  <c r="Q279" i="82"/>
  <c r="R279" i="82"/>
  <c r="S279" i="82"/>
  <c r="T279" i="82"/>
  <c r="U279" i="82"/>
  <c r="V279" i="82"/>
  <c r="W279" i="82"/>
  <c r="X279" i="82"/>
  <c r="Y279" i="82"/>
  <c r="Z279" i="82"/>
  <c r="AA279" i="82"/>
  <c r="AB279" i="82"/>
  <c r="AC279" i="82"/>
  <c r="AD279" i="82"/>
  <c r="AE279" i="82"/>
  <c r="AF279" i="82"/>
  <c r="AG279" i="82"/>
  <c r="AH279" i="82"/>
  <c r="AI279" i="82"/>
  <c r="AJ279" i="82"/>
  <c r="AK279" i="82"/>
  <c r="AL279" i="82"/>
  <c r="AM279" i="82"/>
  <c r="AN279" i="82"/>
  <c r="AO279" i="82"/>
  <c r="AP279" i="82"/>
  <c r="AQ279" i="82"/>
  <c r="AR279" i="82"/>
  <c r="AS279" i="82"/>
  <c r="AT279" i="82"/>
  <c r="AU279" i="82"/>
  <c r="AV279" i="82"/>
  <c r="AW279" i="82"/>
  <c r="AX279" i="82"/>
  <c r="AY279" i="82"/>
  <c r="AZ279" i="82"/>
  <c r="BA279" i="82"/>
  <c r="BB279" i="82"/>
  <c r="BC279" i="82"/>
  <c r="BD279" i="82"/>
  <c r="BE279" i="82"/>
  <c r="BF279" i="82"/>
  <c r="BG279" i="82"/>
  <c r="BH279" i="82"/>
  <c r="BI279" i="82"/>
  <c r="BJ279" i="82"/>
  <c r="BK279" i="82"/>
  <c r="BL279" i="82"/>
  <c r="BM279" i="82"/>
  <c r="BN279" i="82"/>
  <c r="BO279" i="82"/>
  <c r="BP279" i="82"/>
  <c r="BQ279" i="82"/>
  <c r="BR279" i="82"/>
  <c r="D279" i="82"/>
  <c r="D25" i="91" l="1"/>
  <c r="E146" i="28" l="1"/>
  <c r="E147" i="28"/>
  <c r="M13" i="88"/>
  <c r="D35" i="91" l="1"/>
  <c r="C220" i="28" l="1"/>
  <c r="E230" i="28"/>
  <c r="E229" i="28"/>
  <c r="C109" i="72" l="1"/>
  <c r="E21" i="1" l="1"/>
  <c r="E14" i="1"/>
  <c r="E11" i="1"/>
  <c r="E264" i="1" l="1"/>
  <c r="E261" i="1"/>
  <c r="E260" i="1"/>
  <c r="E255" i="1"/>
  <c r="E256" i="1"/>
  <c r="E257" i="1"/>
  <c r="E258" i="1"/>
  <c r="E259" i="1"/>
  <c r="E254" i="1"/>
  <c r="E251" i="1"/>
  <c r="E249" i="1"/>
  <c r="E247" i="1"/>
  <c r="E245" i="1"/>
  <c r="E243" i="1"/>
  <c r="E244" i="1"/>
  <c r="E242" i="1"/>
  <c r="E238" i="1"/>
  <c r="E227" i="1"/>
  <c r="E226" i="1"/>
  <c r="E223" i="1"/>
  <c r="E221" i="1"/>
  <c r="E219" i="1"/>
  <c r="E220" i="1"/>
  <c r="E218" i="1"/>
  <c r="E215" i="1"/>
  <c r="E216" i="1"/>
  <c r="E214" i="1"/>
  <c r="E209" i="1"/>
  <c r="E207" i="1"/>
  <c r="E208" i="1"/>
  <c r="E206" i="1"/>
  <c r="E203" i="1"/>
  <c r="E201" i="1"/>
  <c r="E202" i="1"/>
  <c r="E200" i="1"/>
  <c r="E197" i="1"/>
  <c r="E195" i="1"/>
  <c r="E196" i="1"/>
  <c r="E194" i="1"/>
  <c r="E190" i="1"/>
  <c r="E189" i="1"/>
  <c r="E181" i="1"/>
  <c r="E182" i="1"/>
  <c r="E183" i="1"/>
  <c r="E184" i="1"/>
  <c r="E185" i="1"/>
  <c r="E173" i="1"/>
  <c r="E175" i="1"/>
  <c r="E177" i="1"/>
  <c r="E168" i="1"/>
  <c r="E169" i="1"/>
  <c r="E170" i="1"/>
  <c r="E171" i="1"/>
  <c r="E165" i="1"/>
  <c r="E166" i="1"/>
  <c r="E162" i="1"/>
  <c r="E164" i="1"/>
  <c r="E160" i="1"/>
  <c r="E161" i="1"/>
  <c r="E155" i="1"/>
  <c r="E151" i="1"/>
  <c r="E152" i="1"/>
  <c r="E153" i="1"/>
  <c r="E154" i="1"/>
  <c r="E147" i="1"/>
  <c r="E148" i="1"/>
  <c r="E149" i="1"/>
  <c r="E150" i="1"/>
  <c r="E143" i="1"/>
  <c r="E144" i="1"/>
  <c r="E145" i="1"/>
  <c r="E146" i="1"/>
  <c r="E139" i="1"/>
  <c r="E140" i="1"/>
  <c r="E142" i="1"/>
  <c r="E136" i="1"/>
  <c r="E137" i="1"/>
  <c r="E138" i="1"/>
  <c r="E132" i="1"/>
  <c r="E133" i="1"/>
  <c r="E134" i="1"/>
  <c r="E135" i="1"/>
  <c r="E128" i="1"/>
  <c r="E129" i="1"/>
  <c r="E130" i="1"/>
  <c r="E131" i="1"/>
  <c r="E125" i="1"/>
  <c r="E126" i="1"/>
  <c r="E127" i="1"/>
  <c r="E120" i="1"/>
  <c r="E121" i="1"/>
  <c r="E122" i="1"/>
  <c r="H155" i="1" s="1"/>
  <c r="I155" i="1" s="1"/>
  <c r="E117" i="1"/>
  <c r="E118" i="1"/>
  <c r="E119" i="1"/>
  <c r="E114" i="1"/>
  <c r="E115" i="1"/>
  <c r="E116" i="1"/>
  <c r="E109" i="1"/>
  <c r="E110" i="1"/>
  <c r="E111" i="1"/>
  <c r="E112" i="1"/>
  <c r="E113" i="1"/>
  <c r="E105" i="1"/>
  <c r="E106" i="1"/>
  <c r="E107" i="1"/>
  <c r="E108" i="1"/>
  <c r="E100" i="1"/>
  <c r="E101" i="1"/>
  <c r="E102" i="1"/>
  <c r="E103" i="1"/>
  <c r="E97" i="1"/>
  <c r="E98" i="1"/>
  <c r="E99" i="1"/>
  <c r="E94" i="1"/>
  <c r="E95" i="1"/>
  <c r="E96" i="1"/>
  <c r="E91" i="1"/>
  <c r="E92" i="1"/>
  <c r="E93" i="1"/>
  <c r="E86" i="1"/>
  <c r="E87" i="1"/>
  <c r="E88" i="1"/>
  <c r="E89" i="1"/>
  <c r="E90" i="1"/>
  <c r="E81" i="1"/>
  <c r="E85" i="1"/>
  <c r="E79" i="1"/>
  <c r="E78" i="1"/>
  <c r="E75" i="1"/>
  <c r="E76" i="1"/>
  <c r="E69" i="1"/>
  <c r="E70" i="1"/>
  <c r="E71" i="1"/>
  <c r="E72" i="1"/>
  <c r="E73" i="1"/>
  <c r="E74" i="1"/>
  <c r="E64" i="1"/>
  <c r="E65" i="1"/>
  <c r="E66" i="1"/>
  <c r="E67" i="1"/>
  <c r="E68" i="1"/>
  <c r="E59" i="1"/>
  <c r="E60" i="1"/>
  <c r="E61" i="1"/>
  <c r="E63" i="1"/>
  <c r="E54" i="1"/>
  <c r="E55" i="1"/>
  <c r="E56" i="1"/>
  <c r="E57" i="1"/>
  <c r="E58" i="1"/>
  <c r="E51" i="1"/>
  <c r="E52" i="1"/>
  <c r="E53" i="1"/>
  <c r="E46" i="1"/>
  <c r="E47" i="1"/>
  <c r="E48" i="1"/>
  <c r="E49" i="1"/>
  <c r="E50" i="1"/>
  <c r="E43" i="1"/>
  <c r="E44" i="1"/>
  <c r="E39" i="1"/>
  <c r="E40" i="1"/>
  <c r="E41" i="1"/>
  <c r="E32" i="1"/>
  <c r="E33" i="1"/>
  <c r="E34" i="1"/>
  <c r="E35" i="1"/>
  <c r="E36" i="1"/>
  <c r="E37" i="1"/>
  <c r="E38" i="1"/>
  <c r="E31" i="1"/>
  <c r="E30" i="1"/>
  <c r="E27" i="1"/>
  <c r="E28" i="1"/>
  <c r="E10" i="1"/>
  <c r="E12" i="1"/>
  <c r="E13" i="1"/>
  <c r="E15" i="1"/>
  <c r="E16" i="1"/>
  <c r="E17" i="1"/>
  <c r="E18" i="1"/>
  <c r="E19" i="1"/>
  <c r="E20" i="1"/>
  <c r="E22" i="1"/>
  <c r="E23" i="1"/>
  <c r="E24" i="1"/>
  <c r="E25" i="1"/>
  <c r="C191" i="28" l="1"/>
  <c r="E189" i="28"/>
  <c r="L189" i="28" s="1"/>
  <c r="E190" i="28"/>
  <c r="L190" i="28" s="1"/>
  <c r="E191" i="28"/>
  <c r="L191" i="28" s="1"/>
  <c r="C190" i="28"/>
  <c r="C189" i="28"/>
  <c r="A190" i="28"/>
  <c r="A191" i="28"/>
  <c r="A189" i="28"/>
  <c r="B190" i="28"/>
  <c r="B191" i="28"/>
  <c r="B189" i="28"/>
  <c r="E232" i="28"/>
  <c r="C232" i="28"/>
  <c r="C231" i="28"/>
  <c r="C230" i="28"/>
  <c r="C229" i="28"/>
  <c r="H40" i="1" l="1"/>
  <c r="I40" i="1" s="1"/>
  <c r="L231" i="28"/>
  <c r="D36" i="91"/>
  <c r="D37" i="91"/>
  <c r="D38" i="91"/>
  <c r="L230" i="28"/>
  <c r="L232" i="28"/>
  <c r="L229" i="28"/>
  <c r="E228" i="28"/>
  <c r="G40" i="1" l="1"/>
  <c r="E220" i="28" l="1"/>
  <c r="L220" i="28" s="1"/>
  <c r="E40" i="88" s="1"/>
  <c r="G40" i="88" l="1"/>
  <c r="E225" i="28"/>
  <c r="E258" i="28"/>
  <c r="E4" i="99" l="1"/>
  <c r="C4" i="99"/>
  <c r="B4" i="99"/>
  <c r="B44" i="91" l="1"/>
  <c r="B42" i="91"/>
  <c r="B40" i="91"/>
  <c r="B3" i="93" l="1"/>
  <c r="G71" i="28" l="1"/>
  <c r="G245" i="1"/>
  <c r="G244" i="1"/>
  <c r="G126" i="1"/>
  <c r="G100" i="1"/>
  <c r="G69" i="1" l="1"/>
  <c r="E257" i="28" l="1"/>
  <c r="C257" i="28"/>
  <c r="A228" i="28"/>
  <c r="E227" i="28"/>
  <c r="C227" i="28"/>
  <c r="A227" i="28"/>
  <c r="E226" i="28"/>
  <c r="C226" i="28"/>
  <c r="A226" i="28"/>
  <c r="C225" i="28"/>
  <c r="A225" i="28"/>
  <c r="E224" i="28"/>
  <c r="C224" i="28"/>
  <c r="A224" i="28"/>
  <c r="E223" i="28"/>
  <c r="C223" i="28"/>
  <c r="A223" i="28"/>
  <c r="E222" i="28"/>
  <c r="C222" i="28"/>
  <c r="A222" i="28"/>
  <c r="C218" i="28"/>
  <c r="A218" i="28"/>
  <c r="E217" i="28"/>
  <c r="C217" i="28"/>
  <c r="A217" i="28"/>
  <c r="E216" i="28"/>
  <c r="C216" i="28"/>
  <c r="A216" i="28"/>
  <c r="E215" i="28"/>
  <c r="C215" i="28"/>
  <c r="A215" i="28"/>
  <c r="E214" i="28"/>
  <c r="C214" i="28"/>
  <c r="A214" i="28"/>
  <c r="E221" i="28"/>
  <c r="C221" i="28"/>
  <c r="A221" i="28"/>
  <c r="E213" i="28"/>
  <c r="C213" i="28"/>
  <c r="A213" i="28"/>
  <c r="E212" i="28"/>
  <c r="C212" i="28"/>
  <c r="A212" i="28"/>
  <c r="L238" i="28" l="1"/>
  <c r="L13" i="88" l="1"/>
  <c r="G13" i="88" s="1"/>
  <c r="L258" i="28" l="1"/>
  <c r="D32" i="91" l="1"/>
  <c r="D21" i="91"/>
  <c r="D20" i="91"/>
  <c r="D12" i="91"/>
  <c r="D11" i="91"/>
  <c r="E178" i="28" l="1"/>
  <c r="E145" i="28"/>
  <c r="L145" i="28" s="1"/>
  <c r="L146" i="28"/>
  <c r="L147" i="28"/>
  <c r="E144" i="28"/>
  <c r="L218" i="28"/>
  <c r="E39" i="88" s="1"/>
  <c r="L217" i="28"/>
  <c r="L216" i="28"/>
  <c r="E36" i="88" s="1"/>
  <c r="AA216" i="28"/>
  <c r="AA217" i="28"/>
  <c r="AA218" i="28"/>
  <c r="L227" i="28"/>
  <c r="E42" i="88" s="1"/>
  <c r="L215" i="28"/>
  <c r="L214" i="28"/>
  <c r="AA214" i="28"/>
  <c r="AA215" i="28"/>
  <c r="E133" i="28"/>
  <c r="L133" i="28" s="1"/>
  <c r="A133" i="28"/>
  <c r="AA133" i="28" s="1"/>
  <c r="B133" i="28"/>
  <c r="C133" i="28"/>
  <c r="L144" i="28"/>
  <c r="A147" i="28"/>
  <c r="B147" i="28"/>
  <c r="C147" i="28"/>
  <c r="A144" i="28"/>
  <c r="B144" i="28"/>
  <c r="C144" i="28"/>
  <c r="A145" i="28"/>
  <c r="B145" i="28"/>
  <c r="C145" i="28"/>
  <c r="A146" i="28"/>
  <c r="B146" i="28"/>
  <c r="C146" i="28"/>
  <c r="E116" i="28"/>
  <c r="L116" i="28" s="1"/>
  <c r="A116" i="28"/>
  <c r="AA116" i="28" s="1"/>
  <c r="B116" i="28"/>
  <c r="C116" i="28"/>
  <c r="E53" i="28"/>
  <c r="L53" i="28" s="1"/>
  <c r="B53" i="28"/>
  <c r="C53" i="28"/>
  <c r="A53" i="28"/>
  <c r="AA53" i="28" s="1"/>
  <c r="E60" i="28"/>
  <c r="L60" i="28" s="1"/>
  <c r="D25" i="93" s="1"/>
  <c r="A60" i="28"/>
  <c r="AA60" i="28" s="1"/>
  <c r="B60" i="28"/>
  <c r="C60" i="28"/>
  <c r="E195" i="28"/>
  <c r="L195" i="28" s="1"/>
  <c r="F8" i="89" s="1"/>
  <c r="C195" i="28"/>
  <c r="B195" i="28"/>
  <c r="A195" i="28"/>
  <c r="G39" i="88" l="1"/>
  <c r="B1" i="89"/>
  <c r="B11" i="89" l="1"/>
  <c r="B7" i="89"/>
  <c r="A3" i="89"/>
  <c r="B10" i="89"/>
  <c r="B6" i="89"/>
  <c r="B12" i="89" l="1"/>
  <c r="B8" i="89"/>
  <c r="B16" i="89"/>
  <c r="C4" i="88"/>
  <c r="G36" i="88"/>
  <c r="G42" i="88"/>
  <c r="F22" i="89" l="1"/>
  <c r="E254" i="28"/>
  <c r="E255" i="28"/>
  <c r="AA80" i="28"/>
  <c r="AA81" i="28"/>
  <c r="AA82" i="28"/>
  <c r="AA83" i="28"/>
  <c r="AA84" i="28"/>
  <c r="AA85" i="28"/>
  <c r="AA183" i="28"/>
  <c r="AA233" i="28"/>
  <c r="AA234" i="28"/>
  <c r="AA235" i="28"/>
  <c r="AA236" i="28"/>
  <c r="AA237" i="28"/>
  <c r="AA238" i="28"/>
  <c r="AA239" i="28"/>
  <c r="AA240" i="28"/>
  <c r="AA241" i="28"/>
  <c r="AB241" i="28"/>
  <c r="AA242" i="28"/>
  <c r="AB242" i="28"/>
  <c r="AA243" i="28"/>
  <c r="AB243" i="28"/>
  <c r="AA244" i="28"/>
  <c r="AB244" i="28"/>
  <c r="AA245" i="28"/>
  <c r="AB245" i="28"/>
  <c r="AA246" i="28"/>
  <c r="AB246" i="28"/>
  <c r="AA260" i="28"/>
  <c r="AB238" i="28"/>
  <c r="AB240" i="28" l="1"/>
  <c r="N15" i="88"/>
  <c r="AB239" i="28"/>
  <c r="N24" i="88"/>
  <c r="E204" i="1" l="1"/>
  <c r="E295" i="1" s="1"/>
  <c r="E191" i="1"/>
  <c r="E198" i="1"/>
  <c r="E294" i="1" s="1"/>
  <c r="E210" i="1"/>
  <c r="Y269" i="28"/>
  <c r="X267" i="28"/>
  <c r="X266" i="28"/>
  <c r="X269" i="28" s="1"/>
  <c r="Z269" i="28" s="1"/>
  <c r="E293" i="1" l="1"/>
  <c r="E296" i="1"/>
  <c r="E211" i="1"/>
  <c r="E297" i="1" s="1"/>
  <c r="E292" i="1" l="1"/>
  <c r="E299" i="1" s="1"/>
  <c r="A290" i="1"/>
  <c r="G114" i="1" l="1"/>
  <c r="G94" i="1"/>
  <c r="F286" i="1"/>
  <c r="E286" i="1"/>
  <c r="F284" i="1"/>
  <c r="E284" i="1"/>
  <c r="F283" i="1"/>
  <c r="E283" i="1"/>
  <c r="F282" i="1"/>
  <c r="E282" i="1"/>
  <c r="F281" i="1"/>
  <c r="E281" i="1"/>
  <c r="G11" i="1"/>
  <c r="G78" i="1" l="1"/>
  <c r="C251" i="28" l="1"/>
  <c r="E210" i="28" l="1"/>
  <c r="L226" i="28"/>
  <c r="AA226" i="28"/>
  <c r="AB226" i="28" l="1"/>
  <c r="G234" i="1"/>
  <c r="E248" i="28" l="1"/>
  <c r="E251" i="28" l="1"/>
  <c r="L257" i="28" l="1"/>
  <c r="AA257" i="28"/>
  <c r="AB257" i="28" l="1"/>
  <c r="G155" i="1"/>
  <c r="G138" i="1"/>
  <c r="G135" i="1" l="1"/>
  <c r="E209" i="28" l="1"/>
  <c r="C209" i="28"/>
  <c r="A209" i="28"/>
  <c r="AA209" i="28" s="1"/>
  <c r="L209" i="28" l="1"/>
  <c r="B17" i="89" l="1"/>
  <c r="B18" i="89" s="1"/>
  <c r="G16" i="89" s="1"/>
  <c r="AB209" i="28"/>
  <c r="G183" i="1"/>
  <c r="L210" i="28" l="1"/>
  <c r="E34" i="88" s="1"/>
  <c r="H210" i="28"/>
  <c r="A210" i="28"/>
  <c r="AA210" i="28" s="1"/>
  <c r="C210" i="28"/>
  <c r="A194" i="28"/>
  <c r="AA194" i="28" s="1"/>
  <c r="B194" i="28"/>
  <c r="C194" i="28"/>
  <c r="E194" i="28"/>
  <c r="E153" i="28"/>
  <c r="E154" i="28"/>
  <c r="E155" i="28"/>
  <c r="B153" i="28"/>
  <c r="C153" i="28"/>
  <c r="B154" i="28"/>
  <c r="C154" i="28"/>
  <c r="B155" i="28"/>
  <c r="C155" i="28"/>
  <c r="A153" i="28"/>
  <c r="AA153" i="28" s="1"/>
  <c r="A154" i="28"/>
  <c r="AA154" i="28" s="1"/>
  <c r="A155" i="28"/>
  <c r="AA155" i="28" s="1"/>
  <c r="E118" i="28"/>
  <c r="A118" i="28"/>
  <c r="AA118" i="28" s="1"/>
  <c r="B118" i="28"/>
  <c r="C118" i="28"/>
  <c r="E55" i="28"/>
  <c r="E54" i="28"/>
  <c r="C55" i="28"/>
  <c r="C54" i="28"/>
  <c r="B55" i="28"/>
  <c r="B54" i="28"/>
  <c r="A55" i="28"/>
  <c r="AA55" i="28" s="1"/>
  <c r="A54" i="28"/>
  <c r="AA54" i="28" s="1"/>
  <c r="L213" i="28"/>
  <c r="L212" i="28"/>
  <c r="AA228" i="28"/>
  <c r="AA225" i="28"/>
  <c r="AA224" i="28"/>
  <c r="AA223" i="28"/>
  <c r="AA222" i="28"/>
  <c r="AA213" i="28"/>
  <c r="AA212" i="28"/>
  <c r="G34" i="88" l="1"/>
  <c r="AB212" i="28"/>
  <c r="AB210" i="28"/>
  <c r="AB213" i="28"/>
  <c r="L194" i="28"/>
  <c r="F16" i="89" s="1"/>
  <c r="L155" i="28"/>
  <c r="L154" i="28"/>
  <c r="AB154" i="28" s="1"/>
  <c r="L153" i="28"/>
  <c r="L118" i="28"/>
  <c r="AB118" i="28" s="1"/>
  <c r="L54" i="28"/>
  <c r="L55" i="28"/>
  <c r="AB55" i="28" s="1"/>
  <c r="L225" i="28"/>
  <c r="E46" i="88" s="1"/>
  <c r="G46" i="88" s="1"/>
  <c r="L228" i="28"/>
  <c r="L221" i="28"/>
  <c r="L222" i="28"/>
  <c r="L223" i="28"/>
  <c r="L224" i="28"/>
  <c r="E32" i="88" l="1"/>
  <c r="E38" i="88"/>
  <c r="G38" i="88" s="1"/>
  <c r="AB153" i="28"/>
  <c r="AB228" i="28"/>
  <c r="AB224" i="28"/>
  <c r="AB223" i="28"/>
  <c r="F27" i="89"/>
  <c r="F28" i="89" s="1"/>
  <c r="AB222" i="28"/>
  <c r="AB225" i="28"/>
  <c r="AB54" i="28"/>
  <c r="AB194" i="28"/>
  <c r="AB155" i="28"/>
  <c r="E253" i="28" l="1"/>
  <c r="L254" i="28"/>
  <c r="AB254" i="28" s="1"/>
  <c r="L255" i="28"/>
  <c r="AB255" i="28" s="1"/>
  <c r="E256" i="28"/>
  <c r="E252" i="28"/>
  <c r="A253" i="28"/>
  <c r="AA253" i="28" s="1"/>
  <c r="A254" i="28"/>
  <c r="AA254" i="28" s="1"/>
  <c r="A255" i="28"/>
  <c r="AA255" i="28" s="1"/>
  <c r="A256" i="28"/>
  <c r="AA256" i="28" s="1"/>
  <c r="A252" i="28"/>
  <c r="AA252" i="28" s="1"/>
  <c r="F251" i="28"/>
  <c r="G270" i="1"/>
  <c r="F248" i="28" s="1"/>
  <c r="G271" i="1"/>
  <c r="F249" i="28" s="1"/>
  <c r="G272" i="1"/>
  <c r="F250" i="28" s="1"/>
  <c r="G269" i="1"/>
  <c r="F247" i="28" s="1"/>
  <c r="L256" i="28" l="1"/>
  <c r="AB256" i="28" s="1"/>
  <c r="L253" i="28"/>
  <c r="AB253" i="28" s="1"/>
  <c r="L252" i="28"/>
  <c r="AB252" i="28" s="1"/>
  <c r="C253" i="28"/>
  <c r="C254" i="28"/>
  <c r="C256" i="28"/>
  <c r="C252" i="28"/>
  <c r="G224" i="1" l="1"/>
  <c r="G111" i="1"/>
  <c r="G21" i="1"/>
  <c r="F256" i="28"/>
  <c r="F255" i="28"/>
  <c r="F254" i="28"/>
  <c r="F253" i="28"/>
  <c r="F252" i="28"/>
  <c r="G101" i="1" l="1"/>
  <c r="G120" i="1" l="1"/>
  <c r="G119" i="1"/>
  <c r="G118" i="1"/>
  <c r="G117" i="1"/>
  <c r="G116" i="1"/>
  <c r="G115" i="1"/>
  <c r="G109" i="1"/>
  <c r="G99" i="1"/>
  <c r="G98" i="1"/>
  <c r="G97" i="1"/>
  <c r="G96" i="1"/>
  <c r="G95" i="1"/>
  <c r="D3" i="1" l="1"/>
  <c r="B2" i="89" l="1"/>
  <c r="C5" i="88"/>
  <c r="L4" i="28"/>
  <c r="Q28" i="88" l="1"/>
  <c r="M15" i="88"/>
  <c r="P28" i="88"/>
  <c r="Q19" i="88"/>
  <c r="M19" i="88" s="1"/>
  <c r="P19" i="88"/>
  <c r="L19" i="88" s="1"/>
  <c r="L18" i="88"/>
  <c r="L28" i="88"/>
  <c r="L27" i="88"/>
  <c r="Q25" i="88"/>
  <c r="M25" i="88" s="1"/>
  <c r="L15" i="88"/>
  <c r="P25" i="88"/>
  <c r="L25" i="88" s="1"/>
  <c r="P16" i="88"/>
  <c r="L16" i="88" s="1"/>
  <c r="M24" i="88"/>
  <c r="Q16" i="88"/>
  <c r="M16" i="88" s="1"/>
  <c r="M21" i="88"/>
  <c r="D21" i="88" s="1"/>
  <c r="L11" i="88"/>
  <c r="L24" i="88"/>
  <c r="L21" i="88"/>
  <c r="C21" i="88" s="1"/>
  <c r="M11" i="88"/>
  <c r="M18" i="88"/>
  <c r="M27" i="88"/>
  <c r="M28" i="88" l="1"/>
  <c r="D19" i="88"/>
  <c r="D18" i="88"/>
  <c r="D28" i="88"/>
  <c r="D27" i="88"/>
  <c r="C28" i="88"/>
  <c r="C18" i="88"/>
  <c r="C19" i="88"/>
  <c r="C27" i="88"/>
  <c r="N202" i="28"/>
  <c r="E198" i="28"/>
  <c r="L198" i="28" l="1"/>
  <c r="AB198" i="28" s="1"/>
  <c r="C258" i="28"/>
  <c r="B258" i="28"/>
  <c r="A258" i="28"/>
  <c r="A251" i="28"/>
  <c r="AA251" i="28" s="1"/>
  <c r="E250" i="28"/>
  <c r="C250" i="28"/>
  <c r="A250" i="28"/>
  <c r="AA250" i="28" s="1"/>
  <c r="E249" i="28"/>
  <c r="C249" i="28"/>
  <c r="A249" i="28"/>
  <c r="AA249" i="28" s="1"/>
  <c r="C248" i="28"/>
  <c r="A248" i="28"/>
  <c r="AA248" i="28" s="1"/>
  <c r="E247" i="28"/>
  <c r="C247" i="28"/>
  <c r="A247" i="28"/>
  <c r="AA247" i="28" s="1"/>
  <c r="H211" i="28"/>
  <c r="E211" i="28"/>
  <c r="C211" i="28"/>
  <c r="A211" i="28"/>
  <c r="AA211" i="28" s="1"/>
  <c r="E208" i="28"/>
  <c r="C208" i="28"/>
  <c r="A208" i="28"/>
  <c r="AA208" i="28" s="1"/>
  <c r="H207" i="28"/>
  <c r="E207" i="28"/>
  <c r="C207" i="28"/>
  <c r="B207" i="28"/>
  <c r="A207" i="28"/>
  <c r="AA207" i="28" s="1"/>
  <c r="H206" i="28"/>
  <c r="E206" i="28"/>
  <c r="C206" i="28"/>
  <c r="B206" i="28"/>
  <c r="A206" i="28"/>
  <c r="AA206" i="28" s="1"/>
  <c r="E205" i="28"/>
  <c r="C205" i="28"/>
  <c r="B205" i="28"/>
  <c r="A205" i="28"/>
  <c r="AA205" i="28" s="1"/>
  <c r="E204" i="28"/>
  <c r="C204" i="28"/>
  <c r="B204" i="28"/>
  <c r="A204" i="28"/>
  <c r="AA204" i="28" s="1"/>
  <c r="E203" i="28"/>
  <c r="C203" i="28"/>
  <c r="B203" i="28"/>
  <c r="A203" i="28"/>
  <c r="AA203" i="28" s="1"/>
  <c r="E202" i="28"/>
  <c r="C202" i="28"/>
  <c r="B202" i="28"/>
  <c r="A202" i="28"/>
  <c r="AA202" i="28" s="1"/>
  <c r="E201" i="28"/>
  <c r="C201" i="28"/>
  <c r="B201" i="28"/>
  <c r="A201" i="28"/>
  <c r="AA201" i="28" s="1"/>
  <c r="E200" i="28"/>
  <c r="C200" i="28"/>
  <c r="B200" i="28"/>
  <c r="A200" i="28"/>
  <c r="AA200" i="28" s="1"/>
  <c r="E199" i="28"/>
  <c r="C199" i="28"/>
  <c r="B199" i="28"/>
  <c r="A199" i="28"/>
  <c r="AA199" i="28" s="1"/>
  <c r="C198" i="28"/>
  <c r="B198" i="28"/>
  <c r="A198" i="28"/>
  <c r="AA198" i="28" s="1"/>
  <c r="E197" i="28"/>
  <c r="C197" i="28"/>
  <c r="B197" i="28"/>
  <c r="A197" i="28"/>
  <c r="AA197" i="28" s="1"/>
  <c r="E196" i="28"/>
  <c r="C196" i="28"/>
  <c r="B196" i="28"/>
  <c r="A196" i="28"/>
  <c r="AA196" i="28" s="1"/>
  <c r="E193" i="28"/>
  <c r="C193" i="28"/>
  <c r="B193" i="28"/>
  <c r="A193" i="28"/>
  <c r="AA193" i="28" s="1"/>
  <c r="E192" i="28"/>
  <c r="C192" i="28"/>
  <c r="B192" i="28"/>
  <c r="A192" i="28"/>
  <c r="AA192" i="28" s="1"/>
  <c r="E188" i="28"/>
  <c r="C188" i="28"/>
  <c r="B188" i="28"/>
  <c r="A188" i="28"/>
  <c r="AA188" i="28" s="1"/>
  <c r="E187" i="28"/>
  <c r="C187" i="28"/>
  <c r="B187" i="28"/>
  <c r="A187" i="28"/>
  <c r="AA187" i="28" s="1"/>
  <c r="E186" i="28"/>
  <c r="C186" i="28"/>
  <c r="B186" i="28"/>
  <c r="A186" i="28"/>
  <c r="AA186" i="28" s="1"/>
  <c r="E185" i="28"/>
  <c r="C185" i="28"/>
  <c r="B185" i="28"/>
  <c r="A185" i="28"/>
  <c r="AA185" i="28" s="1"/>
  <c r="E184" i="28"/>
  <c r="C184" i="28"/>
  <c r="B184" i="28"/>
  <c r="A184" i="28"/>
  <c r="AA184" i="28" s="1"/>
  <c r="E183" i="28"/>
  <c r="C183" i="28"/>
  <c r="E182" i="28"/>
  <c r="C182" i="28"/>
  <c r="B182" i="28"/>
  <c r="A182" i="28"/>
  <c r="AA182" i="28" s="1"/>
  <c r="E181" i="28"/>
  <c r="C181" i="28"/>
  <c r="B181" i="28"/>
  <c r="A181" i="28"/>
  <c r="AA181" i="28" s="1"/>
  <c r="E180" i="28"/>
  <c r="C180" i="28"/>
  <c r="B180" i="28"/>
  <c r="A180" i="28"/>
  <c r="AA180" i="28" s="1"/>
  <c r="E179" i="28"/>
  <c r="C179" i="28"/>
  <c r="B179" i="28"/>
  <c r="A179" i="28"/>
  <c r="AA179" i="28" s="1"/>
  <c r="C178" i="28"/>
  <c r="B178" i="28"/>
  <c r="A178" i="28"/>
  <c r="AA178" i="28" s="1"/>
  <c r="E177" i="28"/>
  <c r="C177" i="28"/>
  <c r="B177" i="28"/>
  <c r="A177" i="28"/>
  <c r="AA177" i="28" s="1"/>
  <c r="E176" i="28"/>
  <c r="C176" i="28"/>
  <c r="B176" i="28"/>
  <c r="A176" i="28"/>
  <c r="AA176" i="28" s="1"/>
  <c r="E175" i="28"/>
  <c r="C175" i="28"/>
  <c r="B175" i="28"/>
  <c r="A175" i="28"/>
  <c r="AA175" i="28" s="1"/>
  <c r="E174" i="28"/>
  <c r="C174" i="28"/>
  <c r="B174" i="28"/>
  <c r="A174" i="28"/>
  <c r="AA174" i="28" s="1"/>
  <c r="E173" i="28"/>
  <c r="C173" i="28"/>
  <c r="B173" i="28"/>
  <c r="A173" i="28"/>
  <c r="AA173" i="28" s="1"/>
  <c r="E172" i="28"/>
  <c r="C172" i="28"/>
  <c r="B172" i="28"/>
  <c r="A172" i="28"/>
  <c r="AA172" i="28" s="1"/>
  <c r="E171" i="28"/>
  <c r="C171" i="28"/>
  <c r="B171" i="28"/>
  <c r="A171" i="28"/>
  <c r="AA171" i="28" s="1"/>
  <c r="E170" i="28"/>
  <c r="C170" i="28"/>
  <c r="B170" i="28"/>
  <c r="A170" i="28"/>
  <c r="AA170" i="28" s="1"/>
  <c r="E169" i="28"/>
  <c r="C169" i="28"/>
  <c r="B169" i="28"/>
  <c r="A169" i="28"/>
  <c r="AA169" i="28" s="1"/>
  <c r="E168" i="28"/>
  <c r="C168" i="28"/>
  <c r="B168" i="28"/>
  <c r="A168" i="28"/>
  <c r="AA168" i="28" s="1"/>
  <c r="E167" i="28"/>
  <c r="C167" i="28"/>
  <c r="B167" i="28"/>
  <c r="A167" i="28"/>
  <c r="AA167" i="28" s="1"/>
  <c r="E166" i="28"/>
  <c r="C166" i="28"/>
  <c r="B166" i="28"/>
  <c r="A166" i="28"/>
  <c r="AA166" i="28" s="1"/>
  <c r="E165" i="28"/>
  <c r="C165" i="28"/>
  <c r="B165" i="28"/>
  <c r="A165" i="28"/>
  <c r="AA165" i="28" s="1"/>
  <c r="E164" i="28"/>
  <c r="C164" i="28"/>
  <c r="B164" i="28"/>
  <c r="A164" i="28"/>
  <c r="AA164" i="28" s="1"/>
  <c r="E163" i="28"/>
  <c r="C163" i="28"/>
  <c r="B163" i="28"/>
  <c r="A163" i="28"/>
  <c r="AA163" i="28" s="1"/>
  <c r="E162" i="28"/>
  <c r="C162" i="28"/>
  <c r="B162" i="28"/>
  <c r="A162" i="28"/>
  <c r="AA162" i="28" s="1"/>
  <c r="E161" i="28"/>
  <c r="C161" i="28"/>
  <c r="B161" i="28"/>
  <c r="A161" i="28"/>
  <c r="AA161" i="28" s="1"/>
  <c r="E160" i="28"/>
  <c r="C160" i="28"/>
  <c r="B160" i="28"/>
  <c r="A160" i="28"/>
  <c r="AA160" i="28" s="1"/>
  <c r="E159" i="28"/>
  <c r="C159" i="28"/>
  <c r="B159" i="28"/>
  <c r="A159" i="28"/>
  <c r="AA159" i="28" s="1"/>
  <c r="E158" i="28"/>
  <c r="C158" i="28"/>
  <c r="B158" i="28"/>
  <c r="A158" i="28"/>
  <c r="AA158" i="28" s="1"/>
  <c r="C157" i="28"/>
  <c r="B157" i="28"/>
  <c r="A157" i="28"/>
  <c r="AA157" i="28" s="1"/>
  <c r="C156" i="28"/>
  <c r="B156" i="28"/>
  <c r="A156" i="28"/>
  <c r="AA156" i="28" s="1"/>
  <c r="E152" i="28"/>
  <c r="C152" i="28"/>
  <c r="B152" i="28"/>
  <c r="A152" i="28"/>
  <c r="AA152" i="28" s="1"/>
  <c r="E151" i="28"/>
  <c r="C151" i="28"/>
  <c r="B151" i="28"/>
  <c r="A151" i="28"/>
  <c r="AA151" i="28" s="1"/>
  <c r="E150" i="28"/>
  <c r="C150" i="28"/>
  <c r="B150" i="28"/>
  <c r="A150" i="28"/>
  <c r="AA150" i="28" s="1"/>
  <c r="E149" i="28"/>
  <c r="C149" i="28"/>
  <c r="B149" i="28"/>
  <c r="A149" i="28"/>
  <c r="AA149" i="28" s="1"/>
  <c r="E148" i="28"/>
  <c r="C148" i="28"/>
  <c r="B148" i="28"/>
  <c r="A148" i="28"/>
  <c r="AA148" i="28" s="1"/>
  <c r="E143" i="28"/>
  <c r="C143" i="28"/>
  <c r="B143" i="28"/>
  <c r="A143" i="28"/>
  <c r="AA143" i="28" s="1"/>
  <c r="E142" i="28"/>
  <c r="C142" i="28"/>
  <c r="B142" i="28"/>
  <c r="A142" i="28"/>
  <c r="AA142" i="28" s="1"/>
  <c r="E141" i="28"/>
  <c r="C141" i="28"/>
  <c r="B141" i="28"/>
  <c r="A141" i="28"/>
  <c r="AA141" i="28" s="1"/>
  <c r="E140" i="28"/>
  <c r="C140" i="28"/>
  <c r="B140" i="28"/>
  <c r="A140" i="28"/>
  <c r="AA140" i="28" s="1"/>
  <c r="E139" i="28"/>
  <c r="C139" i="28"/>
  <c r="B139" i="28"/>
  <c r="A139" i="28"/>
  <c r="AA139" i="28" s="1"/>
  <c r="E138" i="28"/>
  <c r="C138" i="28"/>
  <c r="B138" i="28"/>
  <c r="A138" i="28"/>
  <c r="AA138" i="28" s="1"/>
  <c r="E137" i="28"/>
  <c r="C137" i="28"/>
  <c r="B137" i="28"/>
  <c r="A137" i="28"/>
  <c r="AA137" i="28" s="1"/>
  <c r="E136" i="28"/>
  <c r="C136" i="28"/>
  <c r="B136" i="28"/>
  <c r="A136" i="28"/>
  <c r="AA136" i="28" s="1"/>
  <c r="E135" i="28"/>
  <c r="C135" i="28"/>
  <c r="B135" i="28"/>
  <c r="A135" i="28"/>
  <c r="AA135" i="28" s="1"/>
  <c r="E134" i="28"/>
  <c r="C134" i="28"/>
  <c r="B134" i="28"/>
  <c r="A134" i="28"/>
  <c r="AA134" i="28" s="1"/>
  <c r="E132" i="28"/>
  <c r="C132" i="28"/>
  <c r="B132" i="28"/>
  <c r="A132" i="28"/>
  <c r="AA132" i="28" s="1"/>
  <c r="E131" i="28"/>
  <c r="C131" i="28"/>
  <c r="B131" i="28"/>
  <c r="A131" i="28"/>
  <c r="AA131" i="28" s="1"/>
  <c r="E130" i="28"/>
  <c r="C130" i="28"/>
  <c r="B130" i="28"/>
  <c r="A130" i="28"/>
  <c r="AA130" i="28" s="1"/>
  <c r="E129" i="28"/>
  <c r="C129" i="28"/>
  <c r="B129" i="28"/>
  <c r="A129" i="28"/>
  <c r="AA129" i="28" s="1"/>
  <c r="E128" i="28"/>
  <c r="C128" i="28"/>
  <c r="B128" i="28"/>
  <c r="A128" i="28"/>
  <c r="AA128" i="28" s="1"/>
  <c r="E127" i="28"/>
  <c r="C127" i="28"/>
  <c r="B127" i="28"/>
  <c r="A127" i="28"/>
  <c r="AA127" i="28" s="1"/>
  <c r="E126" i="28"/>
  <c r="C126" i="28"/>
  <c r="B126" i="28"/>
  <c r="A126" i="28"/>
  <c r="AA126" i="28" s="1"/>
  <c r="E125" i="28"/>
  <c r="C125" i="28"/>
  <c r="B125" i="28"/>
  <c r="A125" i="28"/>
  <c r="AA125" i="28" s="1"/>
  <c r="E124" i="28"/>
  <c r="C124" i="28"/>
  <c r="B124" i="28"/>
  <c r="A124" i="28"/>
  <c r="AA124" i="28" s="1"/>
  <c r="E123" i="28"/>
  <c r="L123" i="28" s="1"/>
  <c r="C123" i="28"/>
  <c r="B123" i="28"/>
  <c r="A123" i="28"/>
  <c r="AA123" i="28" s="1"/>
  <c r="E122" i="28"/>
  <c r="L122" i="28" s="1"/>
  <c r="C122" i="28"/>
  <c r="B122" i="28"/>
  <c r="A122" i="28"/>
  <c r="AA122" i="28" s="1"/>
  <c r="E121" i="28"/>
  <c r="C121" i="28"/>
  <c r="B121" i="28"/>
  <c r="A121" i="28"/>
  <c r="AA121" i="28" s="1"/>
  <c r="E120" i="28"/>
  <c r="C120" i="28"/>
  <c r="B120" i="28"/>
  <c r="A120" i="28"/>
  <c r="AA120" i="28" s="1"/>
  <c r="E119" i="28"/>
  <c r="C119" i="28"/>
  <c r="B119" i="28"/>
  <c r="A119" i="28"/>
  <c r="AA119" i="28" s="1"/>
  <c r="E117" i="28"/>
  <c r="C117" i="28"/>
  <c r="B117" i="28"/>
  <c r="A117" i="28"/>
  <c r="AA117" i="28" s="1"/>
  <c r="E115" i="28"/>
  <c r="C115" i="28"/>
  <c r="B115" i="28"/>
  <c r="A115" i="28"/>
  <c r="AA115" i="28" s="1"/>
  <c r="E114" i="28"/>
  <c r="C114" i="28"/>
  <c r="B114" i="28"/>
  <c r="A114" i="28"/>
  <c r="AA114" i="28" s="1"/>
  <c r="E113" i="28"/>
  <c r="C113" i="28"/>
  <c r="B113" i="28"/>
  <c r="A113" i="28"/>
  <c r="AA113" i="28" s="1"/>
  <c r="E112" i="28"/>
  <c r="C112" i="28"/>
  <c r="B112" i="28"/>
  <c r="A112" i="28"/>
  <c r="AA112" i="28" s="1"/>
  <c r="E111" i="28"/>
  <c r="C111" i="28"/>
  <c r="B111" i="28"/>
  <c r="A111" i="28"/>
  <c r="AA111" i="28" s="1"/>
  <c r="E110" i="28"/>
  <c r="C110" i="28"/>
  <c r="B110" i="28"/>
  <c r="A110" i="28"/>
  <c r="AA110" i="28" s="1"/>
  <c r="E109" i="28"/>
  <c r="C109" i="28"/>
  <c r="B109" i="28"/>
  <c r="A109" i="28"/>
  <c r="AA109" i="28" s="1"/>
  <c r="E108" i="28"/>
  <c r="C108" i="28"/>
  <c r="B108" i="28"/>
  <c r="A108" i="28"/>
  <c r="AA108" i="28" s="1"/>
  <c r="E107" i="28"/>
  <c r="C107" i="28"/>
  <c r="B107" i="28"/>
  <c r="A107" i="28"/>
  <c r="AA107" i="28" s="1"/>
  <c r="E106" i="28"/>
  <c r="C106" i="28"/>
  <c r="B106" i="28"/>
  <c r="A106" i="28"/>
  <c r="AA106" i="28" s="1"/>
  <c r="E105" i="28"/>
  <c r="C105" i="28"/>
  <c r="B105" i="28"/>
  <c r="A105" i="28"/>
  <c r="AA105" i="28" s="1"/>
  <c r="E104" i="28"/>
  <c r="C104" i="28"/>
  <c r="B104" i="28"/>
  <c r="A104" i="28"/>
  <c r="AA104" i="28" s="1"/>
  <c r="E103" i="28"/>
  <c r="C103" i="28"/>
  <c r="B103" i="28"/>
  <c r="A103" i="28"/>
  <c r="AA103" i="28" s="1"/>
  <c r="E102" i="28"/>
  <c r="C102" i="28"/>
  <c r="B102" i="28"/>
  <c r="A102" i="28"/>
  <c r="AA102" i="28" s="1"/>
  <c r="E101" i="28"/>
  <c r="C101" i="28"/>
  <c r="B101" i="28"/>
  <c r="A101" i="28"/>
  <c r="AA101" i="28" s="1"/>
  <c r="E100" i="28"/>
  <c r="C100" i="28"/>
  <c r="B100" i="28"/>
  <c r="A100" i="28"/>
  <c r="AA100" i="28" s="1"/>
  <c r="C99" i="28"/>
  <c r="B99" i="28"/>
  <c r="A99" i="28"/>
  <c r="AA99" i="28" s="1"/>
  <c r="E98" i="28"/>
  <c r="C98" i="28"/>
  <c r="B98" i="28"/>
  <c r="A98" i="28"/>
  <c r="AA98" i="28" s="1"/>
  <c r="E97" i="28"/>
  <c r="C97" i="28"/>
  <c r="B97" i="28"/>
  <c r="A97" i="28"/>
  <c r="AA97" i="28" s="1"/>
  <c r="E96" i="28"/>
  <c r="C96" i="28"/>
  <c r="B96" i="28"/>
  <c r="A96" i="28"/>
  <c r="AA96" i="28" s="1"/>
  <c r="E95" i="28"/>
  <c r="C95" i="28"/>
  <c r="B95" i="28"/>
  <c r="A95" i="28"/>
  <c r="AA95" i="28" s="1"/>
  <c r="E94" i="28"/>
  <c r="C94" i="28"/>
  <c r="B94" i="28"/>
  <c r="A94" i="28"/>
  <c r="AA94" i="28" s="1"/>
  <c r="E93" i="28"/>
  <c r="C93" i="28"/>
  <c r="B93" i="28"/>
  <c r="A93" i="28"/>
  <c r="AA93" i="28" s="1"/>
  <c r="E92" i="28"/>
  <c r="C92" i="28"/>
  <c r="B92" i="28"/>
  <c r="A92" i="28"/>
  <c r="AA92" i="28" s="1"/>
  <c r="E91" i="28"/>
  <c r="C91" i="28"/>
  <c r="B91" i="28"/>
  <c r="A91" i="28"/>
  <c r="AA91" i="28" s="1"/>
  <c r="E90" i="28"/>
  <c r="C90" i="28"/>
  <c r="B90" i="28"/>
  <c r="A90" i="28"/>
  <c r="AA90" i="28" s="1"/>
  <c r="E89" i="28"/>
  <c r="C89" i="28"/>
  <c r="B89" i="28"/>
  <c r="A89" i="28"/>
  <c r="AA89" i="28" s="1"/>
  <c r="E88" i="28"/>
  <c r="C88" i="28"/>
  <c r="B88" i="28"/>
  <c r="A88" i="28"/>
  <c r="AA88" i="28" s="1"/>
  <c r="E87" i="28"/>
  <c r="C87" i="28"/>
  <c r="B87" i="28"/>
  <c r="A87" i="28"/>
  <c r="AA87" i="28" s="1"/>
  <c r="E86" i="28"/>
  <c r="C86" i="28"/>
  <c r="B86" i="28"/>
  <c r="A86" i="28"/>
  <c r="AA86" i="28" s="1"/>
  <c r="E85" i="28"/>
  <c r="C85" i="28"/>
  <c r="B85" i="28"/>
  <c r="E84" i="28"/>
  <c r="C84" i="28"/>
  <c r="B84" i="28"/>
  <c r="E83" i="28"/>
  <c r="C83" i="28"/>
  <c r="B83" i="28"/>
  <c r="E82" i="28"/>
  <c r="C82" i="28"/>
  <c r="B82" i="28"/>
  <c r="E81" i="28"/>
  <c r="C81" i="28"/>
  <c r="B81" i="28"/>
  <c r="C80" i="28"/>
  <c r="B80" i="28"/>
  <c r="E79" i="28"/>
  <c r="C79" i="28"/>
  <c r="B79" i="28"/>
  <c r="A79" i="28"/>
  <c r="AA79" i="28" s="1"/>
  <c r="E78" i="28"/>
  <c r="C78" i="28"/>
  <c r="B78" i="28"/>
  <c r="A78" i="28"/>
  <c r="AA78" i="28" s="1"/>
  <c r="E77" i="28"/>
  <c r="C77" i="28"/>
  <c r="B77" i="28"/>
  <c r="A77" i="28"/>
  <c r="AA77" i="28" s="1"/>
  <c r="E76" i="28"/>
  <c r="C76" i="28"/>
  <c r="B76" i="28"/>
  <c r="A76" i="28"/>
  <c r="AA76" i="28" s="1"/>
  <c r="E75" i="28"/>
  <c r="C75" i="28"/>
  <c r="B75" i="28"/>
  <c r="A75" i="28"/>
  <c r="AA75" i="28" s="1"/>
  <c r="E74" i="28"/>
  <c r="C74" i="28"/>
  <c r="B74" i="28"/>
  <c r="A74" i="28"/>
  <c r="AA74" i="28" s="1"/>
  <c r="E73" i="28"/>
  <c r="C73" i="28"/>
  <c r="B73" i="28"/>
  <c r="A73" i="28"/>
  <c r="AA73" i="28" s="1"/>
  <c r="E72" i="28"/>
  <c r="C72" i="28"/>
  <c r="B72" i="28"/>
  <c r="A72" i="28"/>
  <c r="AA72" i="28" s="1"/>
  <c r="E71" i="28"/>
  <c r="C71" i="28"/>
  <c r="A71" i="28"/>
  <c r="AA71" i="28" s="1"/>
  <c r="C70" i="28"/>
  <c r="B70" i="28"/>
  <c r="A70" i="28"/>
  <c r="AA70" i="28" s="1"/>
  <c r="E69" i="28"/>
  <c r="C69" i="28"/>
  <c r="B69" i="28"/>
  <c r="A69" i="28"/>
  <c r="AA69" i="28" s="1"/>
  <c r="E68" i="28"/>
  <c r="C68" i="28"/>
  <c r="B68" i="28"/>
  <c r="A68" i="28"/>
  <c r="AA68" i="28" s="1"/>
  <c r="E67" i="28"/>
  <c r="C67" i="28"/>
  <c r="B67" i="28"/>
  <c r="A67" i="28"/>
  <c r="AA67" i="28" s="1"/>
  <c r="E66" i="28"/>
  <c r="C66" i="28"/>
  <c r="B66" i="28"/>
  <c r="A66" i="28"/>
  <c r="AA66" i="28" s="1"/>
  <c r="E65" i="28"/>
  <c r="L65" i="28" s="1"/>
  <c r="C29" i="99" s="1"/>
  <c r="C65" i="28"/>
  <c r="B65" i="28"/>
  <c r="A65" i="28"/>
  <c r="AA65" i="28" s="1"/>
  <c r="E64" i="28"/>
  <c r="C64" i="28"/>
  <c r="B64" i="28"/>
  <c r="A64" i="28"/>
  <c r="AA64" i="28" s="1"/>
  <c r="E63" i="28"/>
  <c r="C63" i="28"/>
  <c r="B63" i="28"/>
  <c r="A63" i="28"/>
  <c r="AA63" i="28" s="1"/>
  <c r="E62" i="28"/>
  <c r="C62" i="28"/>
  <c r="B62" i="28"/>
  <c r="A62" i="28"/>
  <c r="AA62" i="28" s="1"/>
  <c r="E61" i="28"/>
  <c r="C61" i="28"/>
  <c r="B61" i="28"/>
  <c r="A61" i="28"/>
  <c r="AA61" i="28" s="1"/>
  <c r="E59" i="28"/>
  <c r="C59" i="28"/>
  <c r="B59" i="28"/>
  <c r="A59" i="28"/>
  <c r="AA59" i="28" s="1"/>
  <c r="E58" i="28"/>
  <c r="C58" i="28"/>
  <c r="B58" i="28"/>
  <c r="A58" i="28"/>
  <c r="AA58" i="28" s="1"/>
  <c r="E57" i="28"/>
  <c r="C57" i="28"/>
  <c r="B57" i="28"/>
  <c r="A57" i="28"/>
  <c r="AA57" i="28" s="1"/>
  <c r="E56" i="28"/>
  <c r="C56" i="28"/>
  <c r="B56" i="28"/>
  <c r="A56" i="28"/>
  <c r="AA56" i="28" s="1"/>
  <c r="E52" i="28"/>
  <c r="C52" i="28"/>
  <c r="B52" i="28"/>
  <c r="A52" i="28"/>
  <c r="AA52" i="28" s="1"/>
  <c r="E51" i="28"/>
  <c r="C51" i="28"/>
  <c r="B51" i="28"/>
  <c r="A51" i="28"/>
  <c r="AA51" i="28" s="1"/>
  <c r="E50" i="28"/>
  <c r="C50" i="28"/>
  <c r="B50" i="28"/>
  <c r="A50" i="28"/>
  <c r="AA50" i="28" s="1"/>
  <c r="E49" i="28"/>
  <c r="C49" i="28"/>
  <c r="B49" i="28"/>
  <c r="A49" i="28"/>
  <c r="AA49" i="28" s="1"/>
  <c r="E48" i="28"/>
  <c r="C48" i="28"/>
  <c r="B48" i="28"/>
  <c r="A48" i="28"/>
  <c r="AA48" i="28" s="1"/>
  <c r="E47" i="28"/>
  <c r="C47" i="28"/>
  <c r="B47" i="28"/>
  <c r="A47" i="28"/>
  <c r="AA47" i="28" s="1"/>
  <c r="E46" i="28"/>
  <c r="C46" i="28"/>
  <c r="B46" i="28"/>
  <c r="A46" i="28"/>
  <c r="AA46" i="28" s="1"/>
  <c r="E45" i="28"/>
  <c r="C45" i="28"/>
  <c r="B45" i="28"/>
  <c r="A45" i="28"/>
  <c r="AA45" i="28" s="1"/>
  <c r="E44" i="28"/>
  <c r="C44" i="28"/>
  <c r="B44" i="28"/>
  <c r="A44" i="28"/>
  <c r="AA44" i="28" s="1"/>
  <c r="E43" i="28"/>
  <c r="C43" i="28"/>
  <c r="B43" i="28"/>
  <c r="A43" i="28"/>
  <c r="AA43" i="28" s="1"/>
  <c r="E42" i="28"/>
  <c r="C42" i="28"/>
  <c r="B42" i="28"/>
  <c r="A42" i="28"/>
  <c r="AA42" i="28" s="1"/>
  <c r="E41" i="28"/>
  <c r="C41" i="28"/>
  <c r="B41" i="28"/>
  <c r="A41" i="28"/>
  <c r="AA41" i="28" s="1"/>
  <c r="E40" i="28"/>
  <c r="C40" i="28"/>
  <c r="B40" i="28"/>
  <c r="A40" i="28"/>
  <c r="AA40" i="28" s="1"/>
  <c r="E39" i="28"/>
  <c r="C39" i="28"/>
  <c r="B39" i="28"/>
  <c r="A39" i="28"/>
  <c r="AA39" i="28" s="1"/>
  <c r="E38" i="28"/>
  <c r="C38" i="28"/>
  <c r="B38" i="28"/>
  <c r="A38" i="28"/>
  <c r="AA38" i="28" s="1"/>
  <c r="E37" i="28"/>
  <c r="C37" i="28"/>
  <c r="B37" i="28"/>
  <c r="A37" i="28"/>
  <c r="AA37" i="28" s="1"/>
  <c r="E36" i="28"/>
  <c r="C36" i="28"/>
  <c r="B36" i="28"/>
  <c r="A36" i="28"/>
  <c r="AA36" i="28" s="1"/>
  <c r="E35" i="28"/>
  <c r="C35" i="28"/>
  <c r="B35" i="28"/>
  <c r="A35" i="28"/>
  <c r="AA35" i="28" s="1"/>
  <c r="H34" i="28"/>
  <c r="E34" i="28"/>
  <c r="C34" i="28"/>
  <c r="B34" i="28"/>
  <c r="A34" i="28"/>
  <c r="AA34" i="28" s="1"/>
  <c r="E33" i="28"/>
  <c r="C33" i="28"/>
  <c r="B33" i="28"/>
  <c r="A33" i="28"/>
  <c r="AA33" i="28" s="1"/>
  <c r="E32" i="28"/>
  <c r="C32" i="28"/>
  <c r="B32" i="28"/>
  <c r="A32" i="28"/>
  <c r="AA32" i="28" s="1"/>
  <c r="E31" i="28"/>
  <c r="C31" i="28"/>
  <c r="B31" i="28"/>
  <c r="A31" i="28"/>
  <c r="AA31" i="28" s="1"/>
  <c r="E30" i="28"/>
  <c r="C30" i="28"/>
  <c r="B30" i="28"/>
  <c r="A30" i="28"/>
  <c r="AA30" i="28" s="1"/>
  <c r="E29" i="28"/>
  <c r="C29" i="28"/>
  <c r="B29" i="28"/>
  <c r="A29" i="28"/>
  <c r="AA29" i="28" s="1"/>
  <c r="E28" i="28"/>
  <c r="C28" i="28"/>
  <c r="B28" i="28"/>
  <c r="A28" i="28"/>
  <c r="AA28" i="28" s="1"/>
  <c r="E27" i="28"/>
  <c r="C27" i="28"/>
  <c r="B27" i="28"/>
  <c r="A27" i="28"/>
  <c r="AA27" i="28" s="1"/>
  <c r="E26" i="28"/>
  <c r="C26" i="28"/>
  <c r="B26" i="28"/>
  <c r="A26" i="28"/>
  <c r="AA26" i="28" s="1"/>
  <c r="E25" i="28"/>
  <c r="C25" i="28"/>
  <c r="B25" i="28"/>
  <c r="A25" i="28"/>
  <c r="AA25" i="28" s="1"/>
  <c r="E24" i="28"/>
  <c r="C24" i="28"/>
  <c r="B24" i="28"/>
  <c r="A24" i="28"/>
  <c r="AA24" i="28" s="1"/>
  <c r="E23" i="28"/>
  <c r="C23" i="28"/>
  <c r="B23" i="28"/>
  <c r="A23" i="28"/>
  <c r="AA23" i="28" s="1"/>
  <c r="E22" i="28"/>
  <c r="C22" i="28"/>
  <c r="B22" i="28"/>
  <c r="A22" i="28"/>
  <c r="AA22" i="28" s="1"/>
  <c r="E21" i="28"/>
  <c r="C21" i="28"/>
  <c r="B21" i="28"/>
  <c r="A21" i="28"/>
  <c r="AA21" i="28" s="1"/>
  <c r="E20" i="28"/>
  <c r="C20" i="28"/>
  <c r="B20" i="28"/>
  <c r="A20" i="28"/>
  <c r="AA20" i="28" s="1"/>
  <c r="E19" i="28"/>
  <c r="C19" i="28"/>
  <c r="B19" i="28"/>
  <c r="A19" i="28"/>
  <c r="AA19" i="28" s="1"/>
  <c r="E18" i="28"/>
  <c r="C18" i="28"/>
  <c r="B18" i="28"/>
  <c r="A18" i="28"/>
  <c r="AA18" i="28" s="1"/>
  <c r="E17" i="28"/>
  <c r="C17" i="28"/>
  <c r="B17" i="28"/>
  <c r="A17" i="28"/>
  <c r="AA17" i="28" s="1"/>
  <c r="E16" i="28"/>
  <c r="C16" i="28"/>
  <c r="B16" i="28"/>
  <c r="A16" i="28"/>
  <c r="AA16" i="28" s="1"/>
  <c r="E15" i="28"/>
  <c r="C15" i="28"/>
  <c r="B15" i="28"/>
  <c r="A15" i="28"/>
  <c r="AA15" i="28" s="1"/>
  <c r="E14" i="28"/>
  <c r="C14" i="28"/>
  <c r="B14" i="28"/>
  <c r="A14" i="28"/>
  <c r="AA14" i="28" s="1"/>
  <c r="E13" i="28"/>
  <c r="C13" i="28"/>
  <c r="B13" i="28"/>
  <c r="A13" i="28"/>
  <c r="AA13" i="28" s="1"/>
  <c r="E12" i="28"/>
  <c r="C12" i="28"/>
  <c r="B12" i="28"/>
  <c r="A12" i="28"/>
  <c r="AA12" i="28" s="1"/>
  <c r="E11" i="28"/>
  <c r="C11" i="28"/>
  <c r="B11" i="28"/>
  <c r="A11" i="28"/>
  <c r="AA11" i="28" s="1"/>
  <c r="C10" i="28"/>
  <c r="B10" i="28"/>
  <c r="A10" i="28"/>
  <c r="AA10" i="28" s="1"/>
  <c r="E9" i="28"/>
  <c r="C9" i="28"/>
  <c r="B9" i="28"/>
  <c r="A9" i="28"/>
  <c r="AA9" i="28" s="1"/>
  <c r="E8" i="28"/>
  <c r="C8" i="28"/>
  <c r="B8" i="28"/>
  <c r="A8" i="28"/>
  <c r="AA8" i="28" s="1"/>
  <c r="G7" i="28"/>
  <c r="E7" i="28"/>
  <c r="C7" i="28"/>
  <c r="B7" i="28"/>
  <c r="A7" i="28"/>
  <c r="AA7" i="28" s="1"/>
  <c r="E6" i="28"/>
  <c r="C6" i="28"/>
  <c r="B6" i="28"/>
  <c r="A6" i="28"/>
  <c r="AA6" i="28" s="1"/>
  <c r="E5" i="28"/>
  <c r="C5" i="28"/>
  <c r="B5" i="28"/>
  <c r="A5" i="28"/>
  <c r="AA5" i="28" s="1"/>
  <c r="C2" i="28"/>
  <c r="G267" i="1"/>
  <c r="G263" i="1"/>
  <c r="H260" i="1"/>
  <c r="G260" i="1" s="1"/>
  <c r="H259" i="1"/>
  <c r="G259" i="1" s="1"/>
  <c r="H258" i="1"/>
  <c r="G258" i="1" s="1"/>
  <c r="G257" i="1"/>
  <c r="G256" i="1"/>
  <c r="G255" i="1"/>
  <c r="G254" i="1"/>
  <c r="G247" i="1"/>
  <c r="G243" i="1"/>
  <c r="G242" i="1"/>
  <c r="G238" i="1"/>
  <c r="H235" i="1"/>
  <c r="G235" i="1" s="1"/>
  <c r="H234" i="1"/>
  <c r="H233" i="1"/>
  <c r="G232" i="1"/>
  <c r="H229" i="1"/>
  <c r="G229" i="1" s="1"/>
  <c r="H228" i="1"/>
  <c r="G228" i="1"/>
  <c r="H227" i="1"/>
  <c r="G227" i="1"/>
  <c r="G226" i="1"/>
  <c r="G221" i="1"/>
  <c r="G220" i="1"/>
  <c r="G219" i="1"/>
  <c r="G218" i="1"/>
  <c r="G216" i="1"/>
  <c r="F210" i="1"/>
  <c r="G209" i="1"/>
  <c r="G208" i="1"/>
  <c r="G207" i="1"/>
  <c r="G206" i="1"/>
  <c r="F204" i="1"/>
  <c r="G203" i="1"/>
  <c r="G202" i="1"/>
  <c r="G201" i="1"/>
  <c r="G200" i="1"/>
  <c r="F198" i="1"/>
  <c r="E157" i="28"/>
  <c r="E156" i="28"/>
  <c r="G182" i="1"/>
  <c r="G177" i="1"/>
  <c r="G173" i="1"/>
  <c r="G166" i="1"/>
  <c r="G165" i="1"/>
  <c r="G162" i="1"/>
  <c r="G161" i="1"/>
  <c r="H154" i="1"/>
  <c r="G154" i="1" s="1"/>
  <c r="G153" i="1"/>
  <c r="G152" i="1"/>
  <c r="G150" i="1"/>
  <c r="G149" i="1"/>
  <c r="G148" i="1"/>
  <c r="G147" i="1"/>
  <c r="G146" i="1"/>
  <c r="G145" i="1"/>
  <c r="G144" i="1"/>
  <c r="G143" i="1"/>
  <c r="H137" i="1"/>
  <c r="G137" i="1" s="1"/>
  <c r="G136" i="1"/>
  <c r="G134" i="1"/>
  <c r="G132" i="1"/>
  <c r="G131" i="1"/>
  <c r="G129" i="1"/>
  <c r="G128" i="1"/>
  <c r="G127" i="1"/>
  <c r="H122" i="1"/>
  <c r="G122" i="1" s="1"/>
  <c r="G108" i="1"/>
  <c r="G106" i="1"/>
  <c r="G105" i="1"/>
  <c r="H103" i="1"/>
  <c r="G103" i="1"/>
  <c r="H138" i="1"/>
  <c r="E80" i="28"/>
  <c r="G92" i="1"/>
  <c r="G90" i="1"/>
  <c r="G72" i="28"/>
  <c r="G81" i="1"/>
  <c r="G79" i="1"/>
  <c r="H76" i="1"/>
  <c r="G76" i="1" s="1"/>
  <c r="G74" i="1"/>
  <c r="G71" i="1"/>
  <c r="G68" i="1"/>
  <c r="G67" i="1"/>
  <c r="H59" i="1"/>
  <c r="G59" i="1"/>
  <c r="H78" i="1"/>
  <c r="I78" i="1" s="1"/>
  <c r="G58" i="1"/>
  <c r="G57" i="1"/>
  <c r="G56" i="1"/>
  <c r="G55" i="1"/>
  <c r="G54" i="1"/>
  <c r="G53" i="1"/>
  <c r="G52" i="1"/>
  <c r="G51" i="1"/>
  <c r="G50" i="1"/>
  <c r="G49" i="1"/>
  <c r="G48" i="1"/>
  <c r="G47" i="1"/>
  <c r="G46" i="1"/>
  <c r="G44" i="1"/>
  <c r="G41" i="1"/>
  <c r="O34" i="28"/>
  <c r="H39" i="1"/>
  <c r="G39" i="1" s="1"/>
  <c r="O33" i="28"/>
  <c r="G37" i="1"/>
  <c r="G36" i="1"/>
  <c r="G35" i="1"/>
  <c r="G34" i="1"/>
  <c r="G33" i="1"/>
  <c r="G32" i="1"/>
  <c r="G31" i="1"/>
  <c r="G30" i="1"/>
  <c r="G28" i="1"/>
  <c r="G27" i="1"/>
  <c r="H25" i="1"/>
  <c r="G25" i="1" s="1"/>
  <c r="O21" i="28"/>
  <c r="O20" i="28"/>
  <c r="G22" i="1"/>
  <c r="G20" i="1"/>
  <c r="G13" i="1"/>
  <c r="G12" i="1"/>
  <c r="G10" i="1"/>
  <c r="G9" i="1"/>
  <c r="L260" i="28"/>
  <c r="AB260" i="28" s="1"/>
  <c r="I138" i="1" l="1"/>
  <c r="H121" i="28" s="1"/>
  <c r="H68" i="28"/>
  <c r="L247" i="28"/>
  <c r="AB247" i="28" s="1"/>
  <c r="L211" i="28"/>
  <c r="AB211" i="28" s="1"/>
  <c r="L207" i="28"/>
  <c r="AB207" i="28" s="1"/>
  <c r="L208" i="28"/>
  <c r="AB208" i="28" s="1"/>
  <c r="L203" i="28"/>
  <c r="L205" i="28"/>
  <c r="L202" i="28"/>
  <c r="AB202" i="28" s="1"/>
  <c r="L204" i="28"/>
  <c r="AB204" i="28" s="1"/>
  <c r="L206" i="28"/>
  <c r="AB206" i="28" s="1"/>
  <c r="L199" i="28"/>
  <c r="AB199" i="28" s="1"/>
  <c r="L201" i="28"/>
  <c r="AB201" i="28" s="1"/>
  <c r="L200" i="28"/>
  <c r="AB200" i="28" s="1"/>
  <c r="L196" i="28"/>
  <c r="L192" i="28"/>
  <c r="AB192" i="28" s="1"/>
  <c r="L188" i="28"/>
  <c r="AB188" i="28" s="1"/>
  <c r="L193" i="28"/>
  <c r="AB193" i="28" s="1"/>
  <c r="L187" i="28"/>
  <c r="AB187" i="28" s="1"/>
  <c r="L186" i="28"/>
  <c r="L185" i="28"/>
  <c r="L184" i="28"/>
  <c r="AB184" i="28" s="1"/>
  <c r="L183" i="28"/>
  <c r="AB183" i="28" s="1"/>
  <c r="L182" i="28"/>
  <c r="AB182" i="28" s="1"/>
  <c r="L180" i="28"/>
  <c r="AB180" i="28" s="1"/>
  <c r="L179" i="28"/>
  <c r="AB179" i="28" s="1"/>
  <c r="L181" i="28"/>
  <c r="AB181" i="28" s="1"/>
  <c r="L178" i="28"/>
  <c r="L177" i="28"/>
  <c r="AB177" i="28" s="1"/>
  <c r="L173" i="28"/>
  <c r="AB173" i="28" s="1"/>
  <c r="L175" i="28"/>
  <c r="AB175" i="28" s="1"/>
  <c r="L174" i="28"/>
  <c r="AB174" i="28" s="1"/>
  <c r="L176" i="28"/>
  <c r="AB176" i="28" s="1"/>
  <c r="L170" i="28"/>
  <c r="AB170" i="28" s="1"/>
  <c r="L172" i="28"/>
  <c r="AB172" i="28" s="1"/>
  <c r="L171" i="28"/>
  <c r="AB171" i="28" s="1"/>
  <c r="L167" i="28"/>
  <c r="AB167" i="28" s="1"/>
  <c r="L169" i="28"/>
  <c r="AB169" i="28" s="1"/>
  <c r="L166" i="28"/>
  <c r="L168" i="28"/>
  <c r="AB168" i="28" s="1"/>
  <c r="L162" i="28"/>
  <c r="AB162" i="28" s="1"/>
  <c r="L164" i="28"/>
  <c r="AB164" i="28" s="1"/>
  <c r="L163" i="28"/>
  <c r="AB163" i="28" s="1"/>
  <c r="L165" i="28"/>
  <c r="AB165" i="28" s="1"/>
  <c r="L159" i="28"/>
  <c r="AB159" i="28" s="1"/>
  <c r="L160" i="28"/>
  <c r="AB160" i="28" s="1"/>
  <c r="L158" i="28"/>
  <c r="AB158" i="28" s="1"/>
  <c r="L161" i="28"/>
  <c r="AB161" i="28" s="1"/>
  <c r="L157" i="28"/>
  <c r="L156" i="28"/>
  <c r="AB156" i="28" s="1"/>
  <c r="L152" i="28"/>
  <c r="AB152" i="28" s="1"/>
  <c r="L151" i="28"/>
  <c r="AB151" i="28" s="1"/>
  <c r="L150" i="28"/>
  <c r="AB150" i="28" s="1"/>
  <c r="L149" i="28"/>
  <c r="AB149" i="28" s="1"/>
  <c r="L148" i="28"/>
  <c r="AB148" i="28" s="1"/>
  <c r="L143" i="28"/>
  <c r="AB143" i="28" s="1"/>
  <c r="L142" i="28"/>
  <c r="L141" i="28"/>
  <c r="AB141" i="28" s="1"/>
  <c r="L139" i="28"/>
  <c r="AB139" i="28" s="1"/>
  <c r="L140" i="28"/>
  <c r="AB140" i="28" s="1"/>
  <c r="L138" i="28"/>
  <c r="L137" i="28"/>
  <c r="AB137" i="28" s="1"/>
  <c r="L136" i="28"/>
  <c r="AB136" i="28" s="1"/>
  <c r="L135" i="28"/>
  <c r="F7" i="89" s="1"/>
  <c r="F11" i="89" s="1"/>
  <c r="F18" i="89" s="1"/>
  <c r="L134" i="28"/>
  <c r="AB134" i="28" s="1"/>
  <c r="L132" i="28"/>
  <c r="AB132" i="28" s="1"/>
  <c r="L131" i="28"/>
  <c r="AB131" i="28" s="1"/>
  <c r="L130" i="28"/>
  <c r="AB130" i="28" s="1"/>
  <c r="L129" i="28"/>
  <c r="AB129" i="28" s="1"/>
  <c r="L128" i="28"/>
  <c r="AB128" i="28" s="1"/>
  <c r="L127" i="28"/>
  <c r="AB127" i="28" s="1"/>
  <c r="L126" i="28"/>
  <c r="AB126" i="28" s="1"/>
  <c r="L125" i="28"/>
  <c r="L124" i="28"/>
  <c r="AB124" i="28" s="1"/>
  <c r="AB122" i="28"/>
  <c r="L121" i="28"/>
  <c r="AB121" i="28" s="1"/>
  <c r="L120" i="28"/>
  <c r="AB120" i="28" s="1"/>
  <c r="L119" i="28"/>
  <c r="AB119" i="28" s="1"/>
  <c r="L117" i="28"/>
  <c r="AB117" i="28" s="1"/>
  <c r="L113" i="28"/>
  <c r="AB113" i="28" s="1"/>
  <c r="L115" i="28"/>
  <c r="AB115" i="28" s="1"/>
  <c r="L112" i="28"/>
  <c r="AB112" i="28" s="1"/>
  <c r="L114" i="28"/>
  <c r="L107" i="28"/>
  <c r="AB107" i="28" s="1"/>
  <c r="L111" i="28"/>
  <c r="L108" i="28"/>
  <c r="AB108" i="28" s="1"/>
  <c r="L110" i="28"/>
  <c r="AB110" i="28" s="1"/>
  <c r="L109" i="28"/>
  <c r="L103" i="28"/>
  <c r="AB103" i="28" s="1"/>
  <c r="L105" i="28"/>
  <c r="AB105" i="28" s="1"/>
  <c r="L104" i="28"/>
  <c r="AB104" i="28" s="1"/>
  <c r="L106" i="28"/>
  <c r="AB106" i="28" s="1"/>
  <c r="L102" i="28"/>
  <c r="AB102" i="28" s="1"/>
  <c r="L100" i="28"/>
  <c r="AB100" i="28" s="1"/>
  <c r="L101" i="28"/>
  <c r="AB101" i="28" s="1"/>
  <c r="L98" i="28"/>
  <c r="AB98" i="28" s="1"/>
  <c r="L95" i="28"/>
  <c r="AB95" i="28" s="1"/>
  <c r="L97" i="28"/>
  <c r="AB97" i="28" s="1"/>
  <c r="L94" i="28"/>
  <c r="L96" i="28"/>
  <c r="L90" i="28"/>
  <c r="L92" i="28"/>
  <c r="AB92" i="28" s="1"/>
  <c r="L93" i="28"/>
  <c r="AB93" i="28" s="1"/>
  <c r="L91" i="28"/>
  <c r="AB91" i="28" s="1"/>
  <c r="L88" i="28"/>
  <c r="AB88" i="28" s="1"/>
  <c r="L87" i="28"/>
  <c r="AB87" i="28" s="1"/>
  <c r="L89" i="28"/>
  <c r="AB89" i="28" s="1"/>
  <c r="L86" i="28"/>
  <c r="AB86" i="28" s="1"/>
  <c r="L84" i="28"/>
  <c r="AB84" i="28" s="1"/>
  <c r="L85" i="28"/>
  <c r="AB85" i="28" s="1"/>
  <c r="L83" i="28"/>
  <c r="AB83" i="28" s="1"/>
  <c r="L82" i="28"/>
  <c r="L81" i="28"/>
  <c r="AB81" i="28" s="1"/>
  <c r="L79" i="28"/>
  <c r="AB79" i="28" s="1"/>
  <c r="L78" i="28"/>
  <c r="AB78" i="28" s="1"/>
  <c r="L80" i="28"/>
  <c r="L77" i="28"/>
  <c r="AB77" i="28" s="1"/>
  <c r="L76" i="28"/>
  <c r="L75" i="28"/>
  <c r="AB75" i="28" s="1"/>
  <c r="L72" i="28"/>
  <c r="L74" i="28"/>
  <c r="L71" i="28"/>
  <c r="AB71" i="28" s="1"/>
  <c r="L73" i="28"/>
  <c r="AB73" i="28" s="1"/>
  <c r="L69" i="28"/>
  <c r="D8" i="93" s="1"/>
  <c r="L68" i="28"/>
  <c r="AB68" i="28" s="1"/>
  <c r="L67" i="28"/>
  <c r="L66" i="28"/>
  <c r="AB66" i="28" s="1"/>
  <c r="L62" i="28"/>
  <c r="L64" i="28"/>
  <c r="C31" i="99" s="1"/>
  <c r="E31" i="99" s="1"/>
  <c r="L61" i="28"/>
  <c r="AB61" i="28" s="1"/>
  <c r="L63" i="28"/>
  <c r="C30" i="99" s="1"/>
  <c r="E30" i="99" s="1"/>
  <c r="L58" i="28"/>
  <c r="L57" i="28"/>
  <c r="AB57" i="28" s="1"/>
  <c r="L59" i="28"/>
  <c r="C26" i="99" s="1"/>
  <c r="L56" i="28"/>
  <c r="AB56" i="28" s="1"/>
  <c r="L50" i="28"/>
  <c r="AB50" i="28" s="1"/>
  <c r="L52" i="28"/>
  <c r="AB52" i="28" s="1"/>
  <c r="L51" i="28"/>
  <c r="C14" i="99" s="1"/>
  <c r="L47" i="28"/>
  <c r="C17" i="99" s="1"/>
  <c r="L49" i="28"/>
  <c r="AB49" i="28" s="1"/>
  <c r="L48" i="28"/>
  <c r="D9" i="93" s="1"/>
  <c r="L46" i="28"/>
  <c r="C20" i="99" s="1"/>
  <c r="L44" i="28"/>
  <c r="C11" i="99" s="1"/>
  <c r="E11" i="99" s="1"/>
  <c r="L43" i="28"/>
  <c r="C9" i="99" s="1"/>
  <c r="E9" i="99" s="1"/>
  <c r="L45" i="28"/>
  <c r="AB45" i="28" s="1"/>
  <c r="L42" i="28"/>
  <c r="AB42" i="28" s="1"/>
  <c r="L39" i="28"/>
  <c r="C8" i="99" s="1"/>
  <c r="L41" i="28"/>
  <c r="AB41" i="28" s="1"/>
  <c r="L38" i="28"/>
  <c r="C7" i="99" s="1"/>
  <c r="E7" i="99" s="1"/>
  <c r="L40" i="28"/>
  <c r="AB40" i="28" s="1"/>
  <c r="L37" i="28"/>
  <c r="AB37" i="28" s="1"/>
  <c r="L36" i="28"/>
  <c r="AB36" i="28" s="1"/>
  <c r="L29" i="28"/>
  <c r="AB29" i="28" s="1"/>
  <c r="L26" i="28"/>
  <c r="AB26" i="28" s="1"/>
  <c r="L34" i="28"/>
  <c r="AB34" i="28" s="1"/>
  <c r="L31" i="28"/>
  <c r="AB31" i="28" s="1"/>
  <c r="L28" i="28"/>
  <c r="AB28" i="28" s="1"/>
  <c r="L25" i="28"/>
  <c r="AB25" i="28" s="1"/>
  <c r="L33" i="28"/>
  <c r="AB33" i="28" s="1"/>
  <c r="L30" i="28"/>
  <c r="AB30" i="28" s="1"/>
  <c r="L27" i="28"/>
  <c r="AB27" i="28" s="1"/>
  <c r="L35" i="28"/>
  <c r="AB35" i="28" s="1"/>
  <c r="L24" i="28"/>
  <c r="AB24" i="28" s="1"/>
  <c r="L32" i="28"/>
  <c r="AB32" i="28" s="1"/>
  <c r="L23" i="28"/>
  <c r="AB23" i="28" s="1"/>
  <c r="L22" i="28"/>
  <c r="AB22" i="28" s="1"/>
  <c r="L21" i="28"/>
  <c r="AB21" i="28" s="1"/>
  <c r="L20" i="28"/>
  <c r="AB20" i="28" s="1"/>
  <c r="L19" i="28"/>
  <c r="AB19" i="28" s="1"/>
  <c r="L18" i="28"/>
  <c r="AB18" i="28" s="1"/>
  <c r="L16" i="28"/>
  <c r="AB16" i="28" s="1"/>
  <c r="L15" i="28"/>
  <c r="AB15" i="28" s="1"/>
  <c r="L14" i="28"/>
  <c r="AB14" i="28" s="1"/>
  <c r="L13" i="28"/>
  <c r="AB13" i="28" s="1"/>
  <c r="L12" i="28"/>
  <c r="AB12" i="28" s="1"/>
  <c r="L11" i="28"/>
  <c r="AB11" i="28" s="1"/>
  <c r="L9" i="28"/>
  <c r="AB9" i="28" s="1"/>
  <c r="L8" i="28"/>
  <c r="AB8" i="28" s="1"/>
  <c r="L6" i="28"/>
  <c r="AB6" i="28" s="1"/>
  <c r="L5" i="28"/>
  <c r="L197" i="28"/>
  <c r="AB197" i="28" s="1"/>
  <c r="L7" i="28"/>
  <c r="AB7" i="28" s="1"/>
  <c r="L17" i="28"/>
  <c r="O107" i="28"/>
  <c r="L249" i="28"/>
  <c r="AB249" i="28" s="1"/>
  <c r="L250" i="28"/>
  <c r="AB250" i="28" s="1"/>
  <c r="L248" i="28"/>
  <c r="AB248" i="28" s="1"/>
  <c r="L251" i="28"/>
  <c r="AB251" i="28" s="1"/>
  <c r="E99" i="28"/>
  <c r="E10" i="28"/>
  <c r="L10" i="28" s="1"/>
  <c r="G14" i="1"/>
  <c r="G15" i="1"/>
  <c r="G16" i="1"/>
  <c r="G17" i="1"/>
  <c r="G18" i="1"/>
  <c r="G19" i="1"/>
  <c r="E70" i="28"/>
  <c r="O89" i="28"/>
  <c r="O51" i="28"/>
  <c r="O19" i="28"/>
  <c r="F9" i="28"/>
  <c r="H137" i="28"/>
  <c r="F191" i="1"/>
  <c r="F211" i="1" s="1"/>
  <c r="N21" i="88" l="1"/>
  <c r="E21" i="88" s="1"/>
  <c r="G21" i="88" s="1"/>
  <c r="AB166" i="28"/>
  <c r="N19" i="88"/>
  <c r="E19" i="88" s="1"/>
  <c r="G19" i="88" s="1"/>
  <c r="N28" i="88"/>
  <c r="E28" i="88" s="1"/>
  <c r="G28" i="88" s="1"/>
  <c r="C10" i="99"/>
  <c r="E10" i="99" s="1"/>
  <c r="E12" i="99" s="1"/>
  <c r="D12" i="93"/>
  <c r="L9" i="88"/>
  <c r="E29" i="99"/>
  <c r="C28" i="99"/>
  <c r="E28" i="99" s="1"/>
  <c r="E26" i="99"/>
  <c r="AB157" i="28"/>
  <c r="N11" i="88"/>
  <c r="D11" i="93"/>
  <c r="AB64" i="28"/>
  <c r="D24" i="93"/>
  <c r="AB46" i="28"/>
  <c r="D18" i="93"/>
  <c r="D13" i="93"/>
  <c r="D21" i="93"/>
  <c r="D6" i="93"/>
  <c r="AB39" i="28"/>
  <c r="D7" i="93"/>
  <c r="AB47" i="28"/>
  <c r="AB65" i="28"/>
  <c r="D22" i="93"/>
  <c r="G14" i="88"/>
  <c r="D23" i="93"/>
  <c r="AB72" i="28"/>
  <c r="AB82" i="28"/>
  <c r="AB109" i="28"/>
  <c r="N18" i="88"/>
  <c r="E18" i="88" s="1"/>
  <c r="G18" i="88" s="1"/>
  <c r="AB125" i="28"/>
  <c r="N27" i="88"/>
  <c r="E27" i="88" s="1"/>
  <c r="G27" i="88" s="1"/>
  <c r="AB76" i="28"/>
  <c r="N16" i="88"/>
  <c r="G16" i="88" s="1"/>
  <c r="AB5" i="28"/>
  <c r="AB90" i="28"/>
  <c r="AB114" i="28"/>
  <c r="M20" i="88"/>
  <c r="N20" i="88" s="1"/>
  <c r="E20" i="88" s="1"/>
  <c r="G20" i="88" s="1"/>
  <c r="AB62" i="28"/>
  <c r="AB196" i="28"/>
  <c r="AB63" i="28"/>
  <c r="AB44" i="28"/>
  <c r="AB48" i="28"/>
  <c r="AB17" i="28"/>
  <c r="AB178" i="28"/>
  <c r="F24" i="89"/>
  <c r="L236" i="28"/>
  <c r="AB236" i="28" s="1"/>
  <c r="L70" i="28"/>
  <c r="AB70" i="28" s="1"/>
  <c r="AB111" i="28"/>
  <c r="AB185" i="28"/>
  <c r="AB205" i="28"/>
  <c r="AB74" i="28"/>
  <c r="AB186" i="28"/>
  <c r="AB203" i="28"/>
  <c r="AB142" i="28"/>
  <c r="AB58" i="28"/>
  <c r="AB67" i="28"/>
  <c r="AB69" i="28"/>
  <c r="AB96" i="28"/>
  <c r="AB123" i="28"/>
  <c r="AB138" i="28"/>
  <c r="F199" i="28"/>
  <c r="AB135" i="28"/>
  <c r="AB94" i="28"/>
  <c r="L99" i="28"/>
  <c r="L235" i="28"/>
  <c r="AB80" i="28"/>
  <c r="L234" i="28"/>
  <c r="AB234" i="28" s="1"/>
  <c r="AB59" i="28"/>
  <c r="AB51" i="28"/>
  <c r="AB43" i="28"/>
  <c r="AB38" i="28"/>
  <c r="L233" i="28"/>
  <c r="AB233" i="28" s="1"/>
  <c r="AB10" i="28"/>
  <c r="F34" i="28"/>
  <c r="G136" i="28"/>
  <c r="F68" i="28"/>
  <c r="G109" i="28"/>
  <c r="F121" i="28"/>
  <c r="F87" i="28"/>
  <c r="G125" i="28"/>
  <c r="F119" i="28"/>
  <c r="F104" i="28"/>
  <c r="F176" i="28"/>
  <c r="F18" i="28"/>
  <c r="F98" i="28"/>
  <c r="F175" i="28"/>
  <c r="F64" i="28"/>
  <c r="F25" i="28"/>
  <c r="F193" i="28"/>
  <c r="F96" i="28"/>
  <c r="F94" i="28"/>
  <c r="F49" i="28"/>
  <c r="F93" i="28"/>
  <c r="F201" i="28"/>
  <c r="F126" i="28"/>
  <c r="F192" i="28"/>
  <c r="F142" i="28"/>
  <c r="F91" i="28"/>
  <c r="F86" i="28"/>
  <c r="F186" i="28"/>
  <c r="F185" i="28"/>
  <c r="F135" i="28"/>
  <c r="F180" i="28"/>
  <c r="F174" i="28"/>
  <c r="F65" i="28"/>
  <c r="F188" i="28"/>
  <c r="F131" i="28"/>
  <c r="F100" i="28"/>
  <c r="F72" i="28"/>
  <c r="F173" i="28"/>
  <c r="F8" i="28"/>
  <c r="F48" i="28"/>
  <c r="F102" i="28"/>
  <c r="F105" i="28"/>
  <c r="F132" i="28"/>
  <c r="F50" i="28"/>
  <c r="F101" i="28"/>
  <c r="F35" i="28"/>
  <c r="F183" i="28"/>
  <c r="F140" i="28"/>
  <c r="F31" i="28"/>
  <c r="F58" i="28"/>
  <c r="F6" i="28"/>
  <c r="F148" i="28"/>
  <c r="F45" i="28"/>
  <c r="F139" i="28"/>
  <c r="F27" i="28"/>
  <c r="F30" i="28"/>
  <c r="F97" i="28"/>
  <c r="F95" i="28"/>
  <c r="F42" i="28"/>
  <c r="F29" i="28"/>
  <c r="F179" i="28"/>
  <c r="F129" i="28"/>
  <c r="F28" i="28"/>
  <c r="F23" i="28"/>
  <c r="F115" i="28"/>
  <c r="F22" i="28"/>
  <c r="F110" i="28"/>
  <c r="F90" i="28"/>
  <c r="F103" i="28"/>
  <c r="F37" i="28"/>
  <c r="F78" i="28"/>
  <c r="F47" i="28"/>
  <c r="F128" i="28"/>
  <c r="F46" i="28"/>
  <c r="F26" i="28"/>
  <c r="F24" i="28"/>
  <c r="F38" i="28"/>
  <c r="F61" i="28"/>
  <c r="F76" i="28"/>
  <c r="F39" i="28"/>
  <c r="F43" i="28"/>
  <c r="D1" i="28"/>
  <c r="G107" i="28"/>
  <c r="H205" i="28"/>
  <c r="G121" i="28"/>
  <c r="F127" i="28"/>
  <c r="F200" i="28"/>
  <c r="F107" i="28"/>
  <c r="H187" i="28"/>
  <c r="F44" i="28"/>
  <c r="F17" i="28"/>
  <c r="F5" i="28"/>
  <c r="F137" i="28"/>
  <c r="F41" i="28"/>
  <c r="G34" i="28"/>
  <c r="G51" i="28"/>
  <c r="F52" i="28"/>
  <c r="F51" i="28"/>
  <c r="F21" i="28"/>
  <c r="H204" i="28"/>
  <c r="G21" i="28"/>
  <c r="G137" i="28"/>
  <c r="F143" i="28"/>
  <c r="F150" i="28"/>
  <c r="F89" i="28"/>
  <c r="G89" i="28"/>
  <c r="F109" i="28"/>
  <c r="F73" i="28"/>
  <c r="F125" i="28"/>
  <c r="F124" i="28"/>
  <c r="F63" i="28"/>
  <c r="F62" i="28"/>
  <c r="F33" i="28"/>
  <c r="F7" i="28"/>
  <c r="G120" i="28"/>
  <c r="F120" i="28"/>
  <c r="F67" i="28"/>
  <c r="G67" i="28"/>
  <c r="G68" i="28"/>
  <c r="G33" i="28"/>
  <c r="F59" i="28"/>
  <c r="F136" i="28"/>
  <c r="H182" i="28"/>
  <c r="F181" i="28"/>
  <c r="H203" i="28"/>
  <c r="F196" i="28"/>
  <c r="F184" i="28"/>
  <c r="E44" i="88" l="1"/>
  <c r="D26" i="93"/>
  <c r="E32" i="99"/>
  <c r="E34" i="99" s="1"/>
  <c r="C32" i="99"/>
  <c r="C12" i="99"/>
  <c r="C15" i="99" s="1"/>
  <c r="C18" i="99" s="1"/>
  <c r="D14" i="93"/>
  <c r="AB235" i="28"/>
  <c r="L8" i="88"/>
  <c r="O11" i="88" s="1"/>
  <c r="F11" i="88"/>
  <c r="G11" i="88"/>
  <c r="N25" i="88"/>
  <c r="G25" i="88" s="1"/>
  <c r="G32" i="88"/>
  <c r="L237" i="28"/>
  <c r="AB237" i="28" s="1"/>
  <c r="AB99" i="28"/>
  <c r="G205" i="28"/>
  <c r="G203" i="28"/>
  <c r="F70" i="28"/>
  <c r="G204" i="28"/>
  <c r="F205" i="28"/>
  <c r="F187" i="28"/>
  <c r="F204" i="28"/>
  <c r="F182" i="28"/>
  <c r="F203" i="28"/>
  <c r="C34" i="99" l="1"/>
  <c r="D28" i="93"/>
  <c r="B21" i="99"/>
  <c r="B22" i="99"/>
  <c r="C21" i="99"/>
  <c r="L263" i="28"/>
  <c r="L265" i="28" s="1"/>
  <c r="G44" i="88" l="1"/>
  <c r="F25" i="89" l="1"/>
</calcChain>
</file>

<file path=xl/sharedStrings.xml><?xml version="1.0" encoding="utf-8"?>
<sst xmlns="http://schemas.openxmlformats.org/spreadsheetml/2006/main" count="6912" uniqueCount="2779">
  <si>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</si>
  <si>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</si>
  <si>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</si>
  <si>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</si>
  <si>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</si>
  <si>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</si>
  <si>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</si>
  <si>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</si>
  <si>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</si>
  <si>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</si>
  <si>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</si>
  <si>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</si>
  <si>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</si>
  <si>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</si>
  <si>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</si>
  <si>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</si>
  <si>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</si>
  <si>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</si>
  <si>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</si>
  <si>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</si>
  <si>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</si>
  <si>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</si>
  <si>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</si>
  <si>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</si>
  <si>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</si>
  <si>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</si>
  <si>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</si>
  <si>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</si>
  <si>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</si>
  <si>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</si>
  <si>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</si>
  <si>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</si>
  <si>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</si>
  <si>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</si>
  <si>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</si>
  <si>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</si>
  <si>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</si>
  <si>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</si>
  <si>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</si>
  <si>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</si>
  <si>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</si>
  <si>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</si>
  <si>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</si>
  <si>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</si>
  <si>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</si>
  <si>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</si>
  <si>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</si>
  <si>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</si>
  <si>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</si>
  <si>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</si>
  <si>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</si>
  <si>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</si>
  <si>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</si>
  <si>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</si>
  <si>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</si>
  <si>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</si>
  <si>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</si>
  <si>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</si>
  <si>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</si>
  <si>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</si>
  <si>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</si>
  <si>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</si>
  <si>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</si>
  <si>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</si>
  <si>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</si>
  <si>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</si>
  <si>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</si>
  <si>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</si>
  <si>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</si>
  <si>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</si>
  <si>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</si>
  <si>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</si>
  <si>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</si>
  <si>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</si>
  <si>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</si>
  <si>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Encumbrances at June 30 (listed in the notes)……………………………...…………………………</t>
  </si>
  <si>
    <t>Unavailable or Unearned Revenues Arising from Cash Receipts ……………………………</t>
  </si>
  <si>
    <t>Fund Balance Available for Appropriation ……………………………………………………….</t>
  </si>
  <si>
    <t>Total Restricted by State Statue………………………………………….…………………………………………..</t>
  </si>
  <si>
    <t>Restricted by State Statute Presented on Financial Statements</t>
  </si>
  <si>
    <t>Less</t>
  </si>
  <si>
    <t>Restricted - Stabilization by State Statute (LGC calculation)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</si>
  <si>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</si>
  <si>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</si>
  <si>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</si>
  <si>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</si>
  <si>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</si>
  <si>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</si>
  <si>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</si>
  <si>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</si>
  <si>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</si>
  <si>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</si>
  <si>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</si>
  <si>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</si>
  <si>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</si>
  <si>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</si>
  <si>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</si>
  <si>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</si>
  <si>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</si>
  <si>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</si>
  <si>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</si>
  <si>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</si>
  <si>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</si>
  <si>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</si>
  <si>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</si>
  <si>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</si>
  <si>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</si>
  <si>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</si>
  <si>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</si>
  <si>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</si>
  <si>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</si>
  <si>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</si>
  <si>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</si>
  <si>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</si>
  <si>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</si>
  <si>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</si>
  <si>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</si>
  <si>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</si>
  <si>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</si>
  <si>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</si>
  <si>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</si>
  <si>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</si>
  <si>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</si>
  <si>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</si>
  <si>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</si>
  <si>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</si>
  <si>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</si>
  <si>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</si>
  <si>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</si>
  <si>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</si>
  <si>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</si>
  <si>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</si>
  <si>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</si>
  <si>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</si>
  <si>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</si>
  <si>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</si>
  <si>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</si>
  <si>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</si>
  <si>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</si>
  <si>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</si>
  <si>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</si>
  <si>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</si>
  <si>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</si>
  <si>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</si>
  <si>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</si>
  <si>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</si>
  <si>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</si>
  <si>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</si>
  <si>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</si>
  <si>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</si>
  <si>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</si>
  <si>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</si>
  <si>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</si>
  <si>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</si>
  <si>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</si>
  <si>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</si>
  <si>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</si>
  <si>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</si>
  <si>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</si>
  <si>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</si>
  <si>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</si>
  <si>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</si>
  <si>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</si>
  <si>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</si>
  <si>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</si>
  <si>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</si>
  <si>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</si>
  <si>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</si>
  <si>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</si>
  <si>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</si>
  <si>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</si>
  <si>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</si>
  <si>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</si>
  <si>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</si>
  <si>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</si>
  <si>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</si>
  <si>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</si>
  <si>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</si>
  <si>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</si>
  <si>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</si>
  <si>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</si>
  <si>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</si>
  <si>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</si>
  <si>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</si>
  <si>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</si>
  <si>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</si>
  <si>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</si>
  <si>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</si>
  <si>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</si>
  <si>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</si>
  <si>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</si>
  <si>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</si>
  <si>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</si>
  <si>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</si>
  <si>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</si>
  <si>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</si>
  <si>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</si>
  <si>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</si>
  <si>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</si>
  <si>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</si>
  <si>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</si>
  <si>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</si>
  <si>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</si>
  <si>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</si>
  <si>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</si>
  <si>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</si>
  <si>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</si>
  <si>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</si>
  <si>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</si>
  <si>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</si>
  <si>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</si>
  <si>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</si>
  <si>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</si>
  <si>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</si>
  <si>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</si>
  <si>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</si>
  <si>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</si>
  <si>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</si>
  <si>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</si>
  <si>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</si>
  <si>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</si>
  <si>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</si>
  <si>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</si>
  <si>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</si>
  <si>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</si>
  <si>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</si>
  <si>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</si>
  <si>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</si>
  <si>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</si>
  <si>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</si>
  <si>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</si>
  <si>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</si>
  <si>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</si>
  <si>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</si>
  <si>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</si>
  <si>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</si>
  <si>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</si>
  <si>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</si>
  <si>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</si>
  <si>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</si>
  <si>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</si>
  <si>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</si>
  <si>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</si>
  <si>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</si>
  <si>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</si>
  <si>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</si>
  <si>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</si>
  <si>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</si>
  <si>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</si>
  <si>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</si>
  <si>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</si>
  <si>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</si>
  <si>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</si>
  <si>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</si>
  <si>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</si>
  <si>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</si>
  <si>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</si>
  <si>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</si>
  <si>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</si>
  <si>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</si>
  <si>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</si>
  <si>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</si>
  <si>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</si>
  <si>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</si>
  <si>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</si>
  <si>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</si>
  <si>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</si>
  <si>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</si>
  <si>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</si>
  <si>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</si>
  <si>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</si>
  <si>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</si>
  <si>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</si>
  <si>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</si>
  <si>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</si>
  <si>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</si>
  <si>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</si>
  <si>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</si>
  <si>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</si>
  <si>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</si>
  <si>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</si>
  <si>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</si>
  <si>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Select Your Unit's Name from the drop down box in cell D2</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</si>
  <si>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</si>
  <si>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</si>
  <si>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</si>
  <si>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</si>
  <si>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</si>
  <si>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</si>
  <si>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</si>
  <si>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</si>
  <si>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</si>
  <si>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</si>
  <si>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</si>
  <si>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</si>
  <si>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</si>
  <si>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</si>
  <si>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</si>
  <si>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</si>
  <si>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</si>
  <si>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</si>
  <si>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</si>
  <si>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</si>
  <si>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</si>
  <si>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</si>
  <si>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</si>
  <si>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</si>
  <si>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</si>
  <si>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</si>
  <si>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</si>
  <si>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</si>
  <si>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</si>
  <si>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Advance To: Interfund loan receivable-portion of repayment plan longer than 12 months</t>
  </si>
  <si>
    <t>GF-Advance To - Asset</t>
  </si>
  <si>
    <t>WS -  Advance To - Asset</t>
  </si>
  <si>
    <t>WS - Advance From - Liability</t>
  </si>
  <si>
    <t>EF - Advance To - Asset</t>
  </si>
  <si>
    <t>EF - Advance from - Liability</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</si>
  <si>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</si>
  <si>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</si>
  <si>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</si>
  <si>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</si>
  <si>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</si>
  <si>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</si>
  <si>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</si>
  <si>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</si>
  <si>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</si>
  <si>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</si>
  <si>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</si>
  <si>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</si>
  <si>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50 - Became Operational</t>
  </si>
  <si>
    <t>51 - Ceased Operations</t>
  </si>
  <si>
    <t>52 - No Change</t>
  </si>
  <si>
    <t>Status of Water Sewer</t>
  </si>
  <si>
    <t>Statement of Activities                               (all governmental and business funds)</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</si>
  <si>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</si>
  <si>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</si>
  <si>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</si>
  <si>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</si>
  <si>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</si>
  <si>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</si>
  <si>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</si>
  <si>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</si>
  <si>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If you have LEO pension assets and are reporting under GASB 68 please enter "Plan Fiduciary Net Position" which can be found on your RSI schedules and the Notes.</t>
  </si>
  <si>
    <t>OPEB
 Note or RSI</t>
  </si>
  <si>
    <t>Notes or formulas</t>
  </si>
  <si>
    <t>OPEB
RSI</t>
  </si>
  <si>
    <t>LEO
RSI</t>
  </si>
  <si>
    <t>Debt Issued within next 12 months</t>
  </si>
  <si>
    <t/>
  </si>
  <si>
    <t>LEOSSA – What is the plan’s fiduciary net position as a percentage of the total pension liability?  Please enter as percentage value; for example, 83.5% should be entered as 83.5.  If assets have not been set aside in a trust, please enter 0.0</t>
  </si>
  <si>
    <t>FS., OPEB  note or RSI</t>
  </si>
  <si>
    <t>FS., Pension note or RSI</t>
  </si>
  <si>
    <t>Notes to the Financial Statements - Pension Note</t>
  </si>
  <si>
    <t>FS., OPEB note or RSI</t>
  </si>
  <si>
    <t>Does the County collect real estate property taxes on your behalf? Select "1" for "yes and "2" for "No"</t>
  </si>
  <si>
    <t>County collects real estate property on your behalf</t>
  </si>
  <si>
    <t>Net Pension Liability</t>
  </si>
  <si>
    <t>Determination of Fiscal Health</t>
  </si>
  <si>
    <t>Fund Balance, Unassigned</t>
  </si>
  <si>
    <t>Debt Service Fund</t>
  </si>
  <si>
    <t>Water Sewer Net Position Statement</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</si>
  <si>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</si>
  <si>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</si>
  <si>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</si>
  <si>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</si>
  <si>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</si>
  <si>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</si>
  <si>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</si>
  <si>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</si>
  <si>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</si>
  <si>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</si>
  <si>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</si>
  <si>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</si>
  <si>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</si>
  <si>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</si>
  <si>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</si>
  <si>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</si>
  <si>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</si>
  <si>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</si>
  <si>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</si>
  <si>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</si>
  <si>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</si>
  <si>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Acct #</t>
  </si>
  <si>
    <t>Fund balance, Assigned (total of all assigned components)</t>
  </si>
  <si>
    <t>Amount of the General Fund Balance appropriated in next year's budget. As reported on the General Fund Balance Sheet.</t>
  </si>
  <si>
    <t>Unit Data From Audit Worksheet</t>
  </si>
  <si>
    <t>Durham</t>
  </si>
  <si>
    <t>Gaston</t>
  </si>
  <si>
    <t>Henderson</t>
  </si>
  <si>
    <t>Macon</t>
  </si>
  <si>
    <t>Rockingham</t>
  </si>
  <si>
    <t>Chapel Hill</t>
  </si>
  <si>
    <t>Charlotte</t>
  </si>
  <si>
    <t>Greensboro</t>
  </si>
  <si>
    <t>Greenville</t>
  </si>
  <si>
    <t>High Point</t>
  </si>
  <si>
    <t>Wake Forest</t>
  </si>
  <si>
    <t>Wilmington</t>
  </si>
  <si>
    <t>Winston-Salem</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</si>
  <si>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</si>
  <si>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</si>
  <si>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</si>
  <si>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</si>
  <si>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</si>
  <si>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</si>
  <si>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</si>
  <si>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</si>
  <si>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</si>
  <si>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</si>
  <si>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</si>
  <si>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</si>
  <si>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</si>
  <si>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</si>
  <si>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</si>
  <si>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</si>
  <si>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</si>
  <si>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</si>
  <si>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OPEB-Plan's fiduciary net position as a % of total OPEB liability</t>
  </si>
  <si>
    <t>Do you use prepared food/occupancy tax revenue stream to support debt.  Yes =1 No=2</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</si>
  <si>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</si>
  <si>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</si>
  <si>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</si>
  <si>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</si>
  <si>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</si>
  <si>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</si>
  <si>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</si>
  <si>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</si>
  <si>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</si>
  <si>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</si>
  <si>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</si>
  <si>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</si>
  <si>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</si>
  <si>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Indian Beach</t>
  </si>
  <si>
    <t>Jackson</t>
  </si>
  <si>
    <t>Kingstown</t>
  </si>
  <si>
    <t>Love Valley</t>
  </si>
  <si>
    <t>Lucama</t>
  </si>
  <si>
    <t>Lumberton</t>
  </si>
  <si>
    <t>Macclesfield</t>
  </si>
  <si>
    <t>Magnolia</t>
  </si>
  <si>
    <t>Maysville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</si>
  <si>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</si>
  <si>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</si>
  <si>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</si>
  <si>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</si>
  <si>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</si>
  <si>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</si>
  <si>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</si>
  <si>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</si>
  <si>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</si>
  <si>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</si>
  <si>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</si>
  <si>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</si>
  <si>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</si>
  <si>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</si>
  <si>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</si>
  <si>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</si>
  <si>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</si>
  <si>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</si>
  <si>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</si>
  <si>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N/A</t>
  </si>
  <si>
    <t>Is the Independent Auditor's Report Opinion Unmodified?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</si>
  <si>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</si>
  <si>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</si>
  <si>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</si>
  <si>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</si>
  <si>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</si>
  <si>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</si>
  <si>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</si>
  <si>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</si>
  <si>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</si>
  <si>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</si>
  <si>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</si>
  <si>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</si>
  <si>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</si>
  <si>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</si>
  <si>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</si>
  <si>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</si>
  <si>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</si>
  <si>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</si>
  <si>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</si>
  <si>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</si>
  <si>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</si>
  <si>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</si>
  <si>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</si>
  <si>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</si>
  <si>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Colerain</t>
  </si>
  <si>
    <t>Columbia</t>
  </si>
  <si>
    <t>Dobbins Heights</t>
  </si>
  <si>
    <t>Dover</t>
  </si>
  <si>
    <t>Earl</t>
  </si>
  <si>
    <t>East Laurinburg</t>
  </si>
  <si>
    <t>East Spencer</t>
  </si>
  <si>
    <t>Edgecombe County</t>
  </si>
  <si>
    <t>Ellerbe</t>
  </si>
  <si>
    <t>Elm City</t>
  </si>
  <si>
    <t>Enfield</t>
  </si>
  <si>
    <t>Everetts</t>
  </si>
  <si>
    <t>Fair Bluff</t>
  </si>
  <si>
    <t>Fairmont</t>
  </si>
  <si>
    <t>Fontana Dam</t>
  </si>
  <si>
    <t>Four Oaks</t>
  </si>
  <si>
    <t>Franklinville</t>
  </si>
  <si>
    <t>Fremont</t>
  </si>
  <si>
    <t>Glen Alpine</t>
  </si>
  <si>
    <t>Goldsboro</t>
  </si>
  <si>
    <t>Greenevers</t>
  </si>
  <si>
    <t>Grover</t>
  </si>
  <si>
    <t>Halifax</t>
  </si>
  <si>
    <t>Hamilton</t>
  </si>
  <si>
    <t>Hamlet</t>
  </si>
  <si>
    <t>Hoffman</t>
  </si>
  <si>
    <t>Holly Ridge</t>
  </si>
  <si>
    <t>Hookerton</t>
  </si>
  <si>
    <t>Hyde County</t>
  </si>
  <si>
    <t>Milton</t>
  </si>
  <si>
    <t>Montreat</t>
  </si>
  <si>
    <t>Mount Olive</t>
  </si>
  <si>
    <t>Navassa</t>
  </si>
  <si>
    <t>Newport</t>
  </si>
  <si>
    <t>Newton Grove</t>
  </si>
  <si>
    <t>Norlina</t>
  </si>
  <si>
    <t>Norman</t>
  </si>
  <si>
    <t>Northampton County</t>
  </si>
  <si>
    <t>Norwood</t>
  </si>
  <si>
    <t>Oak City</t>
  </si>
  <si>
    <t>Pender County</t>
  </si>
  <si>
    <t>Pikeville</t>
  </si>
  <si>
    <t>Pilot Mountain</t>
  </si>
  <si>
    <t>Polkville</t>
  </si>
  <si>
    <t>Pollocksville</t>
  </si>
  <si>
    <t>Princeville</t>
  </si>
  <si>
    <t>Proctorville</t>
  </si>
  <si>
    <t>Ramseur</t>
  </si>
  <si>
    <t>Ranlo</t>
  </si>
  <si>
    <t>Red Springs</t>
  </si>
  <si>
    <t>Rich Square</t>
  </si>
  <si>
    <t>Robbins</t>
  </si>
  <si>
    <t>Robersonville</t>
  </si>
  <si>
    <t>Ronda</t>
  </si>
  <si>
    <t>Scotland County</t>
  </si>
  <si>
    <t>Scotland Neck</t>
  </si>
  <si>
    <t>Sedalia</t>
  </si>
  <si>
    <t>Sharpsburg</t>
  </si>
  <si>
    <t>Snow Hill</t>
  </si>
  <si>
    <t>Spring Lake</t>
  </si>
  <si>
    <t>Taylorsville</t>
  </si>
  <si>
    <t>Taylortown</t>
  </si>
  <si>
    <t>Tryon</t>
  </si>
  <si>
    <t>Tyrrell County</t>
  </si>
  <si>
    <t>Vanceboro</t>
  </si>
  <si>
    <t>Vass</t>
  </si>
  <si>
    <t>Whitakers</t>
  </si>
  <si>
    <t>Wilkesboro</t>
  </si>
  <si>
    <t>No Revaluation with next two years</t>
  </si>
  <si>
    <t>Unsure</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</si>
  <si>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</si>
  <si>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</si>
  <si>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</si>
  <si>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</si>
  <si>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</si>
  <si>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</si>
  <si>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</si>
  <si>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</si>
  <si>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</si>
  <si>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</si>
  <si>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</si>
  <si>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</si>
  <si>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Compliance</t>
  </si>
  <si>
    <t>Allowable Transfer per statute</t>
  </si>
  <si>
    <t>Is Unit following G.S. 159B-39?</t>
  </si>
  <si>
    <t>Payment in Lieu of Taxes Error:</t>
  </si>
  <si>
    <t>Notes:</t>
  </si>
  <si>
    <t xml:space="preserve">Comments: </t>
  </si>
  <si>
    <t>Amount of transfer out to the General Fund that is for Payment in Lieu of Taxes (PILOT)</t>
  </si>
  <si>
    <t>Decrease</t>
  </si>
  <si>
    <t>No Change</t>
  </si>
  <si>
    <t>Performance Indicator</t>
  </si>
  <si>
    <t>Unit Number:</t>
  </si>
  <si>
    <t>Equal or greater than 1</t>
  </si>
  <si>
    <t>Less than 3%</t>
  </si>
  <si>
    <t>Unit Data from Audit Worksheet tab : (654-655-579-510)/(633-634-635-636-637-638-578)</t>
  </si>
  <si>
    <t>Date the Auditor presented or plans to present the Audit to the Governing Board</t>
  </si>
  <si>
    <t>Of the transfers-in above in acct # 352, list amount of transfers-in that were used to support Water Sewer operations  (exclude capital transfers)</t>
  </si>
  <si>
    <t>Unit Data from Audit worksheet tab : (984-985)/985</t>
  </si>
  <si>
    <t>Unit Data from Audit worksheet tab :  CCH acct # 991</t>
  </si>
  <si>
    <t>No over-expenditures</t>
  </si>
  <si>
    <t>hidden data</t>
  </si>
  <si>
    <t>Unit Data from Audit worksheet tab : (657-658-511-581)/(639-640-641-642-643-644-580)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</si>
  <si>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</si>
  <si>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</si>
  <si>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</si>
  <si>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</si>
  <si>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</si>
  <si>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</si>
  <si>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</si>
  <si>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Tax rate for year audited</t>
  </si>
  <si>
    <t>Unit Name:</t>
  </si>
  <si>
    <t>D</t>
  </si>
  <si>
    <t>E</t>
  </si>
  <si>
    <t>F</t>
  </si>
  <si>
    <t>G</t>
  </si>
  <si>
    <t>H</t>
  </si>
  <si>
    <t>PROPERTY TAX RATES AND REVALUATION SCHEDULES FOR NORTH CAROLINA COUNTIES</t>
  </si>
  <si>
    <t>(All rates per $100 valuation*)</t>
  </si>
  <si>
    <t>Year</t>
  </si>
  <si>
    <t>Next</t>
  </si>
  <si>
    <t>Tax</t>
  </si>
  <si>
    <t>of latest</t>
  </si>
  <si>
    <t>scheduled</t>
  </si>
  <si>
    <t>Counties</t>
  </si>
  <si>
    <t>Rate</t>
  </si>
  <si>
    <t>revaluation</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</si>
  <si>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</si>
  <si>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</si>
  <si>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</si>
  <si>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</si>
  <si>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</si>
  <si>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</si>
  <si>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</si>
  <si>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</si>
  <si>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</si>
  <si>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</si>
  <si>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</si>
  <si>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</si>
  <si>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</si>
  <si>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</si>
  <si>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</si>
  <si>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</si>
  <si>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</si>
  <si>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</si>
  <si>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</si>
  <si>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Do you operate a landfill that will be closing  or have a significant portion closing within the next 5 years?  Select "1" for Yes and "2" for No</t>
  </si>
  <si>
    <t xml:space="preserve">Estimated cost not yet budgeted of any mandate placed on unit by DEQ, a court order or some similar requirement (that has no realistic appeal path). </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</si>
  <si>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</si>
  <si>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</si>
  <si>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</si>
  <si>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</si>
  <si>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</si>
  <si>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</si>
  <si>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</si>
  <si>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</si>
  <si>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</si>
  <si>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</si>
  <si>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</si>
  <si>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</si>
  <si>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</si>
  <si>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Did the Unit have any of the following occur:
1.  Bond covenants were not met
2.  Debt service payments made late?  Deferred payments authorized by LGC or other state
     agencies should not be counted as late for purposes of this question.</t>
  </si>
  <si>
    <t>TD Info Completed by Auditor : CCH acct # 974</t>
  </si>
  <si>
    <t>Muni</t>
  </si>
  <si>
    <t>Minimum Threshold</t>
  </si>
  <si>
    <r>
      <t>Gross Capital Assets-</t>
    </r>
    <r>
      <rPr>
        <b/>
        <sz val="11"/>
        <rFont val="Calibri"/>
        <family val="2"/>
        <scheme val="minor"/>
      </rPr>
      <t>Prior Year</t>
    </r>
  </si>
  <si>
    <r>
      <t>Gross Annual Revenue-</t>
    </r>
    <r>
      <rPr>
        <b/>
        <sz val="11"/>
        <rFont val="Calibri"/>
        <family val="2"/>
        <scheme val="minor"/>
      </rPr>
      <t>Prior Year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</si>
  <si>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</si>
  <si>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</si>
  <si>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</si>
  <si>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Please enter your tax rate for ad valorem in effect for fiscal year audited.  Example 60 cents per 100 would be entered as .60</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</si>
  <si>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</si>
  <si>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</si>
  <si>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</si>
  <si>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</si>
  <si>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</si>
  <si>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</si>
  <si>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</si>
  <si>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</si>
  <si>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</si>
  <si>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</si>
  <si>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</si>
  <si>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</si>
  <si>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</si>
  <si>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</si>
  <si>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</si>
  <si>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</si>
  <si>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</si>
  <si>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</si>
  <si>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</si>
  <si>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</si>
  <si>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</si>
  <si>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</si>
  <si>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</si>
  <si>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</si>
  <si>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</si>
  <si>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</si>
  <si>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</si>
  <si>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</si>
  <si>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</si>
  <si>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</si>
  <si>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</si>
  <si>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</si>
  <si>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</si>
  <si>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</si>
  <si>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</si>
  <si>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</si>
  <si>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</si>
  <si>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</si>
  <si>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</si>
  <si>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</si>
  <si>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</si>
  <si>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</si>
  <si>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</si>
  <si>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</si>
  <si>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</si>
  <si>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</si>
  <si>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</si>
  <si>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</si>
  <si>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</si>
  <si>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</si>
  <si>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</si>
  <si>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</si>
  <si>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</si>
  <si>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</si>
  <si>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</si>
  <si>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</si>
  <si>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</si>
  <si>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</si>
  <si>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</si>
  <si>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</si>
  <si>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</si>
  <si>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</si>
  <si>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</si>
  <si>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</si>
  <si>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</si>
  <si>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</si>
  <si>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</si>
  <si>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</si>
  <si>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</si>
  <si>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</si>
  <si>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</si>
  <si>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</si>
  <si>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</si>
  <si>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</si>
  <si>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</si>
  <si>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</si>
  <si>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</si>
  <si>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</si>
  <si>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</si>
  <si>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</si>
  <si>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</si>
  <si>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</si>
  <si>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</si>
  <si>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</si>
  <si>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</si>
  <si>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</si>
  <si>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</si>
  <si>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</si>
  <si>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</si>
  <si>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</si>
  <si>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</si>
  <si>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</si>
  <si>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</si>
  <si>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</si>
  <si>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</si>
  <si>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</si>
  <si>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</si>
  <si>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</si>
  <si>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</si>
  <si>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</si>
  <si>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</si>
  <si>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</si>
  <si>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</si>
  <si>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</si>
  <si>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</si>
  <si>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</si>
  <si>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</si>
  <si>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</si>
  <si>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</si>
  <si>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</si>
  <si>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</si>
  <si>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</si>
  <si>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</si>
  <si>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</si>
  <si>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</si>
  <si>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Messages</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</si>
  <si>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</si>
  <si>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</si>
  <si>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</si>
  <si>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</si>
  <si>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</si>
  <si>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</si>
  <si>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</si>
  <si>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</si>
  <si>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</si>
  <si>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</si>
  <si>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</si>
  <si>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</si>
  <si>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</si>
  <si>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</si>
  <si>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</si>
  <si>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</si>
  <si>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</si>
  <si>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t>Leave blank if data not available</t>
  </si>
  <si>
    <t>Debt Service Fund Balance</t>
  </si>
  <si>
    <t>Did unit have problems with debt service payments being late, debt restructured or not meeting bond covenants</t>
  </si>
  <si>
    <t>If you answered "yes" to question CCH #988 above, will you have the closure/postclosure cost fully funded by the date of closure</t>
  </si>
  <si>
    <t>Greater than 16% (2 months)</t>
  </si>
  <si>
    <t>Unit Data from Audit worksheet tab :  CCH acct # 986 is greater than (CCH 85+CCH 351)*.03</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</si>
  <si>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</si>
  <si>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Select Unit Name from Drop Down List</t>
  </si>
  <si>
    <t>Section 1: Data Collection NOTE:  the data submitted below may be used in various published reports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</si>
  <si>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</si>
  <si>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</si>
  <si>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</si>
  <si>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</si>
  <si>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</si>
  <si>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</si>
  <si>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</si>
  <si>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</si>
  <si>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</si>
  <si>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</si>
  <si>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</si>
  <si>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</si>
  <si>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</si>
  <si>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</si>
  <si>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</si>
  <si>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</si>
  <si>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</si>
  <si>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</si>
  <si>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</si>
  <si>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</si>
  <si>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</si>
  <si>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</si>
  <si>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</si>
  <si>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</si>
  <si>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</si>
  <si>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</si>
  <si>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</si>
  <si>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</si>
  <si>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</si>
  <si>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</si>
  <si>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</si>
  <si>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</si>
  <si>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</si>
  <si>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</si>
  <si>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</si>
  <si>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</si>
  <si>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</si>
  <si>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</si>
  <si>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</si>
  <si>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</si>
  <si>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</si>
  <si>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</si>
  <si>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</si>
  <si>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</si>
  <si>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</si>
  <si>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Martin County</t>
  </si>
  <si>
    <t>GENERAL FUND:</t>
  </si>
  <si>
    <t>Unit Results</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</si>
  <si>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water and/or sewer system may not be sustainable.</t>
  </si>
  <si>
    <t>Greater than zero</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</si>
  <si>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</si>
  <si>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</si>
  <si>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</si>
  <si>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</si>
  <si>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Any estimated decrease</t>
  </si>
  <si>
    <t>You indicated that you expect a decrease in property value for your next property revaluation which could result in lost tax revenue.</t>
  </si>
  <si>
    <t>Please indicate if you expect your revaluation to increase, decrease, or no change.  If you are not listed please select N/A</t>
  </si>
  <si>
    <t>I</t>
  </si>
  <si>
    <t>Do you operate a landfill that will be closing  or have a significant portion closing within the next 5 years</t>
  </si>
  <si>
    <t>Please have the completed audit report available to complete this form.  ALL questions must be answered before submitting to the portal.</t>
  </si>
  <si>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</si>
  <si>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</si>
  <si>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</si>
  <si>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</si>
  <si>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</si>
  <si>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</si>
  <si>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</si>
  <si>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</si>
  <si>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</si>
  <si>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</si>
  <si>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</si>
  <si>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</si>
  <si>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</si>
  <si>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</si>
  <si>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t>Agrees</t>
  </si>
  <si>
    <t>from 2021 control Sheet</t>
  </si>
  <si>
    <t>from collection tab</t>
  </si>
  <si>
    <t>Intergovernmental Data Code</t>
  </si>
  <si>
    <t>WS - Total Current Assets</t>
  </si>
  <si>
    <t>WS - Select Current Liabilities</t>
  </si>
  <si>
    <t>Electric - Total Current Assets</t>
  </si>
  <si>
    <t>WS Cap Asset - Land &amp; other Non-Construction</t>
  </si>
  <si>
    <t>Gov - Select Current Liabilities</t>
  </si>
  <si>
    <t>GA- Total General revenues (No transfers, special, extraordinary items)(SOA)</t>
  </si>
  <si>
    <t>WS - Total Non-Operating Revenues-exclude capital contrib.</t>
  </si>
  <si>
    <t>Electric - Total Transfers Out (to all funds)</t>
  </si>
  <si>
    <t>Gen Fund - Any Adj. to Beginning Net Position</t>
  </si>
  <si>
    <t>Gen Fund - Total Expenditures</t>
  </si>
  <si>
    <t>Gen Fund - Proceeds from LTD</t>
  </si>
  <si>
    <t>Amount of the Water Sewer Fund Balance appropriated in next year's budget</t>
  </si>
  <si>
    <t>OPEB
1-implicit rate only
2-no benefit
3-benfit
4- state health plan</t>
  </si>
  <si>
    <t>Yes  or "1" indicates unit has defined benefit other than the ones adm. By the state</t>
  </si>
  <si>
    <t>WS-Advance From - Liability</t>
  </si>
  <si>
    <t>WS-Advance To - Asset</t>
  </si>
  <si>
    <t>Electric-Advance From - Liability</t>
  </si>
  <si>
    <t>Electric-Advance To - Asset</t>
  </si>
  <si>
    <t>GF - Advance to</t>
  </si>
  <si>
    <t>Compliance opinion - enter "1" for clean Opinion or "2" for other than clean opinion</t>
  </si>
  <si>
    <t>LEO - plan's fiduary net position as a % of total pension liability</t>
  </si>
  <si>
    <t>Do you expect to issue debt requiring LGC approval within 12 months from the date that the audit is submitted - select "1" for year and "2" for no</t>
  </si>
  <si>
    <t>IMPORT TAB ONLY - OPEB - If a unit is an employer participant in the State's RHBF (Retiree Health Benefit Fund) then only the Net OPEB liability is available and should be put in the reviewer correction field, column D.  It should be the total amount of t</t>
  </si>
  <si>
    <t>Unit's Share of Net Pension Liability ($s)
- unit of government is a participating employer in the State's TSERS (Teachers' and State Employees' Retirement System) or the LGERS (Local Governmental Employees' Retirement System).</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</si>
  <si>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</si>
  <si>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</si>
  <si>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</si>
  <si>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</si>
  <si>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</si>
  <si>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</si>
  <si>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GW-Current Liabilities - closure/Postclosure</t>
  </si>
  <si>
    <t>Debt Service Funds Total Fund Balance</t>
  </si>
  <si>
    <t>WS-Any current assets that are restricted (Cash, Accounts Rec., ect.)</t>
  </si>
  <si>
    <t>Electric-Total Current Assets as presented on the Statement of Net Position</t>
  </si>
  <si>
    <t>Electric-Any current assets that are restricted (Cash, Accounts Rec., ect.)</t>
  </si>
  <si>
    <t>OPEB- Total OPEB liability</t>
  </si>
  <si>
    <t>OPEB-OPEB plan fiduciary net position</t>
  </si>
  <si>
    <t>Single Audit Only - Other CARES Act /Coronavirus funding</t>
  </si>
  <si>
    <t>TD-Was a Unmodified Audit Opinion issued?</t>
  </si>
  <si>
    <t>TD-Was there a finding for lack of segregation of duties at this unit?</t>
  </si>
  <si>
    <t>First name of finance officer or interim finance officer (please enter GÇ£vacantGÇ¥ for first or last name if the position is currently vacant)</t>
  </si>
  <si>
    <t>Cheryl</t>
  </si>
  <si>
    <t>Susan</t>
  </si>
  <si>
    <t>Last name of finance officer or interim finance officer (please enter GÇ£vacantGÇ¥ for first or last name if the position is currently vacant)</t>
  </si>
  <si>
    <t>Is the finance officer serving in a permanent role or an interim role? (permanent/interim/vacant)</t>
  </si>
  <si>
    <t>Has the finance officer been formally appointed by the local government, public authority, or designated official?  (Y/N)</t>
  </si>
  <si>
    <t>TD-Is there a finding for lack of technical skills, knowledge and experience (SKE) at this unit?</t>
  </si>
  <si>
    <t>Date on which the local government, public authority, or designated official appointed the finance officer? (If the date of appointment by the board is difficult to find you may enter January 1 and the year)</t>
  </si>
  <si>
    <t>1/1/2021</t>
  </si>
  <si>
    <t>8/1/2021</t>
  </si>
  <si>
    <t>1/1/2020</t>
  </si>
  <si>
    <t>TD-Is there is a going concern finding noted in the audit report?</t>
  </si>
  <si>
    <t>TD-Number of significant deficiency findings (other than in Questions 10-13 )</t>
  </si>
  <si>
    <t>TD-Number of material weaknesses findings (other than in Questions 10-13)</t>
  </si>
  <si>
    <t>Has the finance officer or interim finance officer submitted (or has ensured the submission of) all required and applicable reports, including but not limited to, the annual audit report (N.C.G.S. 159-34), the semi-annual report on cash and investments (GÇ£</t>
  </si>
  <si>
    <t>TD-Did unit have their debt service payments restructured in this fiscal year? (does not include refinancings designed to take advantage of lower interest rates)</t>
  </si>
  <si>
    <t>Name of Official who signed the Data Input Worksheet</t>
  </si>
  <si>
    <t>Title of Official who signed the Data input Worksheet</t>
  </si>
  <si>
    <t>Finance Director</t>
  </si>
  <si>
    <t>Finance Officer</t>
  </si>
  <si>
    <t>CFO</t>
  </si>
  <si>
    <t>FINANCE OFFICER</t>
  </si>
  <si>
    <t>Town Clerk</t>
  </si>
  <si>
    <t>Town Manager</t>
  </si>
  <si>
    <t>Date the FO signed the Data Input worksheet</t>
  </si>
  <si>
    <t>Telephone number of the FO who signed the data input worksheet</t>
  </si>
  <si>
    <t>E-mail address of FO who signed the data input worksheet</t>
  </si>
  <si>
    <t>Did the Unit have any of the following occur:
1.  Were any debt service payments deferred or restructured in this fiscal year? (does not include refinancings designed to take advantage of lower interest rates)
2.  Bond covenants were not met
3.  Debt serv</t>
  </si>
  <si>
    <t>The Auditor will submit the Audit Report to the LGC within five months plus one day after the fiscal year end.-á (for units with a June 30th fiscal year-end this would be December 1)-á-á Select Yes or No</t>
  </si>
  <si>
    <t>Amount of Ad valorem tax collected (including motor vehicle and prior years) reported on budget actual statement</t>
  </si>
  <si>
    <t>Amount of Ad valorem tax budgeted (including motor vehicle and prior years) reported on budget actual statement</t>
  </si>
  <si>
    <t>Estimated cost of any mandate placed on unit by DEQ, a court order or some similar requirement (that has no realistic appeal path) that the finacial effect will be greater that 3% of the WS budget and is not already been budgeted.</t>
  </si>
  <si>
    <t>Do you operate a landfill that will be closing  or have a significant portion closing within the next 5 years?</t>
  </si>
  <si>
    <t>If you answered "yes" to question CCH #988 above, will you have the closure/postclosure cost fully funded by the date of closure?</t>
  </si>
  <si>
    <t>The Counties listed in cell H260 are scheduled to revalue property listing by 1/1/2022 according to the Dept. of Revenue records.  Please indicate if you expect your revaluation to increase, decrease, or no change.  If you are not listed please select N/A</t>
  </si>
  <si>
    <t>Total of Above Accounts</t>
  </si>
  <si>
    <t>Total Assets less Internal Balances Formula: =385-576</t>
  </si>
  <si>
    <t>Reverse import tab calculation to value reported on DIW unit data from audit worksheet tab for account 385</t>
  </si>
  <si>
    <t>Total Current Liabilites less Internal Balances Formula: =626-576</t>
  </si>
  <si>
    <t>Reverse import tab calculation to value reported on unit DIW data from audit worksheet tab for account 626</t>
  </si>
  <si>
    <t>Total Liabilities and total deferred inflows less internal balances Formula: =338-576</t>
  </si>
  <si>
    <t>Reverse import tab calculation to value reported on DIW unit data from audit worksheet tab for account 338</t>
  </si>
  <si>
    <t>DIW Water and/or Sewer Section Formula: If (996 = 0.01| "LGC Records indicate that your unit has an operational Water and/or Sewer system and needs to complete the Water Sewer Question"||)</t>
  </si>
  <si>
    <t>Message is linked  to DIW unit data from audit worksheet tab as reminder to provide water and sewer financial information if unit has water and sewer operations</t>
  </si>
  <si>
    <t>LGC Records indicate that your unit has an operational Water and/or Sewer system and needs to complete the Water Sewer Question</t>
  </si>
  <si>
    <t>GF FBA without Powell Bill Formula: 506+536-4-5-6-11+647</t>
  </si>
  <si>
    <t>Numerator in formula for GF FBA% of Exp w/o Powell Bill. New Account 647 for FY 2020 added to formula</t>
  </si>
  <si>
    <t>GF Exp and Tran out Formula: 532+20+509-533-508</t>
  </si>
  <si>
    <t>Denominator in formula for GF FBA% of Exp w/o Powell Bill</t>
  </si>
  <si>
    <t>New Account 647 for FY 2020 added to formula</t>
  </si>
  <si>
    <t>Enterprise Fund Quick Ratio Formula: =(13-534)/14</t>
  </si>
  <si>
    <t>WS Quick Ratio Formula: (654-655-579-510)/(633-634-635-636-637-638-578)</t>
  </si>
  <si>
    <t>New accounts and new formula beginning in FY 2020.  Ratio calculated before FY 2020 will not be accurate</t>
  </si>
  <si>
    <t>Statistic reported on DIW FPIC tab</t>
  </si>
  <si>
    <t>WS Quick Ratio Formula: (44-510)/45</t>
  </si>
  <si>
    <t>Formula used beginning in FY 2012  is currently used for various website and memo reports.  Formula 10 ratio should match this ratio beginning in FY 2020.</t>
  </si>
  <si>
    <t>Elec Quick ratio Formula: (657-658-511-581)/(639-640-641-642-643-644-580)</t>
  </si>
  <si>
    <t>New accounts and new formula beginning in FY 2020. Ratio calculated prior to FY 2020 will not be accurate.</t>
  </si>
  <si>
    <t>Elec Quick Ratio Formula: (47-511)/48</t>
  </si>
  <si>
    <t>Formula used beginning in FY 2012  is currently used for various website and memo reports. Formula 14 ratio should match this ratio beginning in FY 2020.</t>
  </si>
  <si>
    <t>Gov - Select Current Liabilities plus adjustment for account 576 negative internal blances on import tab Formula: 626-627-628-629-630-631-632</t>
  </si>
  <si>
    <t>Gov - Select Current Liabilities - new accounts and new formula beginning in FY 2020 (626-627-628-629-630-631-632). Account 576 negative internal balance is added to account 626 on import tab. Formula 18 and Formulas 19 should have the same value.</t>
  </si>
  <si>
    <t>Gov - Select Current Liabilities Formula: 336</t>
  </si>
  <si>
    <t>Gov - Select Current Liabilities = The sum of accounts (626-627-628-629-630-631-632) plus account 576 negative internal balance is reported in account 336 on import tab. Formulas 18 and Formula 19 should have the same value. The sum of these accounts are used by the Benchmarking Tool on the website.</t>
  </si>
  <si>
    <t>not on unit data from audit -Total</t>
  </si>
  <si>
    <t>St. Helena</t>
  </si>
  <si>
    <t>St. James</t>
  </si>
  <si>
    <t>St. Pauls</t>
  </si>
  <si>
    <t>Staley</t>
  </si>
  <si>
    <t>Stallings</t>
  </si>
  <si>
    <t>Stanfield</t>
  </si>
  <si>
    <t>Stantonsburg</t>
  </si>
  <si>
    <t>Star</t>
  </si>
  <si>
    <t>Statesville</t>
  </si>
  <si>
    <t>Stedman</t>
  </si>
  <si>
    <t>Stem</t>
  </si>
  <si>
    <t>Stokesdale</t>
  </si>
  <si>
    <t>Stoneville</t>
  </si>
  <si>
    <t>Stovall</t>
  </si>
  <si>
    <t>Sugar Mountain</t>
  </si>
  <si>
    <t>Summerfield</t>
  </si>
  <si>
    <t>Sunset Beach</t>
  </si>
  <si>
    <t>Surf City</t>
  </si>
  <si>
    <t>Swansboro</t>
  </si>
  <si>
    <t>Swepsonville</t>
  </si>
  <si>
    <t>Sylva</t>
  </si>
  <si>
    <t>Tar Heel</t>
  </si>
  <si>
    <t>Tarboro</t>
  </si>
  <si>
    <t>Thomasville</t>
  </si>
  <si>
    <t>Tobaccoville</t>
  </si>
  <si>
    <t>Topsail Beach</t>
  </si>
  <si>
    <t>Trent Woods</t>
  </si>
  <si>
    <t>Trenton</t>
  </si>
  <si>
    <t>Trinity</t>
  </si>
  <si>
    <t>Troutman</t>
  </si>
  <si>
    <t>Troy</t>
  </si>
  <si>
    <t>Turkey</t>
  </si>
  <si>
    <t>Unionville</t>
  </si>
  <si>
    <t>Valdese</t>
  </si>
  <si>
    <t>Vandemere</t>
  </si>
  <si>
    <t>Varnamtown</t>
  </si>
  <si>
    <t>Wade</t>
  </si>
  <si>
    <t>Wadesboro</t>
  </si>
  <si>
    <t>Wagram</t>
  </si>
  <si>
    <t>Walkertown</t>
  </si>
  <si>
    <t>Wallace</t>
  </si>
  <si>
    <t>Wallburg</t>
  </si>
  <si>
    <t>Walnut Cove</t>
  </si>
  <si>
    <t>Walstonburg</t>
  </si>
  <si>
    <t>Warsaw</t>
  </si>
  <si>
    <t>Washington</t>
  </si>
  <si>
    <t>Washington Park</t>
  </si>
  <si>
    <t>Watha</t>
  </si>
  <si>
    <t>Waxhaw</t>
  </si>
  <si>
    <t>Waynesville</t>
  </si>
  <si>
    <t>Weaverville</t>
  </si>
  <si>
    <t>Webster</t>
  </si>
  <si>
    <t>Weddington</t>
  </si>
  <si>
    <t>Weldon</t>
  </si>
  <si>
    <t>Wendell</t>
  </si>
  <si>
    <t>Wentworth</t>
  </si>
  <si>
    <t>Wesley Chapel</t>
  </si>
  <si>
    <t>West Jefferson</t>
  </si>
  <si>
    <t>Whispering Pines</t>
  </si>
  <si>
    <t>Whiteville</t>
  </si>
  <si>
    <t>Whitsett</t>
  </si>
  <si>
    <t>Williamston</t>
  </si>
  <si>
    <t>Wilson</t>
  </si>
  <si>
    <t>Wilson's Mills</t>
  </si>
  <si>
    <t>Windsor</t>
  </si>
  <si>
    <t>Winfall</t>
  </si>
  <si>
    <t>Wingate</t>
  </si>
  <si>
    <t>Winterville</t>
  </si>
  <si>
    <t>Woodfin</t>
  </si>
  <si>
    <t>Woodland</t>
  </si>
  <si>
    <t>Wrightsville Beach</t>
  </si>
  <si>
    <t>Yadkinville</t>
  </si>
  <si>
    <t>Youngsville</t>
  </si>
  <si>
    <t>Zebulon</t>
  </si>
  <si>
    <t>Graham</t>
  </si>
  <si>
    <t>Hudson</t>
  </si>
  <si>
    <t>Town Administrator</t>
  </si>
  <si>
    <t>Governmental Activities - Benchmarking Tool uses account 336 in the code to calculate liquidity quick ratio.  Must be included on imported to CCH and SQL database.  Memos used these accounts as well.</t>
  </si>
  <si>
    <t>Governmental Activities - Benchmarking Tool uses account 336 in the code to calculate liquidity quick ratio.  Must be included on imported to CCH and SQL database. Memos used these accounts as well.</t>
  </si>
  <si>
    <t>Telephone Number and Ext., etc.</t>
  </si>
  <si>
    <t>formula code</t>
  </si>
  <si>
    <t>Steve</t>
  </si>
  <si>
    <t>Linda</t>
  </si>
  <si>
    <t xml:space="preserve">PERFORMANCE INDICATORS </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</si>
  <si>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 unit must submit a "Response to the Auditor's Findings, Recommendations, and Fiscal Matters" within 60 days from the auditor's board presentation.  The response must address all performance indicators shaded in red.</t>
  </si>
  <si>
    <t>This column provides the accounts and formula used in the calculation.  If the Unit Results cell is red, please verify that the data is entered correctly in the "Unit Data From Audit Worksheet" or "TD Info Completed by Auditor" as indicated for accounts listed in Column J.</t>
  </si>
  <si>
    <t>1.</t>
  </si>
  <si>
    <t>2.</t>
  </si>
  <si>
    <t>Units of government are grouped by general fund expenditures for purposes of evaluating available fund balance as a percentage of expenditures (GF FBA%).  Each grouping category has its own minimum threshold. If you are in the lower quartile your GF FBA% might be considered a performance indicator of concern and you might be asked to communicate to us. To the left are the minimum thresholds for Municipalities and Counties.</t>
  </si>
  <si>
    <t>3.</t>
  </si>
  <si>
    <t>4.</t>
  </si>
  <si>
    <t>Note: If more than one performance indicator is identified,  one proposed solution may solve all water and sewer performance indicators.</t>
  </si>
  <si>
    <t>5.</t>
  </si>
  <si>
    <t>Cash Flow Indicators:</t>
  </si>
  <si>
    <t>6.</t>
  </si>
  <si>
    <t>7.</t>
  </si>
  <si>
    <t>The rate structure of the Water and Sewer Fund should support the operating expenses of the fund without operating subsidies or transfers from other funds.</t>
  </si>
  <si>
    <t>Note: If more than one performance indicator is identified,  one proposed solution may solve all electric performance indicators.</t>
  </si>
  <si>
    <t>The unit had problems with debt service payments being late and/or did not comply with the bond covenants.</t>
  </si>
  <si>
    <t>You indicated that you expect a decrease in property value for your next property revaluation.   In your FPIC Response Letter please discuss the magnitude of the drop in valuation, the overall cause of the drop and how you plan to recover the lost revenues.</t>
  </si>
  <si>
    <t>The unit has expenditures that exceed the legal budget ordinance.  This indicates that the unit's purchase order system, contract approval process and / or payment process is not in compliance with North Carolina General Statute 159.</t>
  </si>
  <si>
    <t>Ahoskie</t>
  </si>
  <si>
    <t>Alamance</t>
  </si>
  <si>
    <t>Albemarle</t>
  </si>
  <si>
    <t>Alliance</t>
  </si>
  <si>
    <t>Transfers to Electric Capital Projects Per Audit</t>
  </si>
  <si>
    <t>Angier</t>
  </si>
  <si>
    <t>Ansonville</t>
  </si>
  <si>
    <t>Apex</t>
  </si>
  <si>
    <t>Arapahoe</t>
  </si>
  <si>
    <t>Archdale</t>
  </si>
  <si>
    <t>Archer Lodge</t>
  </si>
  <si>
    <t>Asheboro</t>
  </si>
  <si>
    <t>Asheville</t>
  </si>
  <si>
    <t>Atkinson</t>
  </si>
  <si>
    <t>Amount Transferred minus PILOT and Transfers to Electric Capital Projects</t>
  </si>
  <si>
    <t>Atlantic Beach</t>
  </si>
  <si>
    <t>Aurora</t>
  </si>
  <si>
    <t>Autryville</t>
  </si>
  <si>
    <t>Bakersville</t>
  </si>
  <si>
    <t>Bald Head Island</t>
  </si>
  <si>
    <t>Banner Elk</t>
  </si>
  <si>
    <t>Bayboro</t>
  </si>
  <si>
    <t>Bear Grass</t>
  </si>
  <si>
    <t>Beaufort</t>
  </si>
  <si>
    <t>Beech Mountain</t>
  </si>
  <si>
    <t>Bethania</t>
  </si>
  <si>
    <t>Belwood</t>
  </si>
  <si>
    <t>Benson</t>
  </si>
  <si>
    <t>Bermuda Run</t>
  </si>
  <si>
    <t>Bessemer City</t>
  </si>
  <si>
    <t>Beulaville</t>
  </si>
  <si>
    <t>Biltmore Forest</t>
  </si>
  <si>
    <t>Biscoe</t>
  </si>
  <si>
    <t>Black Mountain</t>
  </si>
  <si>
    <t>Bladenboro</t>
  </si>
  <si>
    <t>Blowing Rock</t>
  </si>
  <si>
    <t>Bogue</t>
  </si>
  <si>
    <t>Boiling Springs</t>
  </si>
  <si>
    <t>Boiling Spring Lakes</t>
  </si>
  <si>
    <t>Bolivia</t>
  </si>
  <si>
    <t>Boone</t>
  </si>
  <si>
    <t>Boonville</t>
  </si>
  <si>
    <t>Bostic</t>
  </si>
  <si>
    <t>Bridgeton</t>
  </si>
  <si>
    <t>Broadway</t>
  </si>
  <si>
    <t>Brookford</t>
  </si>
  <si>
    <t>Brunswick</t>
  </si>
  <si>
    <t>Bryson City</t>
  </si>
  <si>
    <t>Burgaw</t>
  </si>
  <si>
    <t>Burlington</t>
  </si>
  <si>
    <t>Burnsville</t>
  </si>
  <si>
    <t>Butner</t>
  </si>
  <si>
    <t>Cajah's Mountain</t>
  </si>
  <si>
    <t>Calabash</t>
  </si>
  <si>
    <t>Calypso</t>
  </si>
  <si>
    <t>Cameron</t>
  </si>
  <si>
    <t>Candor</t>
  </si>
  <si>
    <t>Canton</t>
  </si>
  <si>
    <t>Cape Carteret</t>
  </si>
  <si>
    <t>Carolina Beach</t>
  </si>
  <si>
    <t>Carolina Shores</t>
  </si>
  <si>
    <t>Carrboro</t>
  </si>
  <si>
    <t>Carthage</t>
  </si>
  <si>
    <t>Cary</t>
  </si>
  <si>
    <t>Caswell Beach</t>
  </si>
  <si>
    <t>Catawba</t>
  </si>
  <si>
    <t>Cedar Point</t>
  </si>
  <si>
    <t>Cedar Rock</t>
  </si>
  <si>
    <t>Chadbourn</t>
  </si>
  <si>
    <t>Cherryville</t>
  </si>
  <si>
    <t>China Grove</t>
  </si>
  <si>
    <t>Claremont</t>
  </si>
  <si>
    <t>Clayton</t>
  </si>
  <si>
    <t>Clemmons</t>
  </si>
  <si>
    <t>Cleveland</t>
  </si>
  <si>
    <t>Clinton</t>
  </si>
  <si>
    <t>Clyde</t>
  </si>
  <si>
    <t>Coats</t>
  </si>
  <si>
    <t>Columbus</t>
  </si>
  <si>
    <t>Como</t>
  </si>
  <si>
    <t>Concord</t>
  </si>
  <si>
    <t>Connelly Springs</t>
  </si>
  <si>
    <t>Conover</t>
  </si>
  <si>
    <t>Conway</t>
  </si>
  <si>
    <t>Cooleemee</t>
  </si>
  <si>
    <t>Cornelius</t>
  </si>
  <si>
    <t>Cove City</t>
  </si>
  <si>
    <t>Cramerton</t>
  </si>
  <si>
    <t>Creedmoor</t>
  </si>
  <si>
    <t>Crossnore</t>
  </si>
  <si>
    <t>Danbury</t>
  </si>
  <si>
    <t>Davidson</t>
  </si>
  <si>
    <t>Denton</t>
  </si>
  <si>
    <t>Dillsboro</t>
  </si>
  <si>
    <t>Dobson</t>
  </si>
  <si>
    <t>Dortches</t>
  </si>
  <si>
    <t>Drexel</t>
  </si>
  <si>
    <t>Dublin</t>
  </si>
  <si>
    <t>Duck</t>
  </si>
  <si>
    <t>Dunn</t>
  </si>
  <si>
    <t>East Arcadia</t>
  </si>
  <si>
    <t>East Bend</t>
  </si>
  <si>
    <t>Eastover</t>
  </si>
  <si>
    <t>Eden</t>
  </si>
  <si>
    <t>Edenton</t>
  </si>
  <si>
    <t>Elizabethtown</t>
  </si>
  <si>
    <t>Elk Park</t>
  </si>
  <si>
    <t>Elkin</t>
  </si>
  <si>
    <t>Ellenboro</t>
  </si>
  <si>
    <t>Elon</t>
  </si>
  <si>
    <t>Emerald Isle</t>
  </si>
  <si>
    <t>Fairview</t>
  </si>
  <si>
    <t>Faison</t>
  </si>
  <si>
    <t>Faith</t>
  </si>
  <si>
    <t>Falcon</t>
  </si>
  <si>
    <t>Falkland</t>
  </si>
  <si>
    <t>Fallston</t>
  </si>
  <si>
    <t>Farmville</t>
  </si>
  <si>
    <t>Fayetteville</t>
  </si>
  <si>
    <t>Flat Rock</t>
  </si>
  <si>
    <t>Fletcher</t>
  </si>
  <si>
    <t>Forest City</t>
  </si>
  <si>
    <t>Forest Hills</t>
  </si>
  <si>
    <t>Fountain</t>
  </si>
  <si>
    <t>Foxfire Village</t>
  </si>
  <si>
    <t>Franklin</t>
  </si>
  <si>
    <t>Franklinton</t>
  </si>
  <si>
    <t>Fuquay-Varina</t>
  </si>
  <si>
    <t>Gamewell</t>
  </si>
  <si>
    <t>Garland</t>
  </si>
  <si>
    <t>Garner</t>
  </si>
  <si>
    <t>Garysburg</t>
  </si>
  <si>
    <t>Gastonia</t>
  </si>
  <si>
    <t>Gatesville</t>
  </si>
  <si>
    <t>Gibsonville</t>
  </si>
  <si>
    <t>Godwin</t>
  </si>
  <si>
    <t>Goldston</t>
  </si>
  <si>
    <t>Grandfather Village</t>
  </si>
  <si>
    <t>Granite Falls</t>
  </si>
  <si>
    <t>Granite Quarry</t>
  </si>
  <si>
    <t>Grantsboro</t>
  </si>
  <si>
    <t>Grifton</t>
  </si>
  <si>
    <t>Grimesland</t>
  </si>
  <si>
    <t>Harmony</t>
  </si>
  <si>
    <t>Harrells</t>
  </si>
  <si>
    <t>Harrellsville</t>
  </si>
  <si>
    <t>Harrisburg</t>
  </si>
  <si>
    <t>Havelock</t>
  </si>
  <si>
    <t>Hayesville</t>
  </si>
  <si>
    <t>Hemby Bridge</t>
  </si>
  <si>
    <t>Hendersonville</t>
  </si>
  <si>
    <t>Hickory</t>
  </si>
  <si>
    <t>High Shoals</t>
  </si>
  <si>
    <t>Highlands</t>
  </si>
  <si>
    <t>Hildebran</t>
  </si>
  <si>
    <t>Hillsborough</t>
  </si>
  <si>
    <t>Hobgood</t>
  </si>
  <si>
    <t>Holden Beach</t>
  </si>
  <si>
    <t>Holly Springs</t>
  </si>
  <si>
    <t>Hope Mills</t>
  </si>
  <si>
    <t>Hot Springs</t>
  </si>
  <si>
    <t>Huntersville</t>
  </si>
  <si>
    <t>Indian Trail</t>
  </si>
  <si>
    <t>Jacksonville</t>
  </si>
  <si>
    <t>Jamestown</t>
  </si>
  <si>
    <t>Jamesville</t>
  </si>
  <si>
    <t>Jefferson</t>
  </si>
  <si>
    <t>Jonesville</t>
  </si>
  <si>
    <t>Kannapolis</t>
  </si>
  <si>
    <t>Kelford</t>
  </si>
  <si>
    <t>Kenansville</t>
  </si>
  <si>
    <t>Kenly</t>
  </si>
  <si>
    <t>Kernersville</t>
  </si>
  <si>
    <t>Kill Devil Hills</t>
  </si>
  <si>
    <t>King</t>
  </si>
  <si>
    <t>Kings Mountain</t>
  </si>
  <si>
    <t>Kinston</t>
  </si>
  <si>
    <t>Kittrell</t>
  </si>
  <si>
    <t>Kitty Hawk</t>
  </si>
  <si>
    <t>Knightdale</t>
  </si>
  <si>
    <t>Kure Beach</t>
  </si>
  <si>
    <t>La Grange</t>
  </si>
  <si>
    <t>Lake Lure</t>
  </si>
  <si>
    <t>Lake Park</t>
  </si>
  <si>
    <t>Lake Santeetlah</t>
  </si>
  <si>
    <t>Lake Waccamaw</t>
  </si>
  <si>
    <t>Landis</t>
  </si>
  <si>
    <t>Lansing</t>
  </si>
  <si>
    <t>Lasker</t>
  </si>
  <si>
    <t>Lattimore</t>
  </si>
  <si>
    <t>Laurel Park</t>
  </si>
  <si>
    <t>Laurinburg</t>
  </si>
  <si>
    <t>Lawndale</t>
  </si>
  <si>
    <t>Leggett</t>
  </si>
  <si>
    <t>Leland</t>
  </si>
  <si>
    <t>Lenoir</t>
  </si>
  <si>
    <t>Lewiston-Woodville</t>
  </si>
  <si>
    <t>Lewisville</t>
  </si>
  <si>
    <t>Lexington</t>
  </si>
  <si>
    <t>Liberty</t>
  </si>
  <si>
    <t>Lilesville</t>
  </si>
  <si>
    <t>Lillington</t>
  </si>
  <si>
    <t>Lincolnton</t>
  </si>
  <si>
    <t>Linden</t>
  </si>
  <si>
    <t>Littleton</t>
  </si>
  <si>
    <t>Locust</t>
  </si>
  <si>
    <t>Long View</t>
  </si>
  <si>
    <t>Louisburg</t>
  </si>
  <si>
    <t>Lowell</t>
  </si>
  <si>
    <t>Lumber Bridge</t>
  </si>
  <si>
    <t>Madison</t>
  </si>
  <si>
    <t>Maggie Valley</t>
  </si>
  <si>
    <t>Maiden</t>
  </si>
  <si>
    <t>Manteo</t>
  </si>
  <si>
    <t>Marietta</t>
  </si>
  <si>
    <t>Marion</t>
  </si>
  <si>
    <t>Mars Hill</t>
  </si>
  <si>
    <t>Marshall</t>
  </si>
  <si>
    <t>Marshville</t>
  </si>
  <si>
    <t>Marvin</t>
  </si>
  <si>
    <t>Matthews</t>
  </si>
  <si>
    <t>Maxton</t>
  </si>
  <si>
    <t>Mayodan</t>
  </si>
  <si>
    <t>McAdenville</t>
  </si>
  <si>
    <t>McDonald</t>
  </si>
  <si>
    <t>McFarlan</t>
  </si>
  <si>
    <t>Mebane</t>
  </si>
  <si>
    <t>Mesic</t>
  </si>
  <si>
    <t>Middlesex</t>
  </si>
  <si>
    <t>Midland</t>
  </si>
  <si>
    <t>Midway</t>
  </si>
  <si>
    <t>Mills River</t>
  </si>
  <si>
    <t>Mineral Springs</t>
  </si>
  <si>
    <t>Minnesott Beach</t>
  </si>
  <si>
    <t>Misenheimer</t>
  </si>
  <si>
    <t>Mocksville</t>
  </si>
  <si>
    <t>Momeyer</t>
  </si>
  <si>
    <t>Monroe</t>
  </si>
  <si>
    <t>Mooresboro</t>
  </si>
  <si>
    <t>Mooresville</t>
  </si>
  <si>
    <t>Morehead City</t>
  </si>
  <si>
    <t>Morganton</t>
  </si>
  <si>
    <t>Morrisville</t>
  </si>
  <si>
    <t>Morven</t>
  </si>
  <si>
    <t>Mount Airy</t>
  </si>
  <si>
    <t>Mount Gilead</t>
  </si>
  <si>
    <t>Mount Pleasant</t>
  </si>
  <si>
    <t>Murfreesboro</t>
  </si>
  <si>
    <t>Murphy</t>
  </si>
  <si>
    <t>Nags Head</t>
  </si>
  <si>
    <t>Nashville</t>
  </si>
  <si>
    <t>New Bern</t>
  </si>
  <si>
    <t>New London</t>
  </si>
  <si>
    <t>Newland</t>
  </si>
  <si>
    <t>Newton</t>
  </si>
  <si>
    <t>North Topsail Beach</t>
  </si>
  <si>
    <t>North Wilkesboro</t>
  </si>
  <si>
    <t>Northwest</t>
  </si>
  <si>
    <t>Oak Island</t>
  </si>
  <si>
    <t>Oak Ridge</t>
  </si>
  <si>
    <t>Oakboro</t>
  </si>
  <si>
    <t>Ocean Isle Beach</t>
  </si>
  <si>
    <t>Old Fort</t>
  </si>
  <si>
    <t>Oriental</t>
  </si>
  <si>
    <t>Orrum</t>
  </si>
  <si>
    <t>Ossipee</t>
  </si>
  <si>
    <t>Oxford</t>
  </si>
  <si>
    <t>Pantego</t>
  </si>
  <si>
    <t>Parkton</t>
  </si>
  <si>
    <t>Parmele</t>
  </si>
  <si>
    <t>Patterson Springs</t>
  </si>
  <si>
    <t>Peachland</t>
  </si>
  <si>
    <t>Peletier</t>
  </si>
  <si>
    <t>Pembroke</t>
  </si>
  <si>
    <t>Pine Knoll Shores</t>
  </si>
  <si>
    <t>Pine Level</t>
  </si>
  <si>
    <t>Pinebluff</t>
  </si>
  <si>
    <t>Pinehurst</t>
  </si>
  <si>
    <t>Pinetops</t>
  </si>
  <si>
    <t>Pineville</t>
  </si>
  <si>
    <t>Pink Hill</t>
  </si>
  <si>
    <t>Pittsboro</t>
  </si>
  <si>
    <t>Pleasant Garden</t>
  </si>
  <si>
    <t>Polkton</t>
  </si>
  <si>
    <t>Powellsville</t>
  </si>
  <si>
    <t>Princeton</t>
  </si>
  <si>
    <t>Raeford</t>
  </si>
  <si>
    <t>Raleigh</t>
  </si>
  <si>
    <t>Randleman</t>
  </si>
  <si>
    <t>Raynham</t>
  </si>
  <si>
    <t>Red Cross</t>
  </si>
  <si>
    <t>Red Oak</t>
  </si>
  <si>
    <t>Reidsville</t>
  </si>
  <si>
    <t>Rennert</t>
  </si>
  <si>
    <t>Rhodhiss</t>
  </si>
  <si>
    <t>Richlands</t>
  </si>
  <si>
    <t>River Bend</t>
  </si>
  <si>
    <t>Roanoke Rapids</t>
  </si>
  <si>
    <t>Robbinsville</t>
  </si>
  <si>
    <t>Rockwell</t>
  </si>
  <si>
    <t>Rocky Mount</t>
  </si>
  <si>
    <t>Rolesville</t>
  </si>
  <si>
    <t>Roper</t>
  </si>
  <si>
    <t>Rose Hill</t>
  </si>
  <si>
    <t>Roxobel</t>
  </si>
  <si>
    <t>Rural Hall</t>
  </si>
  <si>
    <t>Rutherford College</t>
  </si>
  <si>
    <t>Rutherfordton</t>
  </si>
  <si>
    <t>Salemburg</t>
  </si>
  <si>
    <t>Salisbury</t>
  </si>
  <si>
    <t>Saluda</t>
  </si>
  <si>
    <t>Sandy Creek</t>
  </si>
  <si>
    <t>Sandyfield</t>
  </si>
  <si>
    <t>Sanford</t>
  </si>
  <si>
    <t>Saratoga</t>
  </si>
  <si>
    <t>Sawmills</t>
  </si>
  <si>
    <t>Seaboard</t>
  </si>
  <si>
    <t>Seagrove</t>
  </si>
  <si>
    <t>Selma</t>
  </si>
  <si>
    <t>Seven Devils</t>
  </si>
  <si>
    <t>Seven Springs</t>
  </si>
  <si>
    <t>Severn</t>
  </si>
  <si>
    <t>Shallotte</t>
  </si>
  <si>
    <t>Shelby</t>
  </si>
  <si>
    <t>Simpson</t>
  </si>
  <si>
    <t>Sims</t>
  </si>
  <si>
    <t>Smithfield</t>
  </si>
  <si>
    <t>Southern Pines</t>
  </si>
  <si>
    <t>Southern Shores</t>
  </si>
  <si>
    <t>Southport</t>
  </si>
  <si>
    <t>Sparta</t>
  </si>
  <si>
    <t>Speed</t>
  </si>
  <si>
    <t>Spencer</t>
  </si>
  <si>
    <t>Spindale</t>
  </si>
  <si>
    <t>Spring Hope</t>
  </si>
  <si>
    <t>Spruce Pine</t>
  </si>
  <si>
    <r>
      <rPr>
        <b/>
        <i/>
        <sz val="11"/>
        <rFont val="Calibri"/>
        <family val="2"/>
        <scheme val="minor"/>
      </rPr>
      <t>Payment in Lieu of Taxes Error (cell f27):</t>
    </r>
    <r>
      <rPr>
        <i/>
        <sz val="11"/>
        <rFont val="Calibri"/>
        <family val="2"/>
        <scheme val="minor"/>
      </rPr>
      <t xml:space="preserve">  When the "Actual Pilot" (cell F16) doesn't agree with the "Calculated Pilot" (cell G16) you will get an error message requiring you to investigate variance.</t>
    </r>
  </si>
  <si>
    <t>Less:</t>
  </si>
  <si>
    <t>Encumbrances at June 30 - General Fund (listed in the notes)</t>
  </si>
  <si>
    <t xml:space="preserve">Expenditures: </t>
  </si>
  <si>
    <t>Adjustments:</t>
  </si>
  <si>
    <r>
      <t xml:space="preserve">
In the past, units of government have been grouped by population to evaluate ratios and benchmarking (including Fund Balance Available).  Beginning with fiscal year 2020, we have grouped units by General Fund expenditures for purposes of evaluating the minimum amount of fund balance a unit needs to operate.  A unit's General Fund expenditures proved to be a better correlation to the amount of funds balance needed to operate, especially for units with large higher education or tourism populations. </t>
    </r>
    <r>
      <rPr>
        <b/>
        <sz val="14"/>
        <rFont val="Calibri"/>
        <family val="2"/>
        <scheme val="minor"/>
      </rPr>
      <t xml:space="preserve"> Activity from Debt Service Funds (if applicable) is included in the calculation because these funds typically originate from the General Fund and are transferred to a Debt Service Fund.</t>
    </r>
    <r>
      <rPr>
        <b/>
        <sz val="14"/>
        <color theme="1"/>
        <rFont val="Calibri"/>
        <family val="2"/>
        <scheme val="minor"/>
      </rPr>
      <t xml:space="preserve">
The table below lists the thresholds that are used in the analysis of your unit's fiscal health.  These thresholds were determined based on an analysis of previous years </t>
    </r>
    <r>
      <rPr>
        <b/>
        <sz val="14"/>
        <rFont val="Calibri"/>
        <family val="2"/>
        <scheme val="minor"/>
      </rPr>
      <t xml:space="preserve">general fund activity.  These thresholds will be monitored and updated as applicable. </t>
    </r>
  </si>
  <si>
    <t xml:space="preserve">This indicator shows that the local government did not collect 3% (or more) of its budgeted ad valorem taxes.  This could be an indicator of negative economic events, inaccurate budgeting, and/or issues with the collection process.  Uncollected revenues at the 3% level represent several pennies of the tax rate.  </t>
  </si>
  <si>
    <t>Spencer Mountain</t>
  </si>
  <si>
    <t>Column B</t>
  </si>
  <si>
    <t>Column F</t>
  </si>
  <si>
    <t>Transfers to Electric Capital Projects</t>
  </si>
  <si>
    <t>Percent of</t>
  </si>
  <si>
    <t>Gross Fixed</t>
  </si>
  <si>
    <t>Assets</t>
  </si>
  <si>
    <t>Amount of transfer out of the Electric to the General Fund that is for Payment in Lieu of Taxes (PILOT)</t>
  </si>
  <si>
    <t>Revenue</t>
  </si>
  <si>
    <t>Gross  Annual</t>
  </si>
  <si>
    <t>Amount expended for Powell Bill expenditures in the General Fund</t>
  </si>
  <si>
    <t>Electric Fund Revenue, Expenses &amp; Changes in Fund Net Position</t>
  </si>
  <si>
    <t>Electric Fund Revenue, Expenses &amp; Changes in Fund Net Position or Notes to Financial Statements</t>
  </si>
  <si>
    <t>Water &amp; Sewer Revenue, Expenses &amp; Changes in Fund Net Position</t>
  </si>
  <si>
    <t xml:space="preserve"> Mark to Market unrealized losses in the Electric Fund.</t>
  </si>
  <si>
    <t>Total ARPA funds actually expended since inception as of June 30th.  Do not include encumbered funds in this number.</t>
  </si>
  <si>
    <t>Did your audit disclose as a finding that the unit’s records were not completed by the agreed upon time? (Yes or No)</t>
  </si>
  <si>
    <t>Did your audit disclose as a finding any budget violations? (Yes or No)</t>
  </si>
  <si>
    <t>Did your audit disclose as a finding any statutory violations? (not including budget violations) (Yes or No)</t>
  </si>
  <si>
    <t xml:space="preserve">Is there a finding for lack of segregation of duties at this unit? </t>
  </si>
  <si>
    <t>Is there a finding for lack of technical skills, knowledge and experience (SKE) at this unit?</t>
  </si>
  <si>
    <t>Date (MM/DD/YYYY)</t>
  </si>
  <si>
    <t>Data Collection</t>
  </si>
  <si>
    <t>Unit Number</t>
  </si>
  <si>
    <t>Electric Fund  Transfer Policy</t>
  </si>
  <si>
    <t>NC Municipal Power Agency Number 1</t>
  </si>
  <si>
    <t>G.S. 159B-39</t>
  </si>
  <si>
    <t>subtotal of transfers to other funds</t>
  </si>
  <si>
    <t>Enter Numbers from Current Year Audit</t>
  </si>
  <si>
    <t>Values from Prior Year Audit</t>
  </si>
  <si>
    <t>NC Eastern Municipal Power Agency</t>
  </si>
  <si>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=1 or No= 2</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</si>
  <si>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Yes=1 or No=2</t>
    </r>
  </si>
  <si>
    <r>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r>
    <r>
      <rPr>
        <b/>
        <sz val="11"/>
        <color theme="1"/>
        <rFont val="Calibri"/>
        <family val="2"/>
        <scheme val="minor"/>
      </rPr>
      <t xml:space="preserve">Select "1" for Yes and "2" for No.
</t>
    </r>
  </si>
  <si>
    <t>Trial Balance</t>
  </si>
  <si>
    <t>TD Info Completed by Auditor : CCH acct # 1057</t>
  </si>
  <si>
    <t xml:space="preserve">NC DEPARTMENT OF STATE TREASURER- STATE AND LOCAL GOVERNMENT FINANCE DIVISION
TD Info Completed by Auditor
</t>
  </si>
  <si>
    <t>Please see the INSTRUCTIONS worksheet before completing this form</t>
  </si>
  <si>
    <t>Positive Fund Balance</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</si>
  <si>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</si>
  <si>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Positive Change in Fund Balance</t>
  </si>
  <si>
    <t>The General Fund had total fund balance less than zero - Fund Deficit</t>
  </si>
  <si>
    <t>TD Info Completed by Auditor : CCH acct # 1059</t>
  </si>
  <si>
    <t>Total American Rescue Plan Act (ARPA) of 2021-Coronavrius State &amp; Local Fiscal Recovery Funds actually expended since inception as of June 30th.  Do not include encumbered funds in this number.</t>
  </si>
  <si>
    <t>Total American Rescue Plan Act (ARPA) of 2021-Coronavrius State &amp; Local Fiscal Recovery Funds encumbered or obligated and not yet expended since inception as of June 30th.</t>
  </si>
  <si>
    <t xml:space="preserve">Explanation of Performance Indicator
</t>
  </si>
  <si>
    <t>If the General Fund has more expenditures than revenues because of operational issues and fund balance was appropriated to cover the loss, the continuation of this practice could result in deterioration of a unit's fund balance available.</t>
  </si>
  <si>
    <t>TD Info Completed by Auditor : CCH acct # 1055, 1056, 1058, 955 and 957</t>
  </si>
  <si>
    <r>
      <t xml:space="preserve">Notes From Auditor
</t>
    </r>
    <r>
      <rPr>
        <sz val="11"/>
        <rFont val="Calibri"/>
        <family val="2"/>
        <scheme val="minor"/>
      </rPr>
      <t xml:space="preserve">The Auditor can use the cells below to provide additional details that are pertinent to the performance indicator. </t>
    </r>
    <r>
      <rPr>
        <b/>
        <sz val="11"/>
        <rFont val="Calibri"/>
        <family val="2"/>
        <scheme val="minor"/>
      </rPr>
      <t>Please be aware even if notes are provided, an official response is still required (if applicable).</t>
    </r>
  </si>
  <si>
    <t>Use of General Fund Balance (account #23)</t>
  </si>
  <si>
    <t>DIW Batch Total</t>
  </si>
  <si>
    <r>
      <t xml:space="preserve">Mark to Market unrealized losses in the Water and Sewer Fund. </t>
    </r>
    <r>
      <rPr>
        <sz val="11"/>
        <color theme="5" tint="-0.499984740745262"/>
        <rFont val="Calibri"/>
        <family val="2"/>
        <scheme val="minor"/>
      </rPr>
      <t>(enter as a negative number)</t>
    </r>
  </si>
  <si>
    <r>
      <t xml:space="preserve"> Mark to Market unrealized losses in the Electric Fund. </t>
    </r>
    <r>
      <rPr>
        <sz val="11"/>
        <color theme="5" tint="-0.499984740745262"/>
        <rFont val="Calibri"/>
        <family val="2"/>
        <scheme val="minor"/>
      </rPr>
      <t>(enter as a negative number)</t>
    </r>
  </si>
  <si>
    <r>
      <t>Electric transfers-out have exceeded the amounts described in GS 159B-39.  If your unit is a member of the North Carolina Eastern Municipal Power Agency it appears you have violated the GS.  
                                                     OR</t>
    </r>
    <r>
      <rPr>
        <b/>
        <u/>
        <sz val="11"/>
        <rFont val="Calibri"/>
        <family val="2"/>
        <scheme val="minor"/>
      </rPr>
      <t xml:space="preserve">
</t>
    </r>
    <r>
      <rPr>
        <b/>
        <sz val="11"/>
        <rFont val="Calibri"/>
        <family val="2"/>
        <scheme val="minor"/>
      </rPr>
      <t xml:space="preserve">If you are not a member of the Eastern Municipal Power Agency it appears that you have violated your unit's transfer policy.
</t>
    </r>
  </si>
  <si>
    <t>Unit Data from Audit Worksheet tab : 9</t>
  </si>
  <si>
    <t>The budgeted ad valorem tax (including motor vehicles) for the General Fund had more than 3% uncollected for the fiscal year audited. Decreases are shown by a negative percentage.</t>
  </si>
  <si>
    <t>Operating Net Income (Loss) excluding depreciation, including debt service principal and interest</t>
  </si>
  <si>
    <t>Prior year CCH accounts 527, 356 and 93 along with current CCH account of this Data Input worksheet 648,366, 990 and 1051 were used in this calculation</t>
  </si>
  <si>
    <t>TD Info Completed by Auditor : CCH acct # 973</t>
  </si>
  <si>
    <r>
      <t>Mark to Market unrealized losses in the General Fund.</t>
    </r>
    <r>
      <rPr>
        <sz val="11"/>
        <color theme="5" tint="-0.499984740745262"/>
        <rFont val="Calibri"/>
        <family val="2"/>
        <scheme val="minor"/>
      </rPr>
      <t xml:space="preserve"> </t>
    </r>
    <r>
      <rPr>
        <sz val="11"/>
        <color theme="9" tint="-0.499984740745262"/>
        <rFont val="Calibri"/>
        <family val="2"/>
        <scheme val="minor"/>
      </rPr>
      <t>(enter as a negative number)</t>
    </r>
  </si>
  <si>
    <t>If unit is an employer participant in one of the State Cost Sharing Plans rows 185 - 187 should be blank.  Unless they have an additional single employer plan.</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</si>
  <si>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located </t>
    </r>
    <r>
      <rPr>
        <sz val="12"/>
        <color rgb="FFFF0000"/>
        <rFont val="Cambria"/>
        <family val="1"/>
      </rPr>
      <t>at the end</t>
    </r>
    <r>
      <rPr>
        <sz val="12"/>
        <color theme="1"/>
        <rFont val="Cambria"/>
        <family val="1"/>
      </rPr>
      <t xml:space="preserve"> of the worksheet.  The worksheet must be </t>
    </r>
    <r>
      <rPr>
        <b/>
        <sz val="12"/>
        <color indexed="8"/>
        <rFont val="Cambria"/>
        <family val="1"/>
      </rPr>
      <t>submitted with the unit’s audit report</t>
    </r>
    <r>
      <rPr>
        <sz val="12"/>
        <color indexed="8"/>
        <rFont val="Cambria"/>
        <family val="1"/>
      </rPr>
      <t>.</t>
    </r>
  </si>
  <si>
    <r>
      <rPr>
        <b/>
        <i/>
        <sz val="11"/>
        <rFont val="Calibri"/>
        <family val="2"/>
        <scheme val="minor"/>
      </rPr>
      <t>Amount Transferred minus PILOT (cell F18)</t>
    </r>
    <r>
      <rPr>
        <i/>
        <sz val="11"/>
        <rFont val="Calibri"/>
        <family val="2"/>
        <scheme val="minor"/>
      </rPr>
      <t xml:space="preserve"> is calculated by taking the Amount Transferred per Audit (cell F7) and subtracts tranfers to electric capital project funds (cell f8). The calculation then subtracts the greater amount of PILOT (cells F16 or G16). When cell F18 exceeds the statutory calculation in cell F25, you will get an error message "No, unit exceeds limit by:"</t>
    </r>
  </si>
  <si>
    <t># of other matters that auditor asked the unit to respond to</t>
  </si>
  <si>
    <t xml:space="preserve">Unrestricted Cash and Investments </t>
  </si>
  <si>
    <t xml:space="preserve">Restricted cash and investments </t>
  </si>
  <si>
    <t>Total Fund Balance (From Audited Financial Statements) …………………</t>
  </si>
  <si>
    <t>Formula</t>
  </si>
  <si>
    <t>Non Spendable -  Inventory, Prepaids, or Other …………………</t>
  </si>
  <si>
    <t>Restricted - Stabilization by State Statute (From Audited Financial Statements) ……………</t>
  </si>
  <si>
    <t xml:space="preserve">    Negative Debt Refunding</t>
  </si>
  <si>
    <t xml:space="preserve">    Positive Debt Refunding</t>
  </si>
  <si>
    <t xml:space="preserve">          Total Expenditures (As Adjusted) ………………………………...…………………….</t>
  </si>
  <si>
    <t>=532+20+509-533-508</t>
  </si>
  <si>
    <t>Column C Formula</t>
  </si>
  <si>
    <t>Fund Balance Available for Performance Indicator</t>
  </si>
  <si>
    <t>General Fund Cash and investments - restricted…........................................................................................................</t>
  </si>
  <si>
    <t>Debt Service Fund Fund Balance…..................................................................................................................................</t>
  </si>
  <si>
    <t>Liabilities- General Fund…...................................................................................................................................................</t>
  </si>
  <si>
    <t>Gen Fund - Current Liabilities</t>
  </si>
  <si>
    <t>Unavailable or unearned revenues arising from cash receipts - General Fund…............................................................</t>
  </si>
  <si>
    <t>Gen Fund -deferred inflows derived from Cash Receipts</t>
  </si>
  <si>
    <t>Total expenditures - General Fund…................................................................................................................................</t>
  </si>
  <si>
    <t>Transfers out-General Fund…......................................................................................................................................................</t>
  </si>
  <si>
    <t>Gen Fund - Transfer Out</t>
  </si>
  <si>
    <t>Negative Debt Refunding….................................................................................................................................................</t>
  </si>
  <si>
    <t>Issuance of capital leases &amp; installment purchases - General Fund….............................</t>
  </si>
  <si>
    <t>Positive Debt Refunding…...................................................................................................................................................</t>
  </si>
  <si>
    <t>Total expenditures (As Adjusted)….................................................</t>
  </si>
  <si>
    <t>Fund Balance Available  as % of Expenditures….........</t>
  </si>
  <si>
    <t>Fund Balance Available for Appropriation/Total Expenditure (As Adjusted)</t>
  </si>
  <si>
    <t>General Fund Cash and investments - unrestricted…........................................................................................................</t>
  </si>
  <si>
    <t>Powell Bill Expenditures</t>
  </si>
  <si>
    <t>Fund Balance Available</t>
  </si>
  <si>
    <t>=532+20+509-533-508-1050</t>
  </si>
  <si>
    <t>Excluding Powell Bill Restricted Cash</t>
  </si>
  <si>
    <t xml:space="preserve">Calculation of Fund Balance Available at June 30 
Including Debt Service Fund for Performance Indicator
</t>
  </si>
  <si>
    <t>Account Number</t>
  </si>
  <si>
    <t xml:space="preserve"> Are the  ARPA-related funds on target to be committed by December 31, 2024 (Yes or No)</t>
  </si>
  <si>
    <t>Total ARPA funds committed and not yet expended since inception as of June 30th</t>
  </si>
  <si>
    <t>Are the  ARPA-related funds on target to be completely expended by December 31, 2026 (Yes or No)</t>
  </si>
  <si>
    <t xml:space="preserve"> Did your audit disclose as a finding bank reconciliations or subsidiary ledger reconciliations not performed timely (Yes or No)</t>
  </si>
  <si>
    <t>Did your audit disclose as a finding that the unit’s records were not completed by the agreed upon time (Yes or No)</t>
  </si>
  <si>
    <t>Did your audit disclose as a finding any statutory violations (not including budget violations) (Yes or No)</t>
  </si>
  <si>
    <t>Please enter the Total Fund Balance for any Debt Service Funds from the Budgeted to Actual statement</t>
  </si>
  <si>
    <t>Unit Data from Audit Worksheet tab: (506+536-4-5-6-11+647)/(532+509+20-533-508-1050)</t>
  </si>
  <si>
    <t>GF FBA% of Exp w/o Powell Bill Formula: (506+536-4-5-6-11+647)/(532+20+509-533-508)</t>
  </si>
  <si>
    <t>Mark to Market unrealized losses in the General Fund</t>
  </si>
  <si>
    <t>Mark to Market unrealized losses in the Water and Sewer Fund</t>
  </si>
  <si>
    <t>=506+536-4-6-5</t>
  </si>
  <si>
    <t>=9-(506+536-4-6-5)</t>
  </si>
  <si>
    <t>=9-(506+536-4-6-5)-7</t>
  </si>
  <si>
    <t>Column E Formula</t>
  </si>
  <si>
    <t>=506-4-6-5</t>
  </si>
  <si>
    <r>
      <t xml:space="preserve">Telephone number - </t>
    </r>
    <r>
      <rPr>
        <b/>
        <sz val="11"/>
        <color theme="1"/>
        <rFont val="Calibri"/>
        <family val="2"/>
        <scheme val="minor"/>
      </rPr>
      <t>enter only telephone number</t>
    </r>
    <r>
      <rPr>
        <sz val="11"/>
        <color theme="1"/>
        <rFont val="Calibri"/>
        <family val="2"/>
        <scheme val="minor"/>
      </rPr>
      <t xml:space="preserve"> ###-###-####</t>
    </r>
  </si>
  <si>
    <t>Enter telephone extension, etc.</t>
  </si>
  <si>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  MM/DD/YYYY</t>
    </r>
  </si>
  <si>
    <r>
      <t xml:space="preserve">Indicate if your water/sewer system:
50 - Became Operational
51 - Ceased Operations
52 - No Change
</t>
    </r>
    <r>
      <rPr>
        <b/>
        <sz val="11"/>
        <color theme="1"/>
        <rFont val="Calibri"/>
        <family val="2"/>
        <scheme val="minor"/>
      </rPr>
      <t>Select from drop down.</t>
    </r>
  </si>
  <si>
    <r>
      <t xml:space="preserve">Do you use prepared food/occupancy tax revenue stream to support debt?  </t>
    </r>
    <r>
      <rPr>
        <b/>
        <sz val="11"/>
        <color theme="1"/>
        <rFont val="Calibri"/>
        <family val="2"/>
        <scheme val="minor"/>
      </rPr>
      <t>Select "1" for Yes and "2" for No</t>
    </r>
    <r>
      <rPr>
        <sz val="11"/>
        <color theme="1"/>
        <rFont val="Calibri"/>
        <family val="2"/>
        <scheme val="minor"/>
      </rPr>
      <t xml:space="preserve"> from drop down list.</t>
    </r>
  </si>
  <si>
    <r>
      <t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t>
    </r>
    <r>
      <rPr>
        <b/>
        <sz val="11"/>
        <color theme="1"/>
        <rFont val="Calibri"/>
        <family val="2"/>
        <scheme val="minor"/>
      </rPr>
      <t>Select from drop down list.</t>
    </r>
    <r>
      <rPr>
        <sz val="11"/>
        <color theme="1"/>
        <rFont val="Calibri"/>
        <family val="2"/>
        <scheme val="minor"/>
      </rPr>
      <t xml:space="preserve">
</t>
    </r>
  </si>
  <si>
    <r>
      <t xml:space="preserve">Do you expect to issue debt requiring LGC approval within 12 months from the date that the audit is submitted - </t>
    </r>
    <r>
      <rPr>
        <b/>
        <sz val="11"/>
        <color theme="1"/>
        <rFont val="Calibri"/>
        <family val="2"/>
        <scheme val="minor"/>
      </rPr>
      <t>select "1" for yes and "2" for no</t>
    </r>
  </si>
  <si>
    <t>Other Electricity</t>
  </si>
  <si>
    <t>Lori</t>
  </si>
  <si>
    <t>Laura</t>
  </si>
  <si>
    <t>Barbara</t>
  </si>
  <si>
    <t>Regina</t>
  </si>
  <si>
    <t>Wendy</t>
  </si>
  <si>
    <t>Smith</t>
  </si>
  <si>
    <t>Williams</t>
  </si>
  <si>
    <t>Jenkins</t>
  </si>
  <si>
    <t>Moore</t>
  </si>
  <si>
    <t>Interim Finance Officer</t>
  </si>
  <si>
    <t>This calculation subtracts operating expenses  from operating revenues. Depreciation expense is not included the calculation but debt principal and interest payments are included.  A negative balance indicates that your rates are not covering your operating expenses and debt service payments.</t>
  </si>
  <si>
    <t xml:space="preserve">This calculation subtracts operating expenses  from operating revenues. Depreciation expense is not included the calculation but debt principal and interest payments are included.  A negative balance indicates that your rates are not covering your operating expenses.  </t>
  </si>
  <si>
    <t>Unit Data from Audit Worksheet tab : 84-85+49-331-89</t>
  </si>
  <si>
    <t>Unit Data from Audit worksheet tab : 93-94+52-100-98</t>
  </si>
  <si>
    <t>Unit Data from Audit worksheet tab : 90/(364+94-52+100)</t>
  </si>
  <si>
    <t>Unit Data from Audit worksheet tab : 80/(85+351-49+331)</t>
  </si>
  <si>
    <t>Capital Assets for Water and Sewer Activity (If unit maintains separate funds please combine all water, sewer and wastewater funds into one activity for purposes of this worksheet)
Exclude Stormwater funds</t>
  </si>
  <si>
    <t xml:space="preserve"> Did the unit have a board-appointed finance officer or board-appointed interim finance officer for the entire fiscal year (Yes or No)</t>
  </si>
  <si>
    <t>Has the finance officer or interim finance officer been formally appointed by the local government, public authority, or designated official?  (Y/N)</t>
  </si>
  <si>
    <t>TD Info Completed by Auditor : CCH acct # 1067</t>
  </si>
  <si>
    <t>Section 2:</t>
  </si>
  <si>
    <t xml:space="preserve">Does the unit have a self-insurance fund? </t>
  </si>
  <si>
    <t>Does the unit have a self-insurance fund</t>
  </si>
  <si>
    <t>American Rescue Plan Act (ARPA)</t>
  </si>
  <si>
    <t>Unrestricted cash /total expenses excluding depreciation, including debt service principal</t>
  </si>
  <si>
    <t xml:space="preserve">Is there is a going concern noted in the audit report? </t>
  </si>
  <si>
    <r>
      <t xml:space="preserve">Number of </t>
    </r>
    <r>
      <rPr>
        <b/>
        <sz val="11"/>
        <color theme="1"/>
        <rFont val="Calibri"/>
        <family val="2"/>
        <scheme val="minor"/>
      </rPr>
      <t>significant deficiency</t>
    </r>
    <r>
      <rPr>
        <sz val="11"/>
        <color theme="1"/>
        <rFont val="Calibri"/>
        <family val="2"/>
        <scheme val="minor"/>
      </rPr>
      <t xml:space="preserve"> findings (financial statement findings only)
</t>
    </r>
    <r>
      <rPr>
        <sz val="11"/>
        <color rgb="FFFF0000"/>
        <rFont val="Calibri"/>
        <family val="2"/>
        <scheme val="minor"/>
      </rPr>
      <t>Exclude findings reported in questions  907, 951</t>
    </r>
  </si>
  <si>
    <t>If the unit is self-insured for employee health care, does the unit use a qualified consultant to establish rates and appropriate reserve levels?</t>
  </si>
  <si>
    <t>If the unit is self-insured for employee health care, does the unit use a qualified consultant to establish rates and appropriate reserve levels</t>
  </si>
  <si>
    <r>
      <t xml:space="preserve">Number of </t>
    </r>
    <r>
      <rPr>
        <b/>
        <sz val="11"/>
        <color theme="1"/>
        <rFont val="Calibri"/>
        <family val="2"/>
        <scheme val="minor"/>
      </rPr>
      <t>material weakness</t>
    </r>
    <r>
      <rPr>
        <sz val="11"/>
        <color theme="1"/>
        <rFont val="Calibri"/>
        <family val="2"/>
        <scheme val="minor"/>
      </rPr>
      <t xml:space="preserve"> findings (financial statement findings only)
</t>
    </r>
    <r>
      <rPr>
        <sz val="11"/>
        <color rgb="FFFF0000"/>
        <rFont val="Calibri"/>
        <family val="2"/>
        <scheme val="minor"/>
      </rPr>
      <t>Exclude findings reported in questions  907, 951</t>
    </r>
  </si>
  <si>
    <t>Transfers from General Fund to Water and Sewer Fund</t>
  </si>
  <si>
    <t>Transfers from Water and Sewer to General Fund</t>
  </si>
  <si>
    <r>
      <t xml:space="preserve">The Unit had material weaknesses, significant deficiencies, statutory violations and/or items identified on the </t>
    </r>
    <r>
      <rPr>
        <b/>
        <i/>
        <sz val="11"/>
        <rFont val="Calibri"/>
        <family val="2"/>
        <scheme val="minor"/>
      </rPr>
      <t>TD Info Completed by Auditor</t>
    </r>
    <r>
      <rPr>
        <b/>
        <sz val="11"/>
        <rFont val="Calibri"/>
        <family val="2"/>
        <scheme val="minor"/>
      </rPr>
      <t xml:space="preserve"> tab that should be addressed in the FPIC Response Letter.  </t>
    </r>
  </si>
  <si>
    <t>This is a description question that is retained on the data input tab - This information is not uploaded to CCH or our data base</t>
  </si>
  <si>
    <t>Capital -</t>
  </si>
  <si>
    <t>Operations -</t>
  </si>
  <si>
    <t>Capital - Powell Bill</t>
  </si>
  <si>
    <t>WS-Please enter any pension liabilities that are classified as current liabilities and included in account 633 above (amounts entered should agree to the current amount included in the changes to long-term debt note)</t>
  </si>
  <si>
    <t>WS-Please enter any current liabilities that are payable from restricted assets and included row 12 above (amounts entered should agree to the current amount included in the changes to long-term debt note)</t>
  </si>
  <si>
    <t>WS-Please enter any OPEB liabilities that are classified as current liabilities and included in account 633 above (amounts entered should agree to the current amount included in the changes to long-term debt note)</t>
  </si>
  <si>
    <t xml:space="preserve">Electric-Current liabilities (as reported on the Statement of Fund Net Position)
Include:   Current liabilities including current portion of long-term debt.  Deferred inflows should not be included in Current Liabilities  
</t>
  </si>
  <si>
    <t>Electric-Please enter any bond anticipation notes that are classified as current liabilities and included in account 639 above (amounts entered should agree to the current amount included in the changes to long-term debt note)</t>
  </si>
  <si>
    <t>Electric-Please enter any compensated absences that are classified as current liabilities and included in account 639 above (amounts entered should agree to the current amount included in the changes to long-term debt note)</t>
  </si>
  <si>
    <t>Electric-Please enter any pension liabilities that are classified as current liabilities and included account in 639 above (amounts entered should agree to the current amount included in the changes to long-term debt note)</t>
  </si>
  <si>
    <t>Electric-Please enter any current liabilities that are payable from restricted assets and included in account 639 above.</t>
  </si>
  <si>
    <t>Electric-Please enter any OPEB liabilities that are classified as current liabilities and included in account 639 above (amounts entered should agree to the current amount included in the changes to long-term debt note)</t>
  </si>
  <si>
    <t>David</t>
  </si>
  <si>
    <t>Walker</t>
  </si>
  <si>
    <t>Jones</t>
  </si>
  <si>
    <t>7/1/2022</t>
  </si>
  <si>
    <t>9/13/2022</t>
  </si>
  <si>
    <t>yes</t>
  </si>
  <si>
    <t>10/27/2022</t>
  </si>
  <si>
    <t>11/14/2022</t>
  </si>
  <si>
    <t>11/30/2022</t>
  </si>
  <si>
    <t>10/7/2022</t>
  </si>
  <si>
    <t>10/14/2022</t>
  </si>
  <si>
    <t>10/31/2022</t>
  </si>
  <si>
    <t>12/20/2022</t>
  </si>
  <si>
    <t>11/3/2022</t>
  </si>
  <si>
    <t>11/10/2022</t>
  </si>
  <si>
    <t>11/28/2022</t>
  </si>
  <si>
    <t>9/30/2022</t>
  </si>
  <si>
    <t>10/18/2022</t>
  </si>
  <si>
    <t>3/1/2023</t>
  </si>
  <si>
    <t>12/1/2022</t>
  </si>
  <si>
    <t>10/28/2022</t>
  </si>
  <si>
    <t>11/29/2022</t>
  </si>
  <si>
    <t>2/27/2023</t>
  </si>
  <si>
    <t>11/17/2022</t>
  </si>
  <si>
    <t>10/11/2022</t>
  </si>
  <si>
    <t>12/8/2022</t>
  </si>
  <si>
    <t>12/21/2022</t>
  </si>
  <si>
    <t>Number of other matters that auditor asked the unit to respond to.</t>
  </si>
  <si>
    <t>3/14/2023</t>
  </si>
  <si>
    <t>3/6/2023</t>
  </si>
  <si>
    <t>12/13/2022</t>
  </si>
  <si>
    <t>1/17/2023</t>
  </si>
  <si>
    <t>1/10/2023</t>
  </si>
  <si>
    <t>11/15/2022</t>
  </si>
  <si>
    <t>12/12/2022</t>
  </si>
  <si>
    <t>1/31/2023</t>
  </si>
  <si>
    <t>1/3/2023</t>
  </si>
  <si>
    <t>4/10/2023</t>
  </si>
  <si>
    <t>12/5/2022</t>
  </si>
  <si>
    <t>12/6/2022</t>
  </si>
  <si>
    <t>2/8/2023</t>
  </si>
  <si>
    <t>3/7/2023</t>
  </si>
  <si>
    <t>1/16/2023</t>
  </si>
  <si>
    <t>11/21/2022</t>
  </si>
  <si>
    <t>Amount transferred from the Electric Fund to an Electric Capital Project Fund</t>
  </si>
  <si>
    <t>Mark to Market unrealized losses in the General Fund.</t>
  </si>
  <si>
    <t>Mark to Market unrealized losses in the Water and Sewer Fund.</t>
  </si>
  <si>
    <t>Mark to Market unrealized losses in the Electric Fund.</t>
  </si>
  <si>
    <t>Did your audit disclose as a finding bank reconciliations or subsidiary ledger reconciliations not performed timely? (Yes or No)</t>
  </si>
  <si>
    <t>Did your audit disclose as a finding that the unitGÇÖs records were not completed by the agreed upon time? (Yes or No)</t>
  </si>
  <si>
    <t>Did the unit have a board-appointed finance officer the entire fiscal year? (Yes or No)?</t>
  </si>
  <si>
    <t>Total ARPA funds actually expended since inception as of June 30th. -áDo not include encumbered funds in this number.</t>
  </si>
  <si>
    <t>Total ARPA funds committed and not yet expended since inception as of June 30th.</t>
  </si>
  <si>
    <t>Are the-á ARPA-related funds on target to be committed by December 31, 2024? (Yes or No)</t>
  </si>
  <si>
    <t>Are the-á ARPA-related funds on target to be completely expended by December 31, 2026? (Yes or No)</t>
  </si>
  <si>
    <t>Single Audit Only - Coronavirus State and Local Recovery Funds expenditures (21.027)</t>
  </si>
  <si>
    <t>Single Audit Only - Opioid Settlement Funds</t>
  </si>
  <si>
    <t>Date Audit First Received</t>
  </si>
  <si>
    <t>2023-02-28</t>
  </si>
  <si>
    <t>2022-11-29</t>
  </si>
  <si>
    <t>2022-11-23</t>
  </si>
  <si>
    <t>2022-11-30</t>
  </si>
  <si>
    <t>2022-10-14</t>
  </si>
  <si>
    <t>2022-10-31</t>
  </si>
  <si>
    <t>2022-11-07</t>
  </si>
  <si>
    <t>2022-11-28</t>
  </si>
  <si>
    <t>2022-09-30</t>
  </si>
  <si>
    <t>2022-12-01</t>
  </si>
  <si>
    <t>2023-01-20</t>
  </si>
  <si>
    <t>WS - total operating revenues less total operating expenses plus depreciation less debt service principal payments and less debt service interest expense payments Formula: 84-85+49-331-89</t>
  </si>
  <si>
    <t>WS - unrestricted cash and investments divided by (total operating expenses plus total all non-operating expenses less depreciation plus debt service principal payments) Formula: 80/(85+351-49+331)</t>
  </si>
  <si>
    <t>Elec - total operating revenues less total operating expenses plus depreciation less debt service principal payments and less debt service interest expense payments Formula: 93-94+52-100-98</t>
  </si>
  <si>
    <t>Elec - unrestricted cash and investments divided by (total operating expenses plus total all non-operating expenses less depreciation plus debt service principal payments) Formula: 90/(94+364-52+100)</t>
  </si>
  <si>
    <t>sum</t>
  </si>
  <si>
    <t>Net Total row 279 less row 326</t>
  </si>
  <si>
    <t>New Account 647 for FY 2020 added to formula and new account 1050 added FY 2022</t>
  </si>
  <si>
    <t>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t>
  </si>
  <si>
    <r>
      <t>Fund balance available for appropriation is an important reserve for local governments to provide cash flow during pe</t>
    </r>
    <r>
      <rPr>
        <sz val="12"/>
        <rFont val="Calibri"/>
        <family val="2"/>
        <scheme val="minor"/>
      </rPr>
      <t xml:space="preserve">riods of declining revenues and to be used for emergencies and unforeseen expenditures.  The information to the left indicates the amount of available cash on hand.  You will also see the average for units of your size. </t>
    </r>
    <r>
      <rPr>
        <b/>
        <sz val="12"/>
        <rFont val="Calibri"/>
        <family val="2"/>
        <scheme val="minor"/>
      </rPr>
      <t xml:space="preserve"> Note that 8.33% represents enough fund balance to cover only one month of expenditures.</t>
    </r>
    <r>
      <rPr>
        <sz val="12"/>
        <rFont val="Calibri"/>
        <family val="2"/>
        <scheme val="minor"/>
      </rPr>
      <t xml:space="preserve">  Normally, a unit has to either increase revenues or decrease expenditures to increase fund balance available. 
This calculation looks at fund balance available plus debt service fund balance (if applicable) </t>
    </r>
    <r>
      <rPr>
        <sz val="12"/>
        <color theme="1"/>
        <rFont val="Calibri"/>
        <family val="2"/>
        <scheme val="minor"/>
      </rPr>
      <t xml:space="preserve">less Powell Bill </t>
    </r>
    <r>
      <rPr>
        <sz val="12"/>
        <rFont val="Calibri"/>
        <family val="2"/>
        <scheme val="minor"/>
      </rPr>
      <t>restricted fund balance</t>
    </r>
    <r>
      <rPr>
        <sz val="12"/>
        <color rgb="FFFF0000"/>
        <rFont val="Calibri"/>
        <family val="2"/>
        <scheme val="minor"/>
      </rPr>
      <t>.</t>
    </r>
    <r>
      <rPr>
        <sz val="12"/>
        <color theme="1"/>
        <rFont val="Calibri"/>
        <family val="2"/>
        <scheme val="minor"/>
      </rPr>
      <t xml:space="preserve">  This number is them divided by the total of total expenditures plus transfers out less bond proceeds and less amount expended for Powell Bill Expenditures.
</t>
    </r>
  </si>
  <si>
    <t>2021-2022</t>
  </si>
  <si>
    <t xml:space="preserve">CABARRUS </t>
  </si>
  <si>
    <t>Cabarrus County</t>
  </si>
  <si>
    <t xml:space="preserve">CARTERET </t>
  </si>
  <si>
    <t>Carteret County</t>
  </si>
  <si>
    <t xml:space="preserve">EDGECOMBE </t>
  </si>
  <si>
    <t xml:space="preserve">FRANKLIN </t>
  </si>
  <si>
    <t>Franklin County</t>
  </si>
  <si>
    <t xml:space="preserve">GRANVILLE </t>
  </si>
  <si>
    <t>Granville County</t>
  </si>
  <si>
    <t xml:space="preserve">HALIFAX </t>
  </si>
  <si>
    <t>Halifax County</t>
  </si>
  <si>
    <t xml:space="preserve">NASH </t>
  </si>
  <si>
    <t>Nash County</t>
  </si>
  <si>
    <t xml:space="preserve">PERQUIMANS </t>
  </si>
  <si>
    <t>Perquimans County</t>
  </si>
  <si>
    <t xml:space="preserve">PITT </t>
  </si>
  <si>
    <t>Pitt County</t>
  </si>
  <si>
    <t xml:space="preserve">RICHMOND </t>
  </si>
  <si>
    <t>Richmond County</t>
  </si>
  <si>
    <t xml:space="preserve">ROBESON </t>
  </si>
  <si>
    <t>Robeson County</t>
  </si>
  <si>
    <t xml:space="preserve">ROCKINGHAM </t>
  </si>
  <si>
    <t>Rockingham County</t>
  </si>
  <si>
    <t xml:space="preserve">VANCE </t>
  </si>
  <si>
    <t>Vance County</t>
  </si>
  <si>
    <t xml:space="preserve">WAKE </t>
  </si>
  <si>
    <t>Wake County</t>
  </si>
  <si>
    <t xml:space="preserve">WILSON </t>
  </si>
  <si>
    <t>Wilson County</t>
  </si>
  <si>
    <t xml:space="preserve">ALAMANCE </t>
  </si>
  <si>
    <t>Alamance County</t>
  </si>
  <si>
    <t xml:space="preserve">ALEXANDER </t>
  </si>
  <si>
    <t>Alexander County</t>
  </si>
  <si>
    <t xml:space="preserve">ALLEGHANY  </t>
  </si>
  <si>
    <t>Alleghany County</t>
  </si>
  <si>
    <t xml:space="preserve">ANSON </t>
  </si>
  <si>
    <t xml:space="preserve">ASHE </t>
  </si>
  <si>
    <t>Ashe County</t>
  </si>
  <si>
    <t xml:space="preserve">AVERY </t>
  </si>
  <si>
    <t>Avery County</t>
  </si>
  <si>
    <t xml:space="preserve">BEAUFORT </t>
  </si>
  <si>
    <t>Beaufort County</t>
  </si>
  <si>
    <t xml:space="preserve">BERTIE </t>
  </si>
  <si>
    <t xml:space="preserve">BLADEN </t>
  </si>
  <si>
    <t>Bladen County</t>
  </si>
  <si>
    <t xml:space="preserve">BRUNSWICK </t>
  </si>
  <si>
    <t>Brunswick County</t>
  </si>
  <si>
    <t xml:space="preserve">BUNCOMBE </t>
  </si>
  <si>
    <t>Buncombe County</t>
  </si>
  <si>
    <t xml:space="preserve">BURKE </t>
  </si>
  <si>
    <t>Burke County</t>
  </si>
  <si>
    <t xml:space="preserve">CALDWELL </t>
  </si>
  <si>
    <t>Caldwell County</t>
  </si>
  <si>
    <t xml:space="preserve">CAMDEN </t>
  </si>
  <si>
    <t>Camden County</t>
  </si>
  <si>
    <t xml:space="preserve">CASWELL </t>
  </si>
  <si>
    <t xml:space="preserve">CATAWBA </t>
  </si>
  <si>
    <t>Catawba County</t>
  </si>
  <si>
    <t xml:space="preserve">CHATHAM </t>
  </si>
  <si>
    <t>Chatham County</t>
  </si>
  <si>
    <t xml:space="preserve">CHEROKEE </t>
  </si>
  <si>
    <t xml:space="preserve">CHOWAN </t>
  </si>
  <si>
    <t>Chowan County</t>
  </si>
  <si>
    <t xml:space="preserve">CLAY </t>
  </si>
  <si>
    <t>Clay County</t>
  </si>
  <si>
    <t xml:space="preserve">CLEVELAND </t>
  </si>
  <si>
    <t>Cleveland County</t>
  </si>
  <si>
    <t xml:space="preserve">COLUMBUS </t>
  </si>
  <si>
    <t xml:space="preserve">CRAVEN </t>
  </si>
  <si>
    <t>Craven County</t>
  </si>
  <si>
    <t xml:space="preserve">CUMBERLAND </t>
  </si>
  <si>
    <t>Cumberland County</t>
  </si>
  <si>
    <t xml:space="preserve">CURRITUCK </t>
  </si>
  <si>
    <t>Currituck County</t>
  </si>
  <si>
    <t xml:space="preserve">DARE </t>
  </si>
  <si>
    <t>Dare County</t>
  </si>
  <si>
    <t xml:space="preserve">DAVIDSON </t>
  </si>
  <si>
    <t>Davidson County</t>
  </si>
  <si>
    <t xml:space="preserve">DAVIE </t>
  </si>
  <si>
    <t>Davie County</t>
  </si>
  <si>
    <t xml:space="preserve">DUPLIN </t>
  </si>
  <si>
    <t>Duplin County</t>
  </si>
  <si>
    <t xml:space="preserve">DURHAM </t>
  </si>
  <si>
    <t>Durham County</t>
  </si>
  <si>
    <t xml:space="preserve">FORSYTH </t>
  </si>
  <si>
    <t>Forsyth County</t>
  </si>
  <si>
    <t xml:space="preserve">GASTON </t>
  </si>
  <si>
    <t>Gaston County</t>
  </si>
  <si>
    <t xml:space="preserve">GATES </t>
  </si>
  <si>
    <t>Gates County</t>
  </si>
  <si>
    <t xml:space="preserve">GRAHAM </t>
  </si>
  <si>
    <t>Graham County</t>
  </si>
  <si>
    <t xml:space="preserve">GREENE </t>
  </si>
  <si>
    <t>Greene County</t>
  </si>
  <si>
    <t xml:space="preserve">GUILFORD </t>
  </si>
  <si>
    <t>Guilford County</t>
  </si>
  <si>
    <t xml:space="preserve">HARNETT </t>
  </si>
  <si>
    <t>Harnett County</t>
  </si>
  <si>
    <t xml:space="preserve">HAYWOOD </t>
  </si>
  <si>
    <t>Haywood County</t>
  </si>
  <si>
    <t xml:space="preserve">HENDERSON </t>
  </si>
  <si>
    <t>Henderson County</t>
  </si>
  <si>
    <t xml:space="preserve">HERTFORD </t>
  </si>
  <si>
    <t>Hertford County</t>
  </si>
  <si>
    <t xml:space="preserve">HOKE </t>
  </si>
  <si>
    <t>Hoke County</t>
  </si>
  <si>
    <t xml:space="preserve">HYDE </t>
  </si>
  <si>
    <t xml:space="preserve">IREDELL </t>
  </si>
  <si>
    <t>Iredell County</t>
  </si>
  <si>
    <t xml:space="preserve">JACKSON </t>
  </si>
  <si>
    <t>Jackson County</t>
  </si>
  <si>
    <t xml:space="preserve">JOHNSTON </t>
  </si>
  <si>
    <t>Johnston County</t>
  </si>
  <si>
    <t xml:space="preserve">JONES </t>
  </si>
  <si>
    <t>Jones County</t>
  </si>
  <si>
    <t xml:space="preserve">LEE </t>
  </si>
  <si>
    <t>Lee County</t>
  </si>
  <si>
    <t xml:space="preserve">LENOIR </t>
  </si>
  <si>
    <t>Lenoir County</t>
  </si>
  <si>
    <t xml:space="preserve">LINCOLN </t>
  </si>
  <si>
    <t>Lincoln County</t>
  </si>
  <si>
    <t xml:space="preserve">MACON </t>
  </si>
  <si>
    <t>Macon County</t>
  </si>
  <si>
    <t xml:space="preserve">MADISON </t>
  </si>
  <si>
    <t>Madison County</t>
  </si>
  <si>
    <t xml:space="preserve">MARTIN </t>
  </si>
  <si>
    <t xml:space="preserve">MCDOWELL </t>
  </si>
  <si>
    <t>Mcdowell County</t>
  </si>
  <si>
    <t xml:space="preserve">MECKLENBURG </t>
  </si>
  <si>
    <t>Mecklenburg County</t>
  </si>
  <si>
    <t xml:space="preserve">MITCHELL </t>
  </si>
  <si>
    <t>Mitchell County</t>
  </si>
  <si>
    <t xml:space="preserve">MONTGOMERY </t>
  </si>
  <si>
    <t>Montgomery County</t>
  </si>
  <si>
    <t xml:space="preserve">MOORE </t>
  </si>
  <si>
    <t>Moore County</t>
  </si>
  <si>
    <t xml:space="preserve">NEW HANOVER </t>
  </si>
  <si>
    <t>New Hanover County</t>
  </si>
  <si>
    <t xml:space="preserve">NORTHAMPTON </t>
  </si>
  <si>
    <t xml:space="preserve">ONSLOW </t>
  </si>
  <si>
    <t>Onslow County</t>
  </si>
  <si>
    <t xml:space="preserve">ORANGE </t>
  </si>
  <si>
    <t>Orange County</t>
  </si>
  <si>
    <t xml:space="preserve">PAMLICO </t>
  </si>
  <si>
    <t>Pamlico County</t>
  </si>
  <si>
    <t xml:space="preserve">PASQUOTANK </t>
  </si>
  <si>
    <t>Pasquotank County</t>
  </si>
  <si>
    <t xml:space="preserve">PENDER </t>
  </si>
  <si>
    <t xml:space="preserve">PERSON </t>
  </si>
  <si>
    <t>Person County</t>
  </si>
  <si>
    <t xml:space="preserve">POLK </t>
  </si>
  <si>
    <t>Polk County</t>
  </si>
  <si>
    <t xml:space="preserve">RANDOLPH </t>
  </si>
  <si>
    <t>Randolph County</t>
  </si>
  <si>
    <t xml:space="preserve">ROWAN </t>
  </si>
  <si>
    <t>Rowan County</t>
  </si>
  <si>
    <t xml:space="preserve">RUTHERFORD </t>
  </si>
  <si>
    <t>Rutherford County</t>
  </si>
  <si>
    <t xml:space="preserve">SAMPSON </t>
  </si>
  <si>
    <t>Sampson County</t>
  </si>
  <si>
    <t xml:space="preserve">SCOTLAND </t>
  </si>
  <si>
    <t xml:space="preserve">STANLY </t>
  </si>
  <si>
    <t>Stanly County</t>
  </si>
  <si>
    <t xml:space="preserve">STOKES </t>
  </si>
  <si>
    <t>Stokes County</t>
  </si>
  <si>
    <t xml:space="preserve">SURRY </t>
  </si>
  <si>
    <t>Surry County</t>
  </si>
  <si>
    <t xml:space="preserve">SWAIN </t>
  </si>
  <si>
    <t>Swain County</t>
  </si>
  <si>
    <t xml:space="preserve">TRANSYLVANIA </t>
  </si>
  <si>
    <t>Transylvania County</t>
  </si>
  <si>
    <t xml:space="preserve">TYRRELL </t>
  </si>
  <si>
    <t xml:space="preserve">UNION </t>
  </si>
  <si>
    <t>Union County</t>
  </si>
  <si>
    <t xml:space="preserve">WARREN </t>
  </si>
  <si>
    <t>Warren County</t>
  </si>
  <si>
    <t xml:space="preserve">WASHINGTON </t>
  </si>
  <si>
    <t>Washington County</t>
  </si>
  <si>
    <t xml:space="preserve">WATAUGA </t>
  </si>
  <si>
    <t>Watauga County</t>
  </si>
  <si>
    <t xml:space="preserve">WAYNE </t>
  </si>
  <si>
    <t>Wayne County</t>
  </si>
  <si>
    <t xml:space="preserve">WILKES </t>
  </si>
  <si>
    <t>Wilkes County</t>
  </si>
  <si>
    <t xml:space="preserve">YADKIN </t>
  </si>
  <si>
    <t>Yadkin County</t>
  </si>
  <si>
    <t xml:space="preserve">YANCEY </t>
  </si>
  <si>
    <t>Yancey County</t>
  </si>
  <si>
    <t>`</t>
  </si>
  <si>
    <r>
      <t xml:space="preserve">Transfers from General Fund to Water and Sewer Fund.  </t>
    </r>
    <r>
      <rPr>
        <sz val="11"/>
        <color theme="5" tint="-0.249977111117893"/>
        <rFont val="Calibri"/>
        <family val="2"/>
        <scheme val="minor"/>
      </rPr>
      <t>(Enter as positive)</t>
    </r>
  </si>
  <si>
    <r>
      <t xml:space="preserve">Transfers from Water and Sewer to General Fund.  </t>
    </r>
    <r>
      <rPr>
        <sz val="11"/>
        <color theme="5" tint="-0.249977111117893"/>
        <rFont val="Calibri"/>
        <family val="2"/>
        <scheme val="minor"/>
      </rPr>
      <t>(Enter as positive)</t>
    </r>
  </si>
  <si>
    <t xml:space="preserve">Was an AU-C Section 260 (The Auditor's Communication With Those Charged With Governance) letter issued?     </t>
  </si>
  <si>
    <r>
      <t xml:space="preserve">This indicator calculates how many month's worth of expenses (including debt principal but not depreciation) a unit can pay based on the amount of unrestricted cash at year-end.  The typical billing cycle is one month (8.33%) and one extra month usually gives a local government enough cash to handle unusual monthly expenses (16.66%). </t>
    </r>
    <r>
      <rPr>
        <b/>
        <sz val="12"/>
        <color theme="1"/>
        <rFont val="Calibri"/>
        <family val="2"/>
        <scheme val="minor"/>
      </rPr>
      <t xml:space="preserve"> This 16% would be the bare minimum necessary to keep the fund from experiencing cash flow issues.</t>
    </r>
  </si>
  <si>
    <t>Water and Sewer - Fund Revenue, Expenses &amp; Changes in Fund Net Position or Notes to Financial Statements</t>
  </si>
  <si>
    <t>Was an AU-C Section 265 (Communicating Internal Control Related Matters Identified in an Audit) letter issued?</t>
  </si>
  <si>
    <r>
      <t xml:space="preserve">This indicator identifies whether the unit has any material weaknesses, significant deficiencies, management letter comments or items identified on the </t>
    </r>
    <r>
      <rPr>
        <b/>
        <i/>
        <sz val="14"/>
        <color theme="1"/>
        <rFont val="Calibri"/>
        <family val="2"/>
        <scheme val="minor"/>
      </rPr>
      <t>TD Info Completed by Audit tab</t>
    </r>
    <r>
      <rPr>
        <b/>
        <sz val="14"/>
        <color theme="1"/>
        <rFont val="Calibri"/>
        <family val="2"/>
        <scheme val="minor"/>
      </rPr>
      <t xml:space="preserve"> including 1055, 1056, 1058, 955 and 957, that require a response.</t>
    </r>
  </si>
  <si>
    <t>This indicator advises whether or not the unit has issues with debt service payments or bond covenants.</t>
  </si>
  <si>
    <t>This indicator advises if any other issues that the unit should address in the FPIC response letter.</t>
  </si>
  <si>
    <t>GF FBA% of Exp w/o Powell Bill Formula: (506+536-4-5-6-11+647)/(532+20+509-533-508-1050)</t>
  </si>
  <si>
    <t>This indicator advises if there were electric transfers in violation of G.S. 159B-39 or in violation of the unit's transfer policy.</t>
  </si>
  <si>
    <r>
      <rPr>
        <u/>
        <sz val="11"/>
        <rFont val="Calibri"/>
        <family val="2"/>
        <scheme val="minor"/>
      </rPr>
      <t xml:space="preserve">Please enter the </t>
    </r>
    <r>
      <rPr>
        <b/>
        <u/>
        <sz val="11"/>
        <rFont val="Calibri"/>
        <family val="2"/>
        <scheme val="minor"/>
      </rPr>
      <t xml:space="preserve">Net Current year's levy for property </t>
    </r>
    <r>
      <rPr>
        <b/>
        <u/>
        <sz val="11"/>
        <color rgb="FFFF0000"/>
        <rFont val="Calibri"/>
        <family val="2"/>
        <scheme val="minor"/>
      </rPr>
      <t>excluding registered motor vehicles</t>
    </r>
    <r>
      <rPr>
        <sz val="11"/>
        <rFont val="Calibri"/>
        <family val="2"/>
        <scheme val="minor"/>
      </rPr>
      <t xml:space="preserve">-- </t>
    </r>
    <r>
      <rPr>
        <sz val="11"/>
        <color indexed="60"/>
        <rFont val="Calibri"/>
        <family val="2"/>
        <scheme val="minor"/>
      </rPr>
      <t xml:space="preserve">(after adjusting for discoveries and abatements) - </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</si>
  <si>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 xml:space="preserve"> Did your audit disclose bank reconciliations or subsidiary ledger reconciliations not performed timely? (Yes or No)</t>
  </si>
  <si>
    <t>=506+536+647-11-4-6-5</t>
  </si>
  <si>
    <r>
      <t xml:space="preserve">Does the Unit have a non-state administered pension plan?
</t>
    </r>
    <r>
      <rPr>
        <sz val="11"/>
        <color theme="5" tint="-0.249977111117893"/>
        <rFont val="Calibri"/>
        <family val="2"/>
        <scheme val="minor"/>
      </rPr>
      <t>(Note - OPEB is not a pension plan.)</t>
    </r>
  </si>
  <si>
    <r>
      <rPr>
        <b/>
        <i/>
        <sz val="12"/>
        <rFont val="Cambria"/>
        <family val="1"/>
      </rPr>
      <t xml:space="preserve"> Data Input Workbook</t>
    </r>
    <r>
      <rPr>
        <i/>
        <sz val="12"/>
        <rFont val="Cambria"/>
        <family val="1"/>
      </rPr>
      <t xml:space="preserve"> - This workbook combines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</si>
  <si>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t xml:space="preserve">This self-reported data is used in calculations including but not limited to: reporting Financial Performance Indicators (FPI), FPI thresholds, published memos, legislative reporting, and determining units placed on the Unit Assistance List (UAL). </t>
  </si>
  <si>
    <t xml:space="preserve">new </t>
  </si>
  <si>
    <t>Water and Sewer Condition of Assets</t>
  </si>
  <si>
    <t>new</t>
  </si>
  <si>
    <r>
      <t xml:space="preserve">There was appropriated fund balance for the General Fund in the 2023 budget </t>
    </r>
    <r>
      <rPr>
        <b/>
        <u/>
        <sz val="11"/>
        <color theme="1"/>
        <rFont val="Calibri"/>
        <family val="2"/>
        <scheme val="minor"/>
      </rPr>
      <t>AND</t>
    </r>
    <r>
      <rPr>
        <b/>
        <sz val="11"/>
        <color theme="1"/>
        <rFont val="Calibri"/>
        <family val="2"/>
        <scheme val="minor"/>
      </rPr>
      <t xml:space="preserve"> your change in fund balance was negative.  Please state if fund balance was used for operations or capital purposes </t>
    </r>
    <r>
      <rPr>
        <b/>
        <sz val="11"/>
        <color rgb="FFFF0000"/>
        <rFont val="Calibri"/>
        <family val="2"/>
        <scheme val="minor"/>
      </rPr>
      <t>in account 590 on the Unit Data from Audit Worksheet.</t>
    </r>
  </si>
  <si>
    <t xml:space="preserve">Are the American Rescue Plan Act (ARPA) of 2021-Coronavrius State &amp; Local Fiscal Recovery Funds on target to be committed by December 31, 2024? (Yes = 1 or No = 2or N/A = 3 if unit did not receive funds) </t>
  </si>
  <si>
    <t>Are the American Rescue Plan Act (ARPA) of 2021-Coronavrius State &amp; Local Fiscal Recovery Funds on target to be completely expended by December 31, 2026? (Yes = 1 or No = 2 or N/A = 3 if unit did not receive funds)</t>
  </si>
  <si>
    <t>Did your audit disclose any budget violations at the adopted ordinance level? (Yes or No)</t>
  </si>
  <si>
    <t>Did your audit disclose as a finding any statutory violations? (not including budget violations) (Yes or No) If the answer  is "Yes", review whether this needs to be disclosed in the Stewardship, Compliance and Accountability Note</t>
  </si>
  <si>
    <t>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t>
  </si>
  <si>
    <t>Does the Performance Indicator Print worksheet in this workbook have a red shaded cell?</t>
  </si>
  <si>
    <t>Please enter page number if information included in the audit report/other communications</t>
  </si>
  <si>
    <t>Cash &amp; Tax Memo, UAL Determination, Financial Performance Indicator</t>
  </si>
  <si>
    <t>Review Summary - FBA, UAL Determination, Financial Performation Indicator</t>
  </si>
  <si>
    <t>Determination of Fiscal Health, UAL Determination, Financial Performance Indicator</t>
  </si>
  <si>
    <t>Review Summary, UAL Determination, Financial Performance Indicator</t>
  </si>
  <si>
    <t>Error Detection, UAL Determination, Financial Performance Indicator</t>
  </si>
  <si>
    <t>Water Sewer Dashboard, UAL Determination, Financial Performance Indicator</t>
  </si>
  <si>
    <t>UAL Determination, Financial Performance Indicator</t>
  </si>
  <si>
    <t>Review Summary; Electric Memo, Financial Performance Indicator</t>
  </si>
  <si>
    <t>Dashboard; Determination of Fiscal Health, Financial Performance Indicator</t>
  </si>
  <si>
    <t>Determination of Fiscal Health, Financial Performance Indicator</t>
  </si>
  <si>
    <t>Dashboard, Electric Memo, Financial Performance Indicator</t>
  </si>
  <si>
    <t>Electric Memo, Financial Performance Indicator</t>
  </si>
  <si>
    <t>Electric Memo, Dashboard, Financial Performance Indicator</t>
  </si>
  <si>
    <t>Dashboard, Financial Performance Indicator</t>
  </si>
  <si>
    <t>Finance Performance Indicator</t>
  </si>
  <si>
    <t>Financial Performance Indicator</t>
  </si>
  <si>
    <t>Water Sewer Dashboard, Financial Performance Indicator</t>
  </si>
  <si>
    <t>Review Summary, Financial Performance Indicator</t>
  </si>
  <si>
    <t>Electric Fund Transfer worksheet, Financial Performance Indicator</t>
  </si>
  <si>
    <t>Electric Transfer Calculation, Financial Performance Indicator</t>
  </si>
  <si>
    <t xml:space="preserve"> 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t>
  </si>
  <si>
    <t>Unit Data from Audit worksheet tab:
 1-((523+524+525+526)/(515+516+517+518))</t>
  </si>
  <si>
    <t>The data collected in the Data Input Workbook is used for reporting purposes. This self-reported data is used in:  (1) determining units placed on the Unit Assistance List (2) calculation of Financial Indicators of Concern (3) Statistical Memos (4) internal reports used for audit review analysis.  Other state agencies and other governmental entities are provided with data that they use for their purposes on a recurring basis such as the Department of Environmental Quality and the UNC, School of Government, Environmental Finance Center.</t>
  </si>
  <si>
    <t>As of the publication date of this workbook, prior year self-reported numbers may not been received by the LGC staff, please contact LGC staff at lgcaudit@nctreasurer.com to have the prior year’s numbers populated on this worksheet.  Please include in email subject "Prior Year Financial Data."</t>
  </si>
  <si>
    <t>It appears your Water Sewer Fund has transfers-in for the support of operations that are greater than 3% of the total of operating and non-operating expenses.  Please discuss the purpose of such transfers-in and if you plan to continue these transfers-in.</t>
  </si>
  <si>
    <t>Unit Data from Audit Worksheet tab : 590 and 23</t>
  </si>
  <si>
    <r>
      <t xml:space="preserve">GENERAL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</si>
  <si>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r>
      <t xml:space="preserve">WATER SEWER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</si>
  <si>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r>
      <t xml:space="preserve">ELECTRIC FUND:
</t>
    </r>
    <r>
      <rPr>
        <b/>
        <sz val="11"/>
        <color rgb="FFFF0000"/>
        <rFont val="Calibri"/>
        <family val="2"/>
        <scheme val="minor"/>
      </rPr>
      <t>As of the publication date of this workbook, prior year self-reported numbers may not been received by the LGC staff, please contact LGC staff at lgcaudit@nctreasurer.com to have the prior year’s financial data populated on this worksheet.  Please include in email subject "Prior Year Financial Data."</t>
    </r>
  </si>
  <si>
    <t>12</t>
  </si>
  <si>
    <t>12/15/2023</t>
  </si>
  <si>
    <t>Was the finance officer or interim finance officer bonded (Yes or No) pursuant to G.S. 159-29</t>
  </si>
  <si>
    <t>Amount of ARPA funds expended in total for fiscal year for non-capital purposes</t>
  </si>
  <si>
    <t>Data documenting the unit's compliance with General Statue 159-25 is captured in account numbers 947, 948, 949, 950, and 952</t>
  </si>
  <si>
    <t>If the answer to 1059 is "No,"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t>
  </si>
  <si>
    <t>If the answer to 1059 is "No," was the unit without a board-appointed interim or permanent finance officer for more than 2 weeks at any time in the fiscal year</t>
  </si>
  <si>
    <t>Is there is a going concern noted in the audit report</t>
  </si>
  <si>
    <t>Did your audit disclose any budget violations at the adopted ordinance level (Yes or No)</t>
  </si>
  <si>
    <t>Does the Performance Indicator Print worksheet in this workbook have a red shaded cell</t>
  </si>
  <si>
    <t>TD Info Completed by Auditor tab: CCH acct # 1079</t>
  </si>
  <si>
    <t>Please do not answer this question unless the unit has a  water and/or sewer fund</t>
  </si>
  <si>
    <t>Water and Sewer Capital Assets Condition Ratio</t>
  </si>
  <si>
    <t xml:space="preserve">This capital assets condition ratio formula calculates the remaining useful life. A remaining useful asset value less than 0.50  may signal the need to replace the assets in the near future. </t>
  </si>
  <si>
    <t>The indicator is to determine if any time during the fiscal year, the unit was without a board-appointed finance officer.</t>
  </si>
  <si>
    <t>Remaining useful life of asset greater than or equal to 0.50</t>
  </si>
  <si>
    <t>What date was the audit report submitted to the LGC?  (Note audit reports are due four months after fiscal year end regardless of the contract submission date.)</t>
  </si>
  <si>
    <t xml:space="preserve">What date was the audit report submitted to the LGC? </t>
  </si>
  <si>
    <t>J</t>
  </si>
  <si>
    <t>C31</t>
  </si>
  <si>
    <t>C30</t>
  </si>
  <si>
    <t>Review</t>
  </si>
  <si>
    <t>The indicator is to determine if any time during the fiscal year, the unit was board-appointed finance officer was not bonded.</t>
  </si>
  <si>
    <r>
      <t xml:space="preserve">Are there additional issues the unit should address that affect the fiscal health or internal controls of the unit that were communicated to the unit during the audit presentation?   </t>
    </r>
    <r>
      <rPr>
        <b/>
        <u/>
        <sz val="11"/>
        <rFont val="Calibri"/>
        <family val="2"/>
        <scheme val="minor"/>
      </rPr>
      <t>Please include details of the issue in cell J46 to the right and in your FPIC Response.</t>
    </r>
  </si>
  <si>
    <t>Amount transferred from the Water and Sewer Fund to  Water and Sewer Capital Project Funds</t>
  </si>
  <si>
    <t>Fiscal Review, UAL Determination, Financial Performance Indicator</t>
  </si>
  <si>
    <t>Amount transferred from the Water and Sewer Fund to Water and Sewer Capital Project Funds</t>
  </si>
  <si>
    <t>Does the Unit have a non-state administered pension plan</t>
  </si>
  <si>
    <t>What date was the audit report submitted to the LGC?  (Note audit reports are due four months after fiscal year end regardless of the contract submission date.)  Enter as "MM/DD/YYYY"</t>
  </si>
  <si>
    <t>Capital Assets for Water and Sewer Activity</t>
  </si>
  <si>
    <r>
      <t xml:space="preserve">Please list the amount of ARPA funds expended in total this fiscal year for non-capital purposes.  Enter </t>
    </r>
    <r>
      <rPr>
        <sz val="11"/>
        <rFont val="Calibri"/>
        <family val="2"/>
        <scheme val="minor"/>
      </rPr>
      <t>"</t>
    </r>
    <r>
      <rPr>
        <b/>
        <sz val="11"/>
        <rFont val="Calibri"/>
        <family val="2"/>
        <scheme val="minor"/>
      </rPr>
      <t>0</t>
    </r>
    <r>
      <rPr>
        <sz val="11"/>
        <rFont val="Calibri"/>
        <family val="2"/>
        <scheme val="minor"/>
      </rPr>
      <t>"</t>
    </r>
    <r>
      <rPr>
        <sz val="11"/>
        <color theme="1"/>
        <rFont val="Calibri"/>
        <family val="2"/>
        <scheme val="minor"/>
      </rPr>
      <t xml:space="preserve"> if no ARPA funds expended for this fiscal year for non-capital purposes.</t>
    </r>
  </si>
  <si>
    <r>
      <t xml:space="preserve">The </t>
    </r>
    <r>
      <rPr>
        <sz val="11"/>
        <color rgb="FFFF0000"/>
        <rFont val="Calibri"/>
        <family val="2"/>
        <scheme val="minor"/>
      </rPr>
      <t>Counties listed in cell H260 and municipalities within these counties</t>
    </r>
    <r>
      <rPr>
        <sz val="11"/>
        <color theme="1"/>
        <rFont val="Calibri"/>
        <family val="2"/>
        <scheme val="minor"/>
      </rPr>
      <t xml:space="preserve"> are scheduled to revalue property listing by 1/1/2025 according to the Dept. of Revenue records.  Please indicate if you expect your revaluation to: 
Enter  "20" for increase, 
            "21" for decrease, 
            "22" for no change,
            "23" if this question is not applicable
</t>
    </r>
    <r>
      <rPr>
        <b/>
        <sz val="11"/>
        <color theme="1"/>
        <rFont val="Calibri"/>
        <family val="2"/>
        <scheme val="minor"/>
      </rPr>
      <t>Select from drop list.</t>
    </r>
  </si>
  <si>
    <r>
      <t xml:space="preserve">Date the auditor presented or plans to present Financial Performance Indicators of Concern (FPIC) to the Governing Board. </t>
    </r>
    <r>
      <rPr>
        <sz val="11"/>
        <color theme="9" tint="-0.499984740745262"/>
        <rFont val="Calibri"/>
        <family val="2"/>
        <scheme val="minor"/>
      </rPr>
      <t xml:space="preserve"> If there are no FPICs to present to the governing board,  enter "7/1/2024" to indicate that an FPIC response is not required.</t>
    </r>
  </si>
  <si>
    <t xml:space="preserve"> Fiscal Year 2024 -  Data Input Workbook incorporates the
Unit Data from Audit Worksheet, TD Info Completed by Auditor Worksheet, Performance Indicators Print Worksheet</t>
  </si>
  <si>
    <t xml:space="preserve">The TD Info Completed by Auditor Worksheet is to be filled out using the completed audit report for the fiscal year 2024. </t>
  </si>
  <si>
    <t>Please remember the original 2024 audit report submission cannot be processed unless we receive the following:</t>
  </si>
  <si>
    <t xml:space="preserve">- PDF file of the Audit Report named “Unit Name 2024 Audit”             </t>
  </si>
  <si>
    <t>- PDF file of all communication letters from the auditor to the unit  named “Unit Name 2024 comm #1”, “Unit Name 2024 comm #2”, etc.</t>
  </si>
  <si>
    <t xml:space="preserve">- Excel file named “Unit Name 2024 Data Input Workbook" </t>
  </si>
  <si>
    <t>If the 2024 Unit Data from Audit worksheet or the Performance Indicators Print spreadsheet is not populated with prior year's financial data for the unit of government, please email the data input workbook at lgcaudit@nctreasurer.com.  We will email you  the updated Data Input Workbook with the prior years' financial data ..</t>
  </si>
  <si>
    <t>Location of Documents for the 2024 Audit Submission Process</t>
  </si>
  <si>
    <t>Instructions for Audits with a Fiscal Year Ending Earlier than June 30, 2024</t>
  </si>
  <si>
    <t>If you are performing an audit for a year earlier than June 30, 2024, please email LGCAudit@nctreasurer.com, as you will need to use the appropriate transmittal and data input document for that time period.</t>
  </si>
  <si>
    <r>
      <t xml:space="preserve">The questions to the 2024 </t>
    </r>
    <r>
      <rPr>
        <b/>
        <i/>
        <u/>
        <sz val="12"/>
        <rFont val="Cambria"/>
        <family val="1"/>
      </rPr>
      <t>TD Info Completed by Auditor</t>
    </r>
    <r>
      <rPr>
        <b/>
        <i/>
        <sz val="12"/>
        <rFont val="Cambria"/>
        <family val="1"/>
      </rPr>
      <t xml:space="preserve"> tab assist our team in routing the audit report through our review process.  Please answer all questions before submitting the Data Input Workbook to the portal.  Incomplete TD Info Completed by Auditor tabs will be returned and may delay invoice processing.  </t>
    </r>
  </si>
  <si>
    <r>
      <t xml:space="preserve">If you appropriated General Fund Balance in your 2024 budget and your "change in fund balance": (account # 23 above) is </t>
    </r>
    <r>
      <rPr>
        <sz val="11"/>
        <color rgb="FFFF0000"/>
        <rFont val="Calibri"/>
        <family val="2"/>
        <scheme val="minor"/>
      </rPr>
      <t>negative</t>
    </r>
    <r>
      <rPr>
        <sz val="11"/>
        <color theme="1"/>
        <rFont val="Calibri"/>
        <family val="2"/>
        <scheme val="minor"/>
      </rPr>
      <t>, please select from the drop down box in column F either "operations" or "capital", whichever best describes what the fund balance was used for.  Briefly describe in column G to the right what the fund balance was used for.</t>
    </r>
  </si>
  <si>
    <r>
      <t xml:space="preserve">Please enter the fiscal year end reported on the unit's audited financial statements if other than 6/30/2024.  </t>
    </r>
    <r>
      <rPr>
        <b/>
        <sz val="11"/>
        <color theme="1"/>
        <rFont val="Calibri"/>
        <family val="2"/>
        <scheme val="minor"/>
      </rPr>
      <t xml:space="preserve">Do not delete 6/30/2024 if applicable. </t>
    </r>
    <r>
      <rPr>
        <sz val="11"/>
        <color theme="1"/>
        <rFont val="Calibri"/>
        <family val="2"/>
        <scheme val="minor"/>
      </rPr>
      <t xml:space="preserve">            Format "MM/DD/YYYY"</t>
    </r>
  </si>
  <si>
    <t>Fiscal Year 2024</t>
  </si>
  <si>
    <t>2024-2025</t>
  </si>
  <si>
    <t>reappraisal</t>
  </si>
  <si>
    <t>PROPERTY TAX RATES AND REAPPRAISAL SCHEDULES FOR NORTH CAROLINA COUNTIES</t>
  </si>
  <si>
    <t>did not use this report</t>
  </si>
  <si>
    <t xml:space="preserve">Beaufort, Buncombe, Caldwell, Carteret, Chatham, Cleveland, Cumberland, Dare, Davie, Duplin, Durham, Forsyth, Gates, Haywood, Jackson, Johnston, Lenoir, Martin, New Hanover, Orange, Person, Polk, Stanly, Stokes, Surry, Transylvania, Tyrrell, Union, Warren, Wayne, Wilkes </t>
  </si>
  <si>
    <t>If the fiscal year-end is other than 6/30/2024, 9/30/2024, 12/31/2024 or 3/31/2025, please contact us.</t>
  </si>
  <si>
    <t>3/11/2024</t>
  </si>
  <si>
    <t>2/2/2023</t>
  </si>
  <si>
    <t>11/3/2023</t>
  </si>
  <si>
    <t>4/12/2024</t>
  </si>
  <si>
    <t>8/11/2023</t>
  </si>
  <si>
    <t>6/10/2024</t>
  </si>
  <si>
    <t>4/8/2024</t>
  </si>
  <si>
    <t>8/14/2023</t>
  </si>
  <si>
    <t>12/4/2023</t>
  </si>
  <si>
    <t>2023-08-11</t>
  </si>
  <si>
    <t>2024-05-07</t>
  </si>
  <si>
    <t>PY2</t>
  </si>
  <si>
    <t>Audit Year 2022</t>
  </si>
  <si>
    <t>N/A -</t>
  </si>
  <si>
    <t>Patricia</t>
  </si>
  <si>
    <t>Jonathan</t>
  </si>
  <si>
    <t>Owens</t>
  </si>
  <si>
    <t>Brown</t>
  </si>
  <si>
    <t>permanent</t>
  </si>
  <si>
    <t>11/14/2023</t>
  </si>
  <si>
    <t>FINANCE DIRECTOR</t>
  </si>
  <si>
    <t>Finance officer</t>
  </si>
  <si>
    <t>Finance director</t>
  </si>
  <si>
    <t>Chief Financial Officer</t>
  </si>
  <si>
    <t>1/16/2024</t>
  </si>
  <si>
    <t>10/31/2023</t>
  </si>
  <si>
    <t>11/22/2023</t>
  </si>
  <si>
    <t>10/27/2023</t>
  </si>
  <si>
    <t>11/30/2023</t>
  </si>
  <si>
    <t>11/1/2023</t>
  </si>
  <si>
    <t>10/12/2023</t>
  </si>
  <si>
    <t>11/20/2023</t>
  </si>
  <si>
    <t>6/28/2024</t>
  </si>
  <si>
    <t>11/27/2023</t>
  </si>
  <si>
    <t>12/27/2023</t>
  </si>
  <si>
    <t>4/24/2024</t>
  </si>
  <si>
    <t>11/28/2023</t>
  </si>
  <si>
    <t>11/13/2023</t>
  </si>
  <si>
    <t>11/9/2023</t>
  </si>
  <si>
    <t>12/11/2023</t>
  </si>
  <si>
    <t>7/29/2024</t>
  </si>
  <si>
    <t>11/29/2023</t>
  </si>
  <si>
    <t>11/21/2023</t>
  </si>
  <si>
    <t>12/1/2023</t>
  </si>
  <si>
    <t>5/7/2024</t>
  </si>
  <si>
    <t>10/2/2023</t>
  </si>
  <si>
    <t>12/31/2023</t>
  </si>
  <si>
    <t>6/27/2024</t>
  </si>
  <si>
    <t>Were there any issues or other matters presented to the Governing Board regarding internal controls (not already listed as a material weakness or significant deficiency?</t>
  </si>
  <si>
    <t>2/8/2024</t>
  </si>
  <si>
    <t>12/18/2023</t>
  </si>
  <si>
    <t>3/17/2024</t>
  </si>
  <si>
    <t>12/5/2023</t>
  </si>
  <si>
    <t>12/12/2023</t>
  </si>
  <si>
    <t>7/1/2023</t>
  </si>
  <si>
    <t>3/14/2024</t>
  </si>
  <si>
    <t>1/9/2024</t>
  </si>
  <si>
    <t>5/14/2024</t>
  </si>
  <si>
    <t>1/10/2024</t>
  </si>
  <si>
    <t>8/13/2024</t>
  </si>
  <si>
    <t>2024-01-19</t>
  </si>
  <si>
    <t>2023-10-31</t>
  </si>
  <si>
    <t>2023-11-29</t>
  </si>
  <si>
    <t>2023-11-22</t>
  </si>
  <si>
    <t>2023-10-27</t>
  </si>
  <si>
    <t>2023-11-30</t>
  </si>
  <si>
    <t>2023-11-03</t>
  </si>
  <si>
    <t>2023-12-29</t>
  </si>
  <si>
    <t>2023-11-06</t>
  </si>
  <si>
    <t>2023-10-30</t>
  </si>
  <si>
    <t>2024-06-28</t>
  </si>
  <si>
    <t>2023-12-01</t>
  </si>
  <si>
    <t>2023-11-13</t>
  </si>
  <si>
    <t>2023-10-12</t>
  </si>
  <si>
    <t>2023-11-16</t>
  </si>
  <si>
    <t>2023-11-27</t>
  </si>
  <si>
    <t>2023-11-02</t>
  </si>
  <si>
    <t>Was the finance officer or interim finance officer bonded pursuant to G.S. 159-29 which requires that the finance officer give a true accounting and faithful performance bond in an amount not less than the greater of (1) $50,000 or (2) an amount equal to</t>
  </si>
  <si>
    <t>Does the unit have a self-insurance fund?</t>
  </si>
  <si>
    <t>Does the Unit have a non-state administrered pension plan?</t>
  </si>
  <si>
    <t>Please list the amount of ARPA funds expended in total this fiscal year for non-capital purposes.  Enter "zero" if no ARPA funds expended for this fiscal year for non-capital purposes.</t>
  </si>
  <si>
    <t>Transfers from General Fund to Water and Sewer Fund (Enter as positive.)</t>
  </si>
  <si>
    <t>Transfers from Water and Sewer to General Fund. (Enter as positive.)</t>
  </si>
  <si>
    <t>Amount transferred from the Water and Sewer Fund to a Water and Sewer Capital Project Fund</t>
  </si>
  <si>
    <t>If the answer to 1059 is "No" then was the unit without a board-appointed interim or permanent finance officer for more than 2 weeks at any time in the fiscal year? (Note:  Please include a noncompliance finding related to GS 159-24, GS 159-25(a)(2) or GS</t>
  </si>
  <si>
    <t>1/19/2024</t>
  </si>
  <si>
    <t>12/29/2023</t>
  </si>
  <si>
    <t>11/6/2023</t>
  </si>
  <si>
    <t>10/13/2023</t>
  </si>
  <si>
    <t>10/24/2023</t>
  </si>
  <si>
    <t>11/16/2023</t>
  </si>
  <si>
    <t>12/14/2023</t>
  </si>
  <si>
    <t>PY1</t>
  </si>
  <si>
    <t>Audit Year 2023</t>
  </si>
  <si>
    <t xml:space="preserve">Was a  Management Letter issued by the auditor to the unit of government? </t>
  </si>
  <si>
    <t>Capital - Various Items - vehicles, street signs, building painting, carpet, building street signs, dumptruck, streets</t>
  </si>
  <si>
    <t>Capital - Town Hall Renovations</t>
  </si>
  <si>
    <t>Capital - Transportation</t>
  </si>
  <si>
    <t>- n/a</t>
  </si>
  <si>
    <t>Operations - Paid off additional debt</t>
  </si>
  <si>
    <t>Operations - Landfill cleanup</t>
  </si>
  <si>
    <t>Michael</t>
  </si>
  <si>
    <t>Rubylene</t>
  </si>
  <si>
    <t>WENDY</t>
  </si>
  <si>
    <t>Natalie</t>
  </si>
  <si>
    <t>Sandra</t>
  </si>
  <si>
    <t>Debbie</t>
  </si>
  <si>
    <t>Arche</t>
  </si>
  <si>
    <t>Kesha</t>
  </si>
  <si>
    <t>Kimberly</t>
  </si>
  <si>
    <t>Carrie</t>
  </si>
  <si>
    <t>James</t>
  </si>
  <si>
    <t>Kathryn</t>
  </si>
  <si>
    <t>Sandy</t>
  </si>
  <si>
    <t>Bill</t>
  </si>
  <si>
    <t>Brandi</t>
  </si>
  <si>
    <t>Pat</t>
  </si>
  <si>
    <t>Amy</t>
  </si>
  <si>
    <t>Teresa</t>
  </si>
  <si>
    <t>Dixie</t>
  </si>
  <si>
    <t>Stephen</t>
  </si>
  <si>
    <t>Tara</t>
  </si>
  <si>
    <t>Valerie</t>
  </si>
  <si>
    <t>Kentrina</t>
  </si>
  <si>
    <t>ROBERT</t>
  </si>
  <si>
    <t>Ann</t>
  </si>
  <si>
    <t>Kathy</t>
  </si>
  <si>
    <t>Kristin</t>
  </si>
  <si>
    <t>Andrea</t>
  </si>
  <si>
    <t>Connie</t>
  </si>
  <si>
    <t>Radasia</t>
  </si>
  <si>
    <t>Monica</t>
  </si>
  <si>
    <t>Jessica</t>
  </si>
  <si>
    <t>Kelly</t>
  </si>
  <si>
    <t>Kurt</t>
  </si>
  <si>
    <t>NANCY</t>
  </si>
  <si>
    <t>Aaron</t>
  </si>
  <si>
    <t>Julie</t>
  </si>
  <si>
    <t>Jeff</t>
  </si>
  <si>
    <t>Candy</t>
  </si>
  <si>
    <t>Penny</t>
  </si>
  <si>
    <t>Joelle</t>
  </si>
  <si>
    <t>Dianne</t>
  </si>
  <si>
    <t>Pieter</t>
  </si>
  <si>
    <t>Angel</t>
  </si>
  <si>
    <t>Misty</t>
  </si>
  <si>
    <t>Nancy</t>
  </si>
  <si>
    <t>Danny</t>
  </si>
  <si>
    <t>Sherri</t>
  </si>
  <si>
    <t>ASHLEY</t>
  </si>
  <si>
    <t>Andrew</t>
  </si>
  <si>
    <t>Tim</t>
  </si>
  <si>
    <t>Maxie</t>
  </si>
  <si>
    <t>MARIE</t>
  </si>
  <si>
    <t>Vickie</t>
  </si>
  <si>
    <t>Elizabeth</t>
  </si>
  <si>
    <t>Tammie</t>
  </si>
  <si>
    <t>Virginia</t>
  </si>
  <si>
    <t>Alicia</t>
  </si>
  <si>
    <t>SHARON</t>
  </si>
  <si>
    <t>Darlene</t>
  </si>
  <si>
    <t>Dina</t>
  </si>
  <si>
    <t>Jane</t>
  </si>
  <si>
    <t>Pritchard</t>
  </si>
  <si>
    <t>Price</t>
  </si>
  <si>
    <t>Lambert</t>
  </si>
  <si>
    <t>BUTNER</t>
  </si>
  <si>
    <t>Favreau</t>
  </si>
  <si>
    <t>Hall</t>
  </si>
  <si>
    <t>Frye</t>
  </si>
  <si>
    <t>McAdoo</t>
  </si>
  <si>
    <t>Branch</t>
  </si>
  <si>
    <t>Cook</t>
  </si>
  <si>
    <t>Alston</t>
  </si>
  <si>
    <t>Adams</t>
  </si>
  <si>
    <t>Rief</t>
  </si>
  <si>
    <t>Griffin</t>
  </si>
  <si>
    <t>Strickland</t>
  </si>
  <si>
    <t>Garrell</t>
  </si>
  <si>
    <t>Oland</t>
  </si>
  <si>
    <t>Wall</t>
  </si>
  <si>
    <t>Duncan</t>
  </si>
  <si>
    <t>Nichols</t>
  </si>
  <si>
    <t>McKenna</t>
  </si>
  <si>
    <t>Woods</t>
  </si>
  <si>
    <t>MCKIE</t>
  </si>
  <si>
    <t>Stroud</t>
  </si>
  <si>
    <t>Payne</t>
  </si>
  <si>
    <t>Stafford</t>
  </si>
  <si>
    <t>Lassiter</t>
  </si>
  <si>
    <t>Sessoms</t>
  </si>
  <si>
    <t>Mauffray</t>
  </si>
  <si>
    <t>Kennington</t>
  </si>
  <si>
    <t>Hunter</t>
  </si>
  <si>
    <t>Smart</t>
  </si>
  <si>
    <t>Beal</t>
  </si>
  <si>
    <t>JENKINS</t>
  </si>
  <si>
    <t>Thies</t>
  </si>
  <si>
    <t>Niswonger</t>
  </si>
  <si>
    <t>Wilkins</t>
  </si>
  <si>
    <t>Bowman</t>
  </si>
  <si>
    <t>Chapman</t>
  </si>
  <si>
    <t>Poore</t>
  </si>
  <si>
    <t>Starnes</t>
  </si>
  <si>
    <t>Swart</t>
  </si>
  <si>
    <t>Coffey</t>
  </si>
  <si>
    <t>Nixon</t>
  </si>
  <si>
    <t>Bradshaw</t>
  </si>
  <si>
    <t>MATTHEWS</t>
  </si>
  <si>
    <t>Havens</t>
  </si>
  <si>
    <t>McNallan</t>
  </si>
  <si>
    <t>Flora</t>
  </si>
  <si>
    <t>Deaver</t>
  </si>
  <si>
    <t>FREEMAN</t>
  </si>
  <si>
    <t>Douglas</t>
  </si>
  <si>
    <t>Bass</t>
  </si>
  <si>
    <t>McMichael</t>
  </si>
  <si>
    <t>Steward</t>
  </si>
  <si>
    <t>PENNY</t>
  </si>
  <si>
    <t>Hicks</t>
  </si>
  <si>
    <t>Reavis</t>
  </si>
  <si>
    <t>Panther</t>
  </si>
  <si>
    <t>Barham</t>
  </si>
  <si>
    <t>Rotchford</t>
  </si>
  <si>
    <t>Whitaker</t>
  </si>
  <si>
    <t>Hardison</t>
  </si>
  <si>
    <t>YES</t>
  </si>
  <si>
    <t>10/1/2019</t>
  </si>
  <si>
    <t>12/12/2017</t>
  </si>
  <si>
    <t>12/9/2018</t>
  </si>
  <si>
    <t>3/21/2022</t>
  </si>
  <si>
    <t>1/1/2017</t>
  </si>
  <si>
    <t>9/19/2017</t>
  </si>
  <si>
    <t>9/9/2014</t>
  </si>
  <si>
    <t>7/26/2010</t>
  </si>
  <si>
    <t>7/1/2017</t>
  </si>
  <si>
    <t>2/4/2020</t>
  </si>
  <si>
    <t>12/13/2010</t>
  </si>
  <si>
    <t>2/11/2019</t>
  </si>
  <si>
    <t>7/10/2021</t>
  </si>
  <si>
    <t>4/2/2012</t>
  </si>
  <si>
    <t>10/25/2021</t>
  </si>
  <si>
    <t>8/5/2019</t>
  </si>
  <si>
    <t>9/17/2007</t>
  </si>
  <si>
    <t>6/1/2020</t>
  </si>
  <si>
    <t>1/7/1992</t>
  </si>
  <si>
    <t>1/1/2008</t>
  </si>
  <si>
    <t>1/1/2013</t>
  </si>
  <si>
    <t>1/1/2004</t>
  </si>
  <si>
    <t>12/6/2021</t>
  </si>
  <si>
    <t>2/13/2023</t>
  </si>
  <si>
    <t>5/2/2022</t>
  </si>
  <si>
    <t>2/22/2021</t>
  </si>
  <si>
    <t>5/31/2022</t>
  </si>
  <si>
    <t>1/1/2018</t>
  </si>
  <si>
    <t>7/1/2021</t>
  </si>
  <si>
    <t>4/11/2016</t>
  </si>
  <si>
    <t>12/1/2019</t>
  </si>
  <si>
    <t>1/1/2022</t>
  </si>
  <si>
    <t>6/1/2022</t>
  </si>
  <si>
    <t>5/11/2000</t>
  </si>
  <si>
    <t>1/24/2004</t>
  </si>
  <si>
    <t>9/5/2017</t>
  </si>
  <si>
    <t>5/14/1998</t>
  </si>
  <si>
    <t>10/4/2010</t>
  </si>
  <si>
    <t>11/17/2020</t>
  </si>
  <si>
    <t>11/1/2012</t>
  </si>
  <si>
    <t>6/7/2018</t>
  </si>
  <si>
    <t>2/17/2021</t>
  </si>
  <si>
    <t>11/6/2022</t>
  </si>
  <si>
    <t>3/7/2022</t>
  </si>
  <si>
    <t>1/1/2019</t>
  </si>
  <si>
    <t>5/22/2014</t>
  </si>
  <si>
    <t>12/7/2015</t>
  </si>
  <si>
    <t>10/10/2005</t>
  </si>
  <si>
    <t>12/18/2017</t>
  </si>
  <si>
    <t>4/12/2012</t>
  </si>
  <si>
    <t>11/8/2022</t>
  </si>
  <si>
    <t>12/1/2014</t>
  </si>
  <si>
    <t>12/31/2011</t>
  </si>
  <si>
    <t>8/5/2020</t>
  </si>
  <si>
    <t>1/1/1996</t>
  </si>
  <si>
    <t>Cheryl Pritchard</t>
  </si>
  <si>
    <t>Michael Price</t>
  </si>
  <si>
    <t>Amanda Monk</t>
  </si>
  <si>
    <t>WENDY BUTNER</t>
  </si>
  <si>
    <t>Natalie Walker</t>
  </si>
  <si>
    <t>Sandra Favreau</t>
  </si>
  <si>
    <t>Debbie Hall</t>
  </si>
  <si>
    <t>Lori Frye</t>
  </si>
  <si>
    <t>Arche McAdoo</t>
  </si>
  <si>
    <t>Kesha Matthews</t>
  </si>
  <si>
    <t>Kimberly Branch</t>
  </si>
  <si>
    <t>Carrie Cook</t>
  </si>
  <si>
    <t>James E Alston</t>
  </si>
  <si>
    <t>Kathryn Adams</t>
  </si>
  <si>
    <t>Sandy Jones</t>
  </si>
  <si>
    <t>David Rief</t>
  </si>
  <si>
    <t>Bill Griffin</t>
  </si>
  <si>
    <t>Brandi Strickland</t>
  </si>
  <si>
    <t>Pat Garrell</t>
  </si>
  <si>
    <t>Amy Oland</t>
  </si>
  <si>
    <t>Teresa Smith</t>
  </si>
  <si>
    <t>Dixie Wall</t>
  </si>
  <si>
    <t>Stephen Duncan</t>
  </si>
  <si>
    <t>Tara Nichols</t>
  </si>
  <si>
    <t>Valerie McKenna</t>
  </si>
  <si>
    <t>Kentrina Woods</t>
  </si>
  <si>
    <t>ROBERT MCKIE</t>
  </si>
  <si>
    <t>Ann Stroud</t>
  </si>
  <si>
    <t>Kathy Payne</t>
  </si>
  <si>
    <t>Kristin Stafford</t>
  </si>
  <si>
    <t>Andrea Garland</t>
  </si>
  <si>
    <t>Connie Lassiter</t>
  </si>
  <si>
    <t>Radasis Sessoms</t>
  </si>
  <si>
    <t>MONICA MAUFFRAY</t>
  </si>
  <si>
    <t>Susan Kennington</t>
  </si>
  <si>
    <t>Jessica Jones</t>
  </si>
  <si>
    <t>Kelly Hunter</t>
  </si>
  <si>
    <t>Steve Smart</t>
  </si>
  <si>
    <t>Kurt Beal</t>
  </si>
  <si>
    <t>NANCY JENKINS</t>
  </si>
  <si>
    <t>Aaron Thies</t>
  </si>
  <si>
    <t>Julie Niswonger</t>
  </si>
  <si>
    <t>Barbara Jones</t>
  </si>
  <si>
    <t>Jeff Wilkins</t>
  </si>
  <si>
    <t>Candy Bowman</t>
  </si>
  <si>
    <t>Penny Chapman</t>
  </si>
  <si>
    <t>Joelle Poore</t>
  </si>
  <si>
    <t>Jonathan Newton</t>
  </si>
  <si>
    <t>Dianne Starnes</t>
  </si>
  <si>
    <t>Pieter Swart</t>
  </si>
  <si>
    <t>Angel Jenkins</t>
  </si>
  <si>
    <t>Debbie Coffey</t>
  </si>
  <si>
    <t>Regina Hamilton</t>
  </si>
  <si>
    <t>Misty Marion</t>
  </si>
  <si>
    <t>Nancy Nixon</t>
  </si>
  <si>
    <t>Danny Moore</t>
  </si>
  <si>
    <t>Sherri Bradshaw</t>
  </si>
  <si>
    <t>ASHLEY MATTHEWS</t>
  </si>
  <si>
    <t>Cary McNallan</t>
  </si>
  <si>
    <t>Tim Flora</t>
  </si>
  <si>
    <t>Maxie Deaver</t>
  </si>
  <si>
    <t>MARIE FREEMAN</t>
  </si>
  <si>
    <t>Vickie Matthews</t>
  </si>
  <si>
    <t>Michael Douglas</t>
  </si>
  <si>
    <t>Tammie McMichael</t>
  </si>
  <si>
    <t>Virginia Smith</t>
  </si>
  <si>
    <t>Alicia Steward</t>
  </si>
  <si>
    <t>SHARON PENNY</t>
  </si>
  <si>
    <t>Darlene Hicks</t>
  </si>
  <si>
    <t>Dina S. Reavis</t>
  </si>
  <si>
    <t>Teresa Panther</t>
  </si>
  <si>
    <t>Jane Smith</t>
  </si>
  <si>
    <t>Kathy Barham</t>
  </si>
  <si>
    <t>Laura Rocthford</t>
  </si>
  <si>
    <t>Patricia Whitaker</t>
  </si>
  <si>
    <t>Linda Williams</t>
  </si>
  <si>
    <t>Nancy Hardison</t>
  </si>
  <si>
    <t>Commissioner/Finance Officer</t>
  </si>
  <si>
    <t>Fiannce Officer</t>
  </si>
  <si>
    <t>Finance Officer/Mayor</t>
  </si>
  <si>
    <t>Business Management Director</t>
  </si>
  <si>
    <t>Town Clerk / Finance Officer</t>
  </si>
  <si>
    <t>Town Clerk / Fianance Officer</t>
  </si>
  <si>
    <t>Clerk</t>
  </si>
  <si>
    <t>Town Clerk/Finance Officer</t>
  </si>
  <si>
    <t>Finance Officer/Asst. Town Manager</t>
  </si>
  <si>
    <t>Finance Officer/Town Administrator</t>
  </si>
  <si>
    <t>Finance Officer/Clerk</t>
  </si>
  <si>
    <t>INTERIM FINANCE OFFICER</t>
  </si>
  <si>
    <t>Manger</t>
  </si>
  <si>
    <t>Director of Finance and Personnel</t>
  </si>
  <si>
    <t>9/29/2022</t>
  </si>
  <si>
    <t>10/25/2022</t>
  </si>
  <si>
    <t>10/19/2022</t>
  </si>
  <si>
    <t>1/26/2023</t>
  </si>
  <si>
    <t>12/15/2022</t>
  </si>
  <si>
    <t>12/23/2022</t>
  </si>
  <si>
    <t>10/3/2022</t>
  </si>
  <si>
    <t>11/1/2022</t>
  </si>
  <si>
    <t>11/23/2022</t>
  </si>
  <si>
    <t>2/21/2023</t>
  </si>
  <si>
    <t>1/30/2023</t>
  </si>
  <si>
    <t>9/23/2022</t>
  </si>
  <si>
    <t>10/12/2022</t>
  </si>
  <si>
    <t>6/15/2023</t>
  </si>
  <si>
    <t>1/18/2022</t>
  </si>
  <si>
    <t>7/17/2072</t>
  </si>
  <si>
    <t>10/24/2022</t>
  </si>
  <si>
    <t>10/13/2022</t>
  </si>
  <si>
    <t>1/12/2023</t>
  </si>
  <si>
    <t>9/6/2022</t>
  </si>
  <si>
    <t>5/31/2023</t>
  </si>
  <si>
    <t>11/18/2022</t>
  </si>
  <si>
    <t>1/19/2023</t>
  </si>
  <si>
    <t>9/27/2022</t>
  </si>
  <si>
    <t>11/19/2021</t>
  </si>
  <si>
    <t>11/16/2022</t>
  </si>
  <si>
    <t>1/9/2023</t>
  </si>
  <si>
    <t>11/25/2022</t>
  </si>
  <si>
    <t>2/16/2023</t>
  </si>
  <si>
    <t>7/31/2023</t>
  </si>
  <si>
    <t>828-728-5053</t>
  </si>
  <si>
    <t>910-279-4043 ext.9105796747</t>
  </si>
  <si>
    <t>919-658-9221</t>
  </si>
  <si>
    <t>910-245-3212</t>
  </si>
  <si>
    <t>828-648-2363</t>
  </si>
  <si>
    <t>252-393-8483</t>
  </si>
  <si>
    <t>910-458-5495</t>
  </si>
  <si>
    <t>910-575-4877</t>
  </si>
  <si>
    <t>919-918-7439</t>
  </si>
  <si>
    <t>910-947-2331</t>
  </si>
  <si>
    <t>919-469-4048</t>
  </si>
  <si>
    <t>704-472-1369</t>
  </si>
  <si>
    <t>252-459-3668</t>
  </si>
  <si>
    <t>910-278-5471</t>
  </si>
  <si>
    <t>828-485-4243</t>
  </si>
  <si>
    <t>252-393-7898</t>
  </si>
  <si>
    <t>828-312-3779</t>
  </si>
  <si>
    <t>910-654-5387</t>
  </si>
  <si>
    <t>910-654-4148</t>
  </si>
  <si>
    <t>919-969-5017</t>
  </si>
  <si>
    <t>704-336-8567</t>
  </si>
  <si>
    <t>704-435-1703</t>
  </si>
  <si>
    <t>828-777-5718</t>
  </si>
  <si>
    <t>704-857-2466</t>
  </si>
  <si>
    <t>828-466-7255</t>
  </si>
  <si>
    <t>910-647-3661</t>
  </si>
  <si>
    <t>919-553-5002</t>
  </si>
  <si>
    <t>336-712-4039</t>
  </si>
  <si>
    <t>704-278-4777</t>
  </si>
  <si>
    <t>910-299-4900 ext.3022</t>
  </si>
  <si>
    <t>828-627-2566</t>
  </si>
  <si>
    <t>910-591-4133</t>
  </si>
  <si>
    <t>252-358-8611</t>
  </si>
  <si>
    <t>252-796-2781</t>
  </si>
  <si>
    <t>252-398-3016</t>
  </si>
  <si>
    <t>704-920-5222</t>
  </si>
  <si>
    <t>252-823-0349</t>
  </si>
  <si>
    <t>828-879-2321</t>
  </si>
  <si>
    <t>828-464-1191 ext.2903</t>
  </si>
  <si>
    <t>252-585-0488</t>
  </si>
  <si>
    <t>336-284-2141</t>
  </si>
  <si>
    <t>704-892-6031 ext.123</t>
  </si>
  <si>
    <t>252-474-8020</t>
  </si>
  <si>
    <t>704-824-4337</t>
  </si>
  <si>
    <t>919-764-1011</t>
  </si>
  <si>
    <t>252-797-4852</t>
  </si>
  <si>
    <t>828-733-0360</t>
  </si>
  <si>
    <t>704-922-3176 ext.263</t>
  </si>
  <si>
    <t>336-593-2002</t>
  </si>
  <si>
    <t>704-940-9648</t>
  </si>
  <si>
    <t>336-859-4231</t>
  </si>
  <si>
    <t>828-586-1439</t>
  </si>
  <si>
    <t>910-582-6002</t>
  </si>
  <si>
    <t>336-356-8962</t>
  </si>
  <si>
    <t>252-443-9131</t>
  </si>
  <si>
    <t>252-523-9610</t>
  </si>
  <si>
    <t>828-437-7421</t>
  </si>
  <si>
    <t>910-862-4301</t>
  </si>
  <si>
    <t>252-255-1234</t>
  </si>
  <si>
    <t>910-230-3515</t>
  </si>
  <si>
    <t>919-560-4455 ext.18229</t>
  </si>
  <si>
    <t>704-481-1500</t>
  </si>
  <si>
    <t>910-655-4388</t>
  </si>
  <si>
    <t>336-699-8560</t>
  </si>
  <si>
    <t>704-636-7111</t>
  </si>
  <si>
    <t>910-323-0707</t>
  </si>
  <si>
    <t>336-623-2110</t>
  </si>
  <si>
    <t>252-482-2155</t>
  </si>
  <si>
    <t>252-621-7318</t>
  </si>
  <si>
    <t>910-862-2066</t>
  </si>
  <si>
    <t>828-733-9573</t>
  </si>
  <si>
    <t>336-258-8902</t>
  </si>
  <si>
    <t>828-453-8611</t>
  </si>
  <si>
    <t>910-652-6251</t>
  </si>
  <si>
    <t>336-584-3601</t>
  </si>
  <si>
    <t>252-354-3424</t>
  </si>
  <si>
    <t>252-445-3146</t>
  </si>
  <si>
    <t>910-591-4203</t>
  </si>
  <si>
    <t>252-792-3394</t>
  </si>
  <si>
    <t>manager@cajahsmtn.com</t>
  </si>
  <si>
    <t>Mp79930@icloud.com</t>
  </si>
  <si>
    <t>calypsocityof@bellsouth.net</t>
  </si>
  <si>
    <t>cameronnc@townofcameron.com</t>
  </si>
  <si>
    <t>nwalker@cantonnc.com</t>
  </si>
  <si>
    <t>sfavreau@capecarteret.org</t>
  </si>
  <si>
    <t>debbie.hall@carolinabeach.org</t>
  </si>
  <si>
    <t>csth@atmc.net</t>
  </si>
  <si>
    <t>AMcAdoo@townofcarrboro.org</t>
  </si>
  <si>
    <t>kmatthews.admin@townofcarthage.org</t>
  </si>
  <si>
    <t>kimberly.branch@townofcary.org</t>
  </si>
  <si>
    <t>townofcasarnc@gmail.com</t>
  </si>
  <si>
    <t>townofcastalia@centurylink.net</t>
  </si>
  <si>
    <t>financeofficer@caswellbeach.org</t>
  </si>
  <si>
    <t>Sandy.Jones@wpcog.org</t>
  </si>
  <si>
    <t>drief@cedarpointnc.org</t>
  </si>
  <si>
    <t>bigriffincrcc@gmail.com</t>
  </si>
  <si>
    <t>cgth@embarqmail.com</t>
  </si>
  <si>
    <t>pgarrell@townofchadbourn.com</t>
  </si>
  <si>
    <t>aoland@townofchapelhill.org</t>
  </si>
  <si>
    <t>teresa.smith@charlottenc.gov</t>
  </si>
  <si>
    <t>dwall@cityofcherryville.com</t>
  </si>
  <si>
    <t>tevierides@aol.com</t>
  </si>
  <si>
    <t>tnichols@chinagrovenc.gov</t>
  </si>
  <si>
    <t>vmckenna@cityofclaremont.org</t>
  </si>
  <si>
    <t>kwoods@townofclarktonnc.org</t>
  </si>
  <si>
    <t>rmckie@townofclaytonnc.org</t>
  </si>
  <si>
    <t>astroud@clemmons.org</t>
  </si>
  <si>
    <t>clevelandclerk@clevelandnc.org</t>
  </si>
  <si>
    <t>kstafford@cityofclintonnc.com</t>
  </si>
  <si>
    <t>joy.garland@townofclyde.com</t>
  </si>
  <si>
    <t>classiter@coatsnc.org</t>
  </si>
  <si>
    <t>rjsessomstownofcofield@gmail.com</t>
  </si>
  <si>
    <t>monicamauffray@yahoo.com</t>
  </si>
  <si>
    <t>swk1028@yahoo.com</t>
  </si>
  <si>
    <t>jonesj@concordnc.gov</t>
  </si>
  <si>
    <t>townofconetoenc@gmail.com</t>
  </si>
  <si>
    <t>clerk@ci.connellysprings.nc.us</t>
  </si>
  <si>
    <t>kurt.beal@conovernc.gov</t>
  </si>
  <si>
    <t>conwaytownhall@mchis.com</t>
  </si>
  <si>
    <t>athies@cooleemee.org</t>
  </si>
  <si>
    <t>jniswonger@cornelius.org</t>
  </si>
  <si>
    <t>msbarbarajones@gmail.com</t>
  </si>
  <si>
    <t>finance@cramerton.org</t>
  </si>
  <si>
    <t>cbowman@cityofcreedmoor.org</t>
  </si>
  <si>
    <t>creswellnc@centurylink.net</t>
  </si>
  <si>
    <t>townhall@townofcrossnore.com</t>
  </si>
  <si>
    <t>jnewton@dallasnc.net</t>
  </si>
  <si>
    <t>admin@townofdanbury1957.org</t>
  </si>
  <si>
    <t>pswart@townofdavidson.org</t>
  </si>
  <si>
    <t>angel.jenkins@townofdenton.com</t>
  </si>
  <si>
    <t>info1@dillsboronc.info</t>
  </si>
  <si>
    <t>dobbinsheights@bellsouth.net</t>
  </si>
  <si>
    <t>misty.marion@dobson-nc.com</t>
  </si>
  <si>
    <t>townofdortches@embarqmail.com</t>
  </si>
  <si>
    <t>fotownofdover@gmail.com</t>
  </si>
  <si>
    <t>sbradshaw@townofdrexel.net</t>
  </si>
  <si>
    <t>dublintownhall@netscape.net</t>
  </si>
  <si>
    <t>dhavens@townofduck.com</t>
  </si>
  <si>
    <t>cmcnallan@dunn-nc.org</t>
  </si>
  <si>
    <t>Tim.Flora@DurhamNC.gov</t>
  </si>
  <si>
    <t>clerk@townofearl.org</t>
  </si>
  <si>
    <t>gearcadia@currently.com</t>
  </si>
  <si>
    <t>eastbend@yadtel.net</t>
  </si>
  <si>
    <t>townmanager@eastspencer.gov</t>
  </si>
  <si>
    <t>townclerk@eastovernc.com</t>
  </si>
  <si>
    <t>TMcMichael@eden.nc.us</t>
  </si>
  <si>
    <t>virginia.smith@edenton.nc.gov</t>
  </si>
  <si>
    <t>asteward@elizabethcitync.gov</t>
  </si>
  <si>
    <t>spenny@elizabethtownnc.org</t>
  </si>
  <si>
    <t>csguinn@townofelkpark.org</t>
  </si>
  <si>
    <t>dreavis@elkinnc.org</t>
  </si>
  <si>
    <t>tmp61@bellsouth.net</t>
  </si>
  <si>
    <t>janecsmith@rsnet.org</t>
  </si>
  <si>
    <t>KBarham@elon.gov</t>
  </si>
  <si>
    <t>lrotchford@emeraldisle-nc.org</t>
  </si>
  <si>
    <t>pwhitaker@enfieldnc.org</t>
  </si>
  <si>
    <t>lpwilliams@erwin-nc.org</t>
  </si>
  <si>
    <t>raydeans53@gmail.com</t>
  </si>
  <si>
    <t>3/13/2023</t>
  </si>
  <si>
    <t>4/16/2024</t>
  </si>
  <si>
    <t>12/18/2022</t>
  </si>
  <si>
    <t>2/7/2023</t>
  </si>
  <si>
    <t>12/26/2022</t>
  </si>
  <si>
    <t>7/10/2023</t>
  </si>
  <si>
    <t>2/28/2023</t>
  </si>
  <si>
    <t>4/6/2023</t>
  </si>
  <si>
    <t>8/7/2023</t>
  </si>
  <si>
    <t>9/28/2022</t>
  </si>
  <si>
    <t>6/22/2023</t>
  </si>
  <si>
    <t>9/5/2023</t>
  </si>
  <si>
    <t>10/4/2022</t>
  </si>
  <si>
    <t>7/8/2024</t>
  </si>
  <si>
    <t>3/20/2023</t>
  </si>
  <si>
    <t>9/7/2023</t>
  </si>
  <si>
    <t>2022-11-11</t>
  </si>
  <si>
    <t>2022-09-29</t>
  </si>
  <si>
    <t>2022-11-01</t>
  </si>
  <si>
    <t>2022-10-20</t>
  </si>
  <si>
    <t>2023-02-03</t>
  </si>
  <si>
    <t>2023-02-22</t>
  </si>
  <si>
    <t>2024-04-13</t>
  </si>
  <si>
    <t>2022-12-15</t>
  </si>
  <si>
    <t>2022-12-31</t>
  </si>
  <si>
    <t>2022-11-16</t>
  </si>
  <si>
    <t>2023-01-03</t>
  </si>
  <si>
    <t>2022-11-17</t>
  </si>
  <si>
    <t>2023-02-23</t>
  </si>
  <si>
    <t>2023-01-30</t>
  </si>
  <si>
    <t>2022-10-06</t>
  </si>
  <si>
    <t>2022-10-12</t>
  </si>
  <si>
    <t>2022-09-13</t>
  </si>
  <si>
    <t>2023-06-19</t>
  </si>
  <si>
    <t>2023-01-18</t>
  </si>
  <si>
    <t>2022-10-21</t>
  </si>
  <si>
    <t>2022-10-25</t>
  </si>
  <si>
    <t>2023-06-15</t>
  </si>
  <si>
    <t>2023-01-27</t>
  </si>
  <si>
    <t>2023-01-12</t>
  </si>
  <si>
    <t>2023-02-12</t>
  </si>
  <si>
    <t>2022-10-18</t>
  </si>
  <si>
    <t>2022-09-09</t>
  </si>
  <si>
    <t>2022-11-09</t>
  </si>
  <si>
    <t>2023-05-31</t>
  </si>
  <si>
    <t>2023-08-17</t>
  </si>
  <si>
    <t>2023-04-05</t>
  </si>
  <si>
    <t>2022-11-18</t>
  </si>
  <si>
    <t>2024-07-01</t>
  </si>
  <si>
    <t>2022-11-21</t>
  </si>
  <si>
    <t>2022-12-30</t>
  </si>
  <si>
    <t>2024-04-09</t>
  </si>
  <si>
    <t>2023-01-09</t>
  </si>
  <si>
    <t>2023-02-16</t>
  </si>
  <si>
    <t>2023-01-31</t>
  </si>
  <si>
    <t>2023-07-31</t>
  </si>
  <si>
    <t>Capital - Transfer used for Capital Projects Fund until grant revenue is received.</t>
  </si>
  <si>
    <t>Capital - Purchase of a vehicle</t>
  </si>
  <si>
    <t>Capital - general capital projects</t>
  </si>
  <si>
    <t>Capital - Building Repairs</t>
  </si>
  <si>
    <t>Capital - The Town allocated $4 million in excess fund balance from FY 2022 for capital, vehicle replacements, and a variety of other projects.</t>
  </si>
  <si>
    <t>Capital - Additional funding for Centennial Park, Vehicles purchased for Fire Dept. and Public Works. Funding for Riverlink extension.</t>
  </si>
  <si>
    <t>Amanda</t>
  </si>
  <si>
    <t>Langston</t>
  </si>
  <si>
    <t>Patrick</t>
  </si>
  <si>
    <t>KENTRINA</t>
  </si>
  <si>
    <t>Rebekah</t>
  </si>
  <si>
    <t>Andrea "Joy"</t>
  </si>
  <si>
    <t>Robin</t>
  </si>
  <si>
    <t>Steven</t>
  </si>
  <si>
    <t>Michelle</t>
  </si>
  <si>
    <t>Lee</t>
  </si>
  <si>
    <t>Terry</t>
  </si>
  <si>
    <t>Tyree</t>
  </si>
  <si>
    <t>Ashley</t>
  </si>
  <si>
    <t>JENNIFER</t>
  </si>
  <si>
    <t>Makayla</t>
  </si>
  <si>
    <t>LINDA</t>
  </si>
  <si>
    <t>Monk</t>
  </si>
  <si>
    <t>McGowan</t>
  </si>
  <si>
    <t>Matheson</t>
  </si>
  <si>
    <t>WOODS</t>
  </si>
  <si>
    <t>Futrell</t>
  </si>
  <si>
    <t>Corriher</t>
  </si>
  <si>
    <t>Emory</t>
  </si>
  <si>
    <t>Faines</t>
  </si>
  <si>
    <t>Holloway</t>
  </si>
  <si>
    <t>BEAM</t>
  </si>
  <si>
    <t>Dunkle</t>
  </si>
  <si>
    <t>WILLIAMS</t>
  </si>
  <si>
    <t>9/20/2023</t>
  </si>
  <si>
    <t>8/1/2023</t>
  </si>
  <si>
    <t>Wendy Butner</t>
  </si>
  <si>
    <t>Barbara Owens</t>
  </si>
  <si>
    <t>Langston Ramseur</t>
  </si>
  <si>
    <t>Patrick McGowan</t>
  </si>
  <si>
    <t>Susan Matheson</t>
  </si>
  <si>
    <t>Rebekah Brown</t>
  </si>
  <si>
    <t>Andrea "Joy" Garland</t>
  </si>
  <si>
    <t>Radasia Sessoms</t>
  </si>
  <si>
    <t>Monica Mauffray</t>
  </si>
  <si>
    <t>Kurt L Beal</t>
  </si>
  <si>
    <t>Robin Futrell</t>
  </si>
  <si>
    <t>Steven Corriher</t>
  </si>
  <si>
    <t>Michelle Emory</t>
  </si>
  <si>
    <t>Lee Faines</t>
  </si>
  <si>
    <t>Terry Smith</t>
  </si>
  <si>
    <t>Pieter C. Swart</t>
  </si>
  <si>
    <t>Tyre Holloway</t>
  </si>
  <si>
    <t>Elizabeth Bass</t>
  </si>
  <si>
    <t>Jennifer Beam</t>
  </si>
  <si>
    <t>Dina Reavis</t>
  </si>
  <si>
    <t>Makayla Dunkle</t>
  </si>
  <si>
    <t>Laura Rotchford</t>
  </si>
  <si>
    <t>Commissioner</t>
  </si>
  <si>
    <t>Interim Finance Director</t>
  </si>
  <si>
    <t>Business Management Director/Finance Officer</t>
  </si>
  <si>
    <t>Clerk/ Finance Officer</t>
  </si>
  <si>
    <t>Finance Officer Alderman</t>
  </si>
  <si>
    <t>Deputy Finance Director</t>
  </si>
  <si>
    <t>Town Cleark/Finance Officer</t>
  </si>
  <si>
    <t>10/26/2023</t>
  </si>
  <si>
    <t>10/30/2023</t>
  </si>
  <si>
    <t>1/30/2024</t>
  </si>
  <si>
    <t>10/17/2023</t>
  </si>
  <si>
    <t>12/28/2023</t>
  </si>
  <si>
    <t>10/18/2023</t>
  </si>
  <si>
    <t>6/24/2024</t>
  </si>
  <si>
    <t>9/26/2023</t>
  </si>
  <si>
    <t>10/9/2023</t>
  </si>
  <si>
    <t>5/6/2024</t>
  </si>
  <si>
    <t>1/25/2024</t>
  </si>
  <si>
    <t>4/19/2024</t>
  </si>
  <si>
    <t>11/7/2023</t>
  </si>
  <si>
    <t>2/12/2024</t>
  </si>
  <si>
    <t>2/28/2024</t>
  </si>
  <si>
    <t>10/4/2023</t>
  </si>
  <si>
    <t>11/2/2023</t>
  </si>
  <si>
    <t>3/6/2024</t>
  </si>
  <si>
    <t>11/8/2023</t>
  </si>
  <si>
    <t>8/1/2024</t>
  </si>
  <si>
    <t>11/15/2023</t>
  </si>
  <si>
    <t>2/21/2024</t>
  </si>
  <si>
    <t>10/19/2023</t>
  </si>
  <si>
    <t>2/2/2024</t>
  </si>
  <si>
    <t>910-579-6747</t>
  </si>
  <si>
    <t>919-918-7345</t>
  </si>
  <si>
    <t>828-322-9191</t>
  </si>
  <si>
    <t>704-336-8567 ext.7043368567</t>
  </si>
  <si>
    <t>910-897-5183</t>
  </si>
  <si>
    <t>252-398-3855</t>
  </si>
  <si>
    <t>828-464-1191</t>
  </si>
  <si>
    <t>252-797-4582</t>
  </si>
  <si>
    <t>828-733-5702</t>
  </si>
  <si>
    <t>170-492-2317 ext.6326</t>
  </si>
  <si>
    <t>336-623-8468</t>
  </si>
  <si>
    <t>252-445-3146 ext.26</t>
  </si>
  <si>
    <t>mp79930@gmail.com</t>
  </si>
  <si>
    <t>bowens@capecarteret.org</t>
  </si>
  <si>
    <t>lfrye@carolinashoresnc.com</t>
  </si>
  <si>
    <t>lramseur@carrboronc.gov</t>
  </si>
  <si>
    <t>ktmatthews.admin@townofcarthage.org</t>
  </si>
  <si>
    <t>kimberly.branch@carync.gov</t>
  </si>
  <si>
    <t>townofcatawba@wpcog.org</t>
  </si>
  <si>
    <t>drief@cedarpoint.org</t>
  </si>
  <si>
    <t>tdropp@chinagrovenc.gov</t>
  </si>
  <si>
    <t>finance@townofclevelandnc.gov</t>
  </si>
  <si>
    <t>classiter@coastnc.org</t>
  </si>
  <si>
    <t>clerk@ci.connelly-springs.nc.us</t>
  </si>
  <si>
    <t>mediacombb.net</t>
  </si>
  <si>
    <t>scorriher@cooleemee.org</t>
  </si>
  <si>
    <t>memory@cramerton.org</t>
  </si>
  <si>
    <t>lfaines@cityofcreedmoor.org</t>
  </si>
  <si>
    <t>info@dillsboronc.info</t>
  </si>
  <si>
    <t>tim.flora@DurhamNC.gov</t>
  </si>
  <si>
    <t>tmcmichael@eden.nc.us</t>
  </si>
  <si>
    <t>clerk@townofelkpark.org</t>
  </si>
  <si>
    <t>med96@bellsouth.net</t>
  </si>
  <si>
    <t>janescmith@rsnet.org</t>
  </si>
  <si>
    <t>Kbarham@elon.gov</t>
  </si>
  <si>
    <t>2/15/2024</t>
  </si>
  <si>
    <t>7/15/2024</t>
  </si>
  <si>
    <t>4/9/2024</t>
  </si>
  <si>
    <t>7/16/2024</t>
  </si>
  <si>
    <t>12/20/2023</t>
  </si>
  <si>
    <t>1/1/2024</t>
  </si>
  <si>
    <t>12/6/2023</t>
  </si>
  <si>
    <t>5/28/2024</t>
  </si>
  <si>
    <t>3/5/2024</t>
  </si>
  <si>
    <t>12/7/2023</t>
  </si>
  <si>
    <t>1/22/2024</t>
  </si>
  <si>
    <t>3/4/2024</t>
  </si>
  <si>
    <t>2023-10-19</t>
  </si>
  <si>
    <t>2023-10-26</t>
  </si>
  <si>
    <t>2024-01-30</t>
  </si>
  <si>
    <t>2024-03-17</t>
  </si>
  <si>
    <t>2024-06-25</t>
  </si>
  <si>
    <t>2023-11-20</t>
  </si>
  <si>
    <t>2023-09-29</t>
  </si>
  <si>
    <t>2024-01-23</t>
  </si>
  <si>
    <t>2023-10-13</t>
  </si>
  <si>
    <t>2023-10-17</t>
  </si>
  <si>
    <t>2024-01-02</t>
  </si>
  <si>
    <t>2023-12-04</t>
  </si>
  <si>
    <t>2024-01-31</t>
  </si>
  <si>
    <t>2024-04-19</t>
  </si>
  <si>
    <t>2024-02-12</t>
  </si>
  <si>
    <t>2024-03-18</t>
  </si>
  <si>
    <t>2023-11-10</t>
  </si>
  <si>
    <t>2023-10-04</t>
  </si>
  <si>
    <t>2023-12-30</t>
  </si>
  <si>
    <t>2023-11-21</t>
  </si>
  <si>
    <t>2024-03-06</t>
  </si>
  <si>
    <t>2023-11-08</t>
  </si>
  <si>
    <t>2024-08-02</t>
  </si>
  <si>
    <t>2023-12-18</t>
  </si>
  <si>
    <t>2023-11-01</t>
  </si>
  <si>
    <t>2023-12-31</t>
  </si>
  <si>
    <t>2024-02-21</t>
  </si>
  <si>
    <t>2023-11-15</t>
  </si>
  <si>
    <t>2023-10-29</t>
  </si>
  <si>
    <t>2024-07-31</t>
  </si>
  <si>
    <t>2024-02-02</t>
  </si>
  <si>
    <t>6/26/2024</t>
  </si>
  <si>
    <t>9/29/2023</t>
  </si>
  <si>
    <t>1/21/2024</t>
  </si>
  <si>
    <t>3/18/2024</t>
  </si>
  <si>
    <t>11/10/2023</t>
  </si>
  <si>
    <t>12/30/2023</t>
  </si>
  <si>
    <t>10/23/2023</t>
  </si>
  <si>
    <t>7/31/2024</t>
  </si>
  <si>
    <t>Montre</t>
  </si>
  <si>
    <t>Freeman</t>
  </si>
  <si>
    <t>Montre Freeman</t>
  </si>
  <si>
    <t>City Manager/Interim Finance Officer</t>
  </si>
  <si>
    <t>8/21/2024</t>
  </si>
  <si>
    <t>252-621-7321</t>
  </si>
  <si>
    <t>mfreeman@elizabethcitync.gov</t>
  </si>
  <si>
    <t>8/26/2024</t>
  </si>
  <si>
    <t>2024-08-22</t>
  </si>
  <si>
    <t>Finance Officer/Assistant Town Manager</t>
  </si>
  <si>
    <t>8/29/2024</t>
  </si>
  <si>
    <t>9/26/2024</t>
  </si>
  <si>
    <t>2024-08-29</t>
  </si>
  <si>
    <t>Version Date 10/16/2024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</si>
</sst>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_(* #,##0.000_);_(* \(#,##0.000\);_(* &quot;-&quot;??_);_(@_)"/>
    <numFmt numFmtId="183" formatCode="[&lt;=9999999]###\-####;\(###\)\ ###\-####"/>
    <numFmt numFmtId="184" formatCode="###\-###\-####"/>
    <numFmt numFmtId="185" formatCode="@*."/>
    <numFmt numFmtId="186" formatCode=".0000"/>
    <numFmt numFmtId="187" formatCode="#,##0.0_);[Red]\(#,##0.0\)"/>
    <numFmt numFmtId="188" formatCode="0.0_);[Red]\(0.0\)"/>
    <numFmt numFmtId="189" formatCode="0.0000_);[Red]\(0.0000\)"/>
    <numFmt numFmtId="190" formatCode="0.00_);[Red]\(0.00\)"/>
  </numFmts>
  <fonts count="199"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sz val="10"/>
      <color rgb="FF000000"/>
      <name val="Times New Roman"/>
      <family val="1"/>
    </font>
    <font>
      <sz val="10"/>
      <name val="Arial"/>
      <family val="2"/>
    </font>
    <font>
      <sz val="8"/>
      <name val="Arial"/>
      <family val="2"/>
    </font>
    <font>
      <sz val="12"/>
      <name val="Garamond"/>
      <family val="1"/>
    </font>
    <font>
      <sz val="10"/>
      <color rgb="FF000000"/>
      <name val="Times New Roman"/>
      <family val="1"/>
    </font>
    <font>
      <sz val="11"/>
      <color rgb="FF000000"/>
      <name val="Calibri"/>
      <family val="2"/>
      <scheme val="minor"/>
    </font>
    <font>
      <i/>
      <sz val="14"/>
      <color theme="1"/>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4"/>
      <name val="Calibri"/>
      <family val="2"/>
      <scheme val="minor"/>
    </font>
    <font>
      <b/>
      <sz val="12"/>
      <name val="Calibri"/>
      <family val="2"/>
      <scheme val="minor"/>
    </font>
    <font>
      <sz val="11"/>
      <color theme="1"/>
      <name val="Century Schoolbook"/>
      <family val="1"/>
    </font>
    <font>
      <i/>
      <sz val="14"/>
      <name val="Calibri"/>
      <family val="2"/>
      <scheme val="minor"/>
    </font>
    <font>
      <sz val="10"/>
      <name val="Arial"/>
      <family val="2"/>
    </font>
    <font>
      <b/>
      <sz val="16"/>
      <color theme="0"/>
      <name val="Calibri"/>
      <family val="2"/>
      <scheme val="minor"/>
    </font>
    <font>
      <sz val="10.5"/>
      <color theme="1"/>
      <name val="Calibri"/>
      <family val="2"/>
      <scheme val="minor"/>
    </font>
    <font>
      <b/>
      <u/>
      <sz val="11"/>
      <color theme="1"/>
      <name val="Calibri"/>
      <family val="2"/>
      <scheme val="minor"/>
    </font>
    <font>
      <sz val="11"/>
      <color theme="5" tint="-0.499984740745262"/>
      <name val="Calibri"/>
      <family val="2"/>
      <scheme val="minor"/>
    </font>
    <font>
      <sz val="11"/>
      <color theme="9" tint="-0.499984740745262"/>
      <name val="Calibri"/>
      <family val="2"/>
      <scheme val="minor"/>
    </font>
    <font>
      <b/>
      <i/>
      <sz val="12"/>
      <color rgb="FFFF0000"/>
      <name val="Cambria"/>
      <family val="1"/>
    </font>
    <font>
      <b/>
      <u/>
      <sz val="14"/>
      <color theme="1"/>
      <name val="Calibri"/>
      <family val="2"/>
      <scheme val="minor"/>
    </font>
    <font>
      <sz val="8"/>
      <name val="Arial"/>
      <family val="2"/>
    </font>
    <font>
      <sz val="10"/>
      <name val="Arial"/>
      <family val="2"/>
    </font>
    <font>
      <sz val="12"/>
      <name val="Garamond"/>
      <family val="1"/>
    </font>
    <font>
      <sz val="10"/>
      <color rgb="FF000000"/>
      <name val="Times New Roman"/>
      <family val="1"/>
    </font>
    <font>
      <sz val="12"/>
      <color rgb="FFFF0000"/>
      <name val="Calibri"/>
      <family val="2"/>
      <scheme val="minor"/>
    </font>
    <font>
      <sz val="12"/>
      <name val="Calibri"/>
      <family val="2"/>
      <scheme val="minor"/>
    </font>
    <font>
      <b/>
      <sz val="11"/>
      <name val="Times New Roman"/>
      <family val="1"/>
    </font>
    <font>
      <b/>
      <i/>
      <sz val="14"/>
      <color theme="1"/>
      <name val="Calibri"/>
      <family val="2"/>
      <scheme val="minor"/>
    </font>
    <font>
      <b/>
      <u/>
      <sz val="11"/>
      <color rgb="FFFF0000"/>
      <name val="Calibri"/>
      <family val="2"/>
      <scheme val="minor"/>
    </font>
    <font>
      <b/>
      <sz val="14"/>
      <color rgb="FFFF0000"/>
      <name val="Calibri"/>
      <family val="2"/>
      <scheme val="minor"/>
    </font>
    <font>
      <b/>
      <i/>
      <u/>
      <sz val="12"/>
      <name val="Cambria"/>
      <family val="1"/>
    </font>
    <font>
      <b/>
      <sz val="11"/>
      <color rgb="FFFF0000"/>
      <name val="Times New Roman"/>
      <family val="1"/>
    </font>
    <font>
      <sz val="8"/>
      <name val="Arial"/>
      <family val="2"/>
    </font>
    <font>
      <sz val="10"/>
      <name val="Arial"/>
      <family val="2"/>
    </font>
    <font>
      <sz val="12"/>
      <name val="Garamond"/>
      <family val="1"/>
    </font>
  </fonts>
  <fills count="88">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indexed="55"/>
        <bgColor indexed="64"/>
      </patternFill>
    </fill>
    <fill>
      <patternFill patternType="solid">
        <fgColor rgb="FFCCFFCC"/>
        <bgColor indexed="64"/>
      </patternFill>
    </fill>
    <fill>
      <patternFill patternType="solid">
        <fgColor rgb="FFDCFDD3"/>
        <bgColor indexed="64"/>
      </patternFill>
    </fill>
    <fill>
      <patternFill patternType="solid">
        <fgColor rgb="FFCCFFFF"/>
        <bgColor indexed="64"/>
      </patternFill>
    </fill>
    <fill>
      <patternFill patternType="gray125">
        <fgColor auto="1"/>
        <bgColor auto="1"/>
      </patternFill>
    </fill>
    <fill>
      <patternFill patternType="solid">
        <fgColor rgb="FF92D050"/>
        <bgColor indexed="64"/>
      </patternFill>
    </fill>
    <fill>
      <patternFill patternType="solid">
        <fgColor theme="8" tint="0.79998168889431442"/>
        <bgColor indexed="64"/>
      </patternFill>
    </fill>
    <fill>
      <patternFill patternType="solid">
        <fgColor rgb="FF99FF66"/>
        <bgColor indexed="64"/>
      </patternFill>
    </fill>
  </fills>
  <borders count="10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thin">
        <color theme="0"/>
      </left>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3" tint="0.79998168889431442"/>
      </left>
      <right/>
      <top style="thin">
        <color theme="3" tint="0.79998168889431442"/>
      </top>
      <bottom style="thin">
        <color theme="3" tint="0.79998168889431442"/>
      </bottom>
      <diagonal/>
    </border>
    <border>
      <left/>
      <right style="thin">
        <color theme="3" tint="0.79998168889431442"/>
      </right>
      <top style="thin">
        <color theme="3" tint="0.79998168889431442"/>
      </top>
      <bottom style="thin">
        <color theme="3" tint="0.79998168889431442"/>
      </bottom>
      <diagonal/>
    </border>
    <border>
      <left style="thin">
        <color theme="3" tint="0.79998168889431442"/>
      </left>
      <right style="thin">
        <color theme="3" tint="0.79998168889431442"/>
      </right>
      <top/>
      <bottom style="thin">
        <color theme="3" tint="0.79998168889431442"/>
      </bottom>
      <diagonal/>
    </border>
    <border>
      <left/>
      <right style="thin">
        <color theme="0"/>
      </right>
      <top style="thin">
        <color theme="0"/>
      </top>
      <bottom/>
      <diagonal/>
    </border>
    <border>
      <left style="thin">
        <color theme="0"/>
      </left>
      <right style="thin">
        <color theme="0"/>
      </right>
      <top style="thin">
        <color theme="0"/>
      </top>
      <bottom/>
      <diagonal/>
    </border>
    <border>
      <left/>
      <right style="thin">
        <color theme="0"/>
      </right>
      <top/>
      <bottom style="thin">
        <color theme="0"/>
      </bottom>
      <diagonal/>
    </border>
  </borders>
  <cellStyleXfs count="32234">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6" fillId="0" borderId="0"/>
    <xf numFmtId="0" fontId="66" fillId="0" borderId="0"/>
    <xf numFmtId="0" fontId="65" fillId="0" borderId="0"/>
    <xf numFmtId="0" fontId="66" fillId="0" borderId="0"/>
    <xf numFmtId="0" fontId="66" fillId="0" borderId="0"/>
    <xf numFmtId="0" fontId="67" fillId="0" borderId="0"/>
    <xf numFmtId="0" fontId="66"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7"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5"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65" fillId="0" borderId="0"/>
    <xf numFmtId="0" fontId="65" fillId="0" borderId="0"/>
    <xf numFmtId="0" fontId="65" fillId="0" borderId="0"/>
    <xf numFmtId="0" fontId="65" fillId="0" borderId="0"/>
    <xf numFmtId="0" fontId="11" fillId="0" borderId="0"/>
    <xf numFmtId="0" fontId="65"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3" fillId="0" borderId="0"/>
    <xf numFmtId="0" fontId="33" fillId="0" borderId="0"/>
    <xf numFmtId="0" fontId="21" fillId="0" borderId="0"/>
    <xf numFmtId="0" fontId="33" fillId="0" borderId="0"/>
    <xf numFmtId="0" fontId="33" fillId="0" borderId="0"/>
    <xf numFmtId="0" fontId="33" fillId="0" borderId="0"/>
    <xf numFmtId="0" fontId="65"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3" fillId="0" borderId="0"/>
    <xf numFmtId="0" fontId="33" fillId="0" borderId="0"/>
    <xf numFmtId="0" fontId="33" fillId="0" borderId="0"/>
    <xf numFmtId="0" fontId="33" fillId="0" borderId="0"/>
    <xf numFmtId="0" fontId="33" fillId="0" borderId="0"/>
    <xf numFmtId="0" fontId="11" fillId="0" borderId="0"/>
    <xf numFmtId="0" fontId="67" fillId="0" borderId="0"/>
    <xf numFmtId="0" fontId="67" fillId="0" borderId="0"/>
    <xf numFmtId="0" fontId="67" fillId="0" borderId="0"/>
    <xf numFmtId="0" fontId="67"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67" fillId="0" borderId="0"/>
    <xf numFmtId="0" fontId="33" fillId="0" borderId="0"/>
    <xf numFmtId="0" fontId="33" fillId="0" borderId="0"/>
    <xf numFmtId="0" fontId="33" fillId="0" borderId="0"/>
    <xf numFmtId="0" fontId="33"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6"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7"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6" fillId="0" borderId="0"/>
    <xf numFmtId="0" fontId="19" fillId="0" borderId="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0" fillId="0" borderId="47" applyNumberFormat="0" applyFill="0" applyAlignment="0" applyProtection="0"/>
    <xf numFmtId="0" fontId="71" fillId="0" borderId="48" applyNumberFormat="0" applyFill="0" applyAlignment="0" applyProtection="0"/>
    <xf numFmtId="0" fontId="72" fillId="0" borderId="49" applyNumberFormat="0" applyFill="0" applyAlignment="0" applyProtection="0"/>
    <xf numFmtId="0" fontId="72" fillId="0" borderId="0" applyNumberFormat="0" applyFill="0" applyBorder="0" applyAlignment="0" applyProtection="0"/>
    <xf numFmtId="0" fontId="73" fillId="37" borderId="0" applyNumberFormat="0" applyBorder="0" applyAlignment="0" applyProtection="0"/>
    <xf numFmtId="0" fontId="74" fillId="38" borderId="0" applyNumberFormat="0" applyBorder="0" applyAlignment="0" applyProtection="0"/>
    <xf numFmtId="0" fontId="75" fillId="40" borderId="50" applyNumberFormat="0" applyAlignment="0" applyProtection="0"/>
    <xf numFmtId="0" fontId="76" fillId="41" borderId="51" applyNumberFormat="0" applyAlignment="0" applyProtection="0"/>
    <xf numFmtId="0" fontId="77" fillId="41" borderId="50" applyNumberFormat="0" applyAlignment="0" applyProtection="0"/>
    <xf numFmtId="0" fontId="78" fillId="0" borderId="52" applyNumberFormat="0" applyFill="0" applyAlignment="0" applyProtection="0"/>
    <xf numFmtId="0" fontId="79" fillId="42" borderId="53" applyNumberFormat="0" applyAlignment="0" applyProtection="0"/>
    <xf numFmtId="0" fontId="68" fillId="0" borderId="0" applyNumberFormat="0" applyFill="0" applyBorder="0" applyAlignment="0" applyProtection="0"/>
    <xf numFmtId="0" fontId="39" fillId="0" borderId="55" applyNumberFormat="0" applyFill="0" applyAlignment="0" applyProtection="0"/>
    <xf numFmtId="0" fontId="80"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80" fillId="47" borderId="0" applyNumberFormat="0" applyBorder="0" applyAlignment="0" applyProtection="0"/>
    <xf numFmtId="0" fontId="80" fillId="48" borderId="0" applyNumberFormat="0" applyBorder="0" applyAlignment="0" applyProtection="0"/>
    <xf numFmtId="0" fontId="80" fillId="49"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89" fillId="39" borderId="0" applyNumberFormat="0" applyBorder="0" applyAlignment="0" applyProtection="0"/>
    <xf numFmtId="0" fontId="33" fillId="43" borderId="54" applyNumberFormat="0" applyFont="0" applyAlignment="0" applyProtection="0"/>
    <xf numFmtId="40" fontId="82" fillId="0" borderId="17">
      <alignment horizontal="right"/>
    </xf>
    <xf numFmtId="0" fontId="83" fillId="0" borderId="0">
      <alignment horizontal="left"/>
    </xf>
    <xf numFmtId="49" fontId="11" fillId="0" borderId="0"/>
    <xf numFmtId="0" fontId="83" fillId="0" borderId="0">
      <alignment horizontal="left"/>
    </xf>
    <xf numFmtId="177" fontId="82" fillId="0" borderId="17">
      <alignment horizontal="right"/>
    </xf>
    <xf numFmtId="49" fontId="82"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1" fillId="50" borderId="0">
      <alignment horizontal="right" vertical="center"/>
    </xf>
    <xf numFmtId="49" fontId="81" fillId="50" borderId="0">
      <alignment horizontal="left" vertical="center"/>
    </xf>
    <xf numFmtId="49" fontId="81" fillId="50" borderId="0">
      <alignment horizontal="center" vertical="center"/>
    </xf>
    <xf numFmtId="49" fontId="81" fillId="50" borderId="0">
      <alignment horizontal="center" vertical="center"/>
    </xf>
    <xf numFmtId="49" fontId="81" fillId="50" borderId="0">
      <alignment horizontal="right" vertical="center"/>
    </xf>
    <xf numFmtId="40" fontId="81" fillId="50" borderId="0">
      <alignment horizontal="right"/>
    </xf>
    <xf numFmtId="49" fontId="81"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1" fillId="50" borderId="0">
      <alignment horizontal="center" vertical="center"/>
    </xf>
    <xf numFmtId="49" fontId="81" fillId="50" borderId="0">
      <alignment horizontal="center" vertical="center"/>
    </xf>
    <xf numFmtId="177" fontId="81" fillId="50" borderId="0">
      <alignment horizontal="center" vertical="center"/>
    </xf>
    <xf numFmtId="49" fontId="81" fillId="50" borderId="0">
      <alignment horizontal="right"/>
    </xf>
    <xf numFmtId="40" fontId="82" fillId="0" borderId="19">
      <alignment horizontal="right"/>
    </xf>
    <xf numFmtId="0" fontId="83" fillId="0" borderId="0">
      <alignment horizontal="left"/>
    </xf>
    <xf numFmtId="49" fontId="11" fillId="0" borderId="0"/>
    <xf numFmtId="0" fontId="83" fillId="0" borderId="0">
      <alignment horizontal="left"/>
    </xf>
    <xf numFmtId="177" fontId="82" fillId="0" borderId="19">
      <alignment horizontal="right"/>
    </xf>
    <xf numFmtId="49" fontId="82" fillId="0" borderId="0">
      <alignment horizontal="right"/>
    </xf>
    <xf numFmtId="49" fontId="11" fillId="0" borderId="0"/>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2" fillId="51" borderId="0">
      <alignment horizontal="center" vertical="center"/>
    </xf>
    <xf numFmtId="49" fontId="11" fillId="51" borderId="0">
      <alignment horizontal="left" vertical="center"/>
    </xf>
    <xf numFmtId="49" fontId="82" fillId="51" borderId="0">
      <alignment horizontal="center" vertical="center"/>
    </xf>
    <xf numFmtId="0" fontId="82" fillId="52" borderId="0">
      <alignment horizontal="left"/>
    </xf>
    <xf numFmtId="49" fontId="11" fillId="0" borderId="0"/>
    <xf numFmtId="0" fontId="82" fillId="52" borderId="0">
      <alignment horizontal="left"/>
    </xf>
    <xf numFmtId="40" fontId="82" fillId="0" borderId="0">
      <alignment horizontal="right"/>
    </xf>
    <xf numFmtId="49" fontId="81" fillId="50" borderId="0"/>
    <xf numFmtId="49" fontId="81" fillId="50" borderId="0"/>
    <xf numFmtId="49" fontId="11" fillId="0" borderId="0"/>
    <xf numFmtId="0" fontId="84" fillId="53" borderId="0" applyFont="0" applyFill="0">
      <alignment horizontal="left" vertical="top" wrapText="1"/>
    </xf>
    <xf numFmtId="40" fontId="84" fillId="0" borderId="0"/>
    <xf numFmtId="40" fontId="84" fillId="0" borderId="0"/>
    <xf numFmtId="0" fontId="84" fillId="0" borderId="0">
      <alignment horizontal="left"/>
    </xf>
    <xf numFmtId="0" fontId="84" fillId="0" borderId="0">
      <alignment horizontal="center"/>
    </xf>
    <xf numFmtId="0" fontId="85" fillId="0" borderId="0">
      <alignment horizontal="center"/>
    </xf>
    <xf numFmtId="0" fontId="86" fillId="50" borderId="0">
      <alignment horizontal="left"/>
    </xf>
    <xf numFmtId="0" fontId="86" fillId="50" borderId="0">
      <alignment horizontal="left"/>
    </xf>
    <xf numFmtId="0" fontId="85" fillId="0" borderId="0">
      <alignment horizontal="center"/>
    </xf>
    <xf numFmtId="40" fontId="87" fillId="0" borderId="18"/>
    <xf numFmtId="40" fontId="87" fillId="0" borderId="18"/>
    <xf numFmtId="0" fontId="87" fillId="0" borderId="0"/>
    <xf numFmtId="0" fontId="87" fillId="0" borderId="0"/>
    <xf numFmtId="0" fontId="85" fillId="0" borderId="0">
      <alignment horizontal="center"/>
    </xf>
    <xf numFmtId="0" fontId="88" fillId="54" borderId="0">
      <alignment horizontal="left"/>
    </xf>
    <xf numFmtId="0" fontId="88" fillId="54" borderId="0">
      <alignment horizontal="left"/>
    </xf>
    <xf numFmtId="40" fontId="82" fillId="0" borderId="0">
      <alignment horizontal="right"/>
    </xf>
    <xf numFmtId="0" fontId="83" fillId="0" borderId="0">
      <alignment horizontal="left"/>
    </xf>
    <xf numFmtId="49" fontId="11" fillId="0" borderId="0"/>
    <xf numFmtId="0" fontId="83" fillId="0" borderId="0">
      <alignment horizontal="left"/>
    </xf>
    <xf numFmtId="177" fontId="82" fillId="0" borderId="0">
      <alignment horizontal="right"/>
    </xf>
    <xf numFmtId="49" fontId="82" fillId="0" borderId="0" applyBorder="0">
      <alignment horizontal="right"/>
    </xf>
    <xf numFmtId="0" fontId="11" fillId="0" borderId="0"/>
    <xf numFmtId="49" fontId="90" fillId="53" borderId="0">
      <alignment horizontal="left"/>
    </xf>
    <xf numFmtId="49" fontId="90" fillId="53" borderId="0">
      <alignment horizontal="left"/>
    </xf>
    <xf numFmtId="0" fontId="91" fillId="53" borderId="0">
      <alignment horizontal="left"/>
    </xf>
    <xf numFmtId="178" fontId="91" fillId="53" borderId="0">
      <alignment horizontal="left"/>
    </xf>
    <xf numFmtId="40" fontId="82" fillId="0" borderId="0">
      <alignment horizontal="right"/>
    </xf>
    <xf numFmtId="49" fontId="92" fillId="53" borderId="0">
      <alignment horizontal="left"/>
    </xf>
    <xf numFmtId="49" fontId="92" fillId="53" borderId="0">
      <alignment horizontal="left"/>
    </xf>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0" fontId="82" fillId="0" borderId="14">
      <alignment horizontal="right"/>
    </xf>
    <xf numFmtId="0" fontId="82" fillId="52" borderId="0">
      <alignment horizontal="left"/>
    </xf>
    <xf numFmtId="49" fontId="11" fillId="0" borderId="0"/>
    <xf numFmtId="0" fontId="82" fillId="52" borderId="0">
      <alignment horizontal="left"/>
    </xf>
    <xf numFmtId="177" fontId="82" fillId="0" borderId="14">
      <alignment horizontal="right"/>
    </xf>
    <xf numFmtId="49" fontId="82" fillId="0" borderId="0">
      <alignment horizontal="right"/>
    </xf>
    <xf numFmtId="0" fontId="87" fillId="0" borderId="0"/>
    <xf numFmtId="40" fontId="84" fillId="0" borderId="18"/>
    <xf numFmtId="40" fontId="84" fillId="0" borderId="18"/>
    <xf numFmtId="0" fontId="84" fillId="0" borderId="0"/>
    <xf numFmtId="0" fontId="84" fillId="0" borderId="0"/>
    <xf numFmtId="40" fontId="84" fillId="0" borderId="0"/>
    <xf numFmtId="179" fontId="84" fillId="0" borderId="0"/>
    <xf numFmtId="40" fontId="84" fillId="0" borderId="0"/>
    <xf numFmtId="0" fontId="84" fillId="0" borderId="0"/>
    <xf numFmtId="0" fontId="84" fillId="0" borderId="0"/>
    <xf numFmtId="40" fontId="82" fillId="0" borderId="18">
      <alignment horizontal="right"/>
    </xf>
    <xf numFmtId="49" fontId="82" fillId="0" borderId="0">
      <alignment horizontal="left"/>
    </xf>
    <xf numFmtId="49" fontId="11" fillId="0" borderId="0"/>
    <xf numFmtId="49" fontId="82" fillId="0" borderId="0">
      <alignment horizontal="left"/>
    </xf>
    <xf numFmtId="177" fontId="82" fillId="0" borderId="18">
      <alignment horizontal="right"/>
    </xf>
    <xf numFmtId="49" fontId="82"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3" borderId="54"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93" fillId="0" borderId="0" applyNumberFormat="0" applyFill="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0" fontId="33" fillId="59"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7" borderId="0" applyNumberFormat="0" applyBorder="0" applyAlignment="0" applyProtection="0"/>
    <xf numFmtId="0" fontId="33" fillId="68" borderId="0" applyNumberFormat="0" applyBorder="0" applyAlignment="0" applyProtection="0"/>
    <xf numFmtId="0" fontId="33" fillId="70" borderId="0" applyNumberFormat="0" applyBorder="0" applyAlignment="0" applyProtection="0"/>
    <xf numFmtId="0" fontId="33" fillId="71"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34" fillId="61" borderId="0" applyNumberFormat="0" applyBorder="0" applyAlignment="0" applyProtection="0"/>
    <xf numFmtId="0" fontId="34" fillId="64" borderId="0" applyNumberFormat="0" applyBorder="0" applyAlignment="0" applyProtection="0"/>
    <xf numFmtId="0" fontId="34" fillId="67" borderId="0" applyNumberFormat="0" applyBorder="0" applyAlignment="0" applyProtection="0"/>
    <xf numFmtId="0" fontId="34" fillId="70"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2" borderId="0" applyNumberFormat="0" applyBorder="0" applyAlignment="0" applyProtection="0"/>
    <xf numFmtId="0" fontId="34" fillId="65" borderId="0" applyNumberFormat="0" applyBorder="0" applyAlignment="0" applyProtection="0"/>
    <xf numFmtId="0" fontId="34" fillId="68" borderId="0" applyNumberFormat="0" applyBorder="0" applyAlignment="0" applyProtection="0"/>
    <xf numFmtId="0" fontId="34" fillId="71" borderId="0" applyNumberFormat="0" applyBorder="0" applyAlignment="0" applyProtection="0"/>
    <xf numFmtId="0" fontId="80" fillId="57" borderId="0" applyNumberFormat="0" applyBorder="0" applyAlignment="0" applyProtection="0"/>
    <xf numFmtId="0" fontId="94" fillId="57" borderId="0" applyNumberFormat="0" applyBorder="0" applyAlignment="0" applyProtection="0"/>
    <xf numFmtId="0" fontId="80" fillId="60" borderId="0" applyNumberFormat="0" applyBorder="0" applyAlignment="0" applyProtection="0"/>
    <xf numFmtId="0" fontId="94" fillId="60" borderId="0" applyNumberFormat="0" applyBorder="0" applyAlignment="0" applyProtection="0"/>
    <xf numFmtId="0" fontId="80" fillId="63" borderId="0" applyNumberFormat="0" applyBorder="0" applyAlignment="0" applyProtection="0"/>
    <xf numFmtId="0" fontId="94" fillId="63" borderId="0" applyNumberFormat="0" applyBorder="0" applyAlignment="0" applyProtection="0"/>
    <xf numFmtId="0" fontId="80" fillId="66" borderId="0" applyNumberFormat="0" applyBorder="0" applyAlignment="0" applyProtection="0"/>
    <xf numFmtId="0" fontId="94" fillId="66" borderId="0" applyNumberFormat="0" applyBorder="0" applyAlignment="0" applyProtection="0"/>
    <xf numFmtId="0" fontId="80" fillId="69" borderId="0" applyNumberFormat="0" applyBorder="0" applyAlignment="0" applyProtection="0"/>
    <xf numFmtId="0" fontId="94" fillId="69" borderId="0" applyNumberFormat="0" applyBorder="0" applyAlignment="0" applyProtection="0"/>
    <xf numFmtId="0" fontId="80" fillId="72" borderId="0" applyNumberFormat="0" applyBorder="0" applyAlignment="0" applyProtection="0"/>
    <xf numFmtId="0" fontId="94" fillId="72"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7" borderId="0" applyNumberFormat="0" applyBorder="0" applyAlignment="0" applyProtection="0"/>
    <xf numFmtId="0" fontId="94" fillId="47" borderId="0" applyNumberFormat="0" applyBorder="0" applyAlignment="0" applyProtection="0"/>
    <xf numFmtId="0" fontId="94" fillId="48" borderId="0" applyNumberFormat="0" applyBorder="0" applyAlignment="0" applyProtection="0"/>
    <xf numFmtId="0" fontId="94" fillId="48"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5" fillId="38" borderId="0" applyNumberFormat="0" applyBorder="0" applyAlignment="0" applyProtection="0"/>
    <xf numFmtId="0" fontId="96" fillId="41" borderId="50" applyNumberFormat="0" applyAlignment="0" applyProtection="0"/>
    <xf numFmtId="0" fontId="97"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98" fillId="0" borderId="0" applyNumberFormat="0" applyFill="0" applyBorder="0" applyAlignment="0" applyProtection="0"/>
    <xf numFmtId="0" fontId="99" fillId="37" borderId="0" applyNumberFormat="0" applyBorder="0" applyAlignment="0" applyProtection="0"/>
    <xf numFmtId="0" fontId="100" fillId="0" borderId="47" applyNumberFormat="0" applyFill="0" applyAlignment="0" applyProtection="0"/>
    <xf numFmtId="0" fontId="101"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2" fillId="0" borderId="49" applyNumberFormat="0" applyFill="0" applyAlignment="0" applyProtection="0"/>
    <xf numFmtId="0" fontId="102" fillId="0" borderId="0" applyNumberFormat="0" applyFill="0" applyBorder="0" applyAlignment="0" applyProtection="0"/>
    <xf numFmtId="0" fontId="103" fillId="40" borderId="50" applyNumberFormat="0" applyAlignment="0" applyProtection="0"/>
    <xf numFmtId="0" fontId="104" fillId="0" borderId="52" applyNumberFormat="0" applyFill="0" applyAlignment="0" applyProtection="0"/>
    <xf numFmtId="0" fontId="105" fillId="39"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3" borderId="54" applyNumberFormat="0" applyFont="0" applyAlignment="0" applyProtection="0"/>
    <xf numFmtId="0" fontId="106" fillId="41" borderId="51" applyNumberFormat="0" applyAlignment="0" applyProtection="0"/>
    <xf numFmtId="9" fontId="6" fillId="0" borderId="0" applyFont="0" applyFill="0" applyBorder="0" applyAlignment="0" applyProtection="0"/>
    <xf numFmtId="0" fontId="107" fillId="0" borderId="0" applyNumberFormat="0" applyFill="0" applyBorder="0" applyAlignment="0" applyProtection="0"/>
    <xf numFmtId="0" fontId="108" fillId="0" borderId="55" applyNumberFormat="0" applyFill="0" applyAlignment="0" applyProtection="0"/>
    <xf numFmtId="0" fontId="109" fillId="0" borderId="0" applyNumberFormat="0" applyFill="0" applyBorder="0" applyAlignment="0" applyProtection="0"/>
    <xf numFmtId="0" fontId="112" fillId="0" borderId="0"/>
    <xf numFmtId="43" fontId="113" fillId="0" borderId="0" applyFont="0" applyFill="0" applyBorder="0" applyAlignment="0" applyProtection="0"/>
    <xf numFmtId="0" fontId="11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3" fillId="0" borderId="0"/>
    <xf numFmtId="0" fontId="11" fillId="0" borderId="0"/>
    <xf numFmtId="0" fontId="113"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22" fillId="0" borderId="0"/>
    <xf numFmtId="43" fontId="112" fillId="0" borderId="0" applyFont="0" applyFill="0" applyBorder="0" applyAlignment="0" applyProtection="0"/>
    <xf numFmtId="0" fontId="112" fillId="0" borderId="0"/>
    <xf numFmtId="0" fontId="123" fillId="0" borderId="0"/>
    <xf numFmtId="0" fontId="33" fillId="0" borderId="0"/>
    <xf numFmtId="0" fontId="123" fillId="0" borderId="0"/>
    <xf numFmtId="43" fontId="112" fillId="0" borderId="0" applyFont="0" applyFill="0" applyBorder="0" applyAlignment="0" applyProtection="0"/>
    <xf numFmtId="0" fontId="112" fillId="0" borderId="0"/>
    <xf numFmtId="0" fontId="112" fillId="0" borderId="0"/>
    <xf numFmtId="0" fontId="112" fillId="0" borderId="0"/>
    <xf numFmtId="0" fontId="124" fillId="0" borderId="0"/>
    <xf numFmtId="0" fontId="124" fillId="0" borderId="0"/>
    <xf numFmtId="0" fontId="125" fillId="0" borderId="0"/>
    <xf numFmtId="0" fontId="124" fillId="0" borderId="0"/>
    <xf numFmtId="0" fontId="123" fillId="0" borderId="0"/>
    <xf numFmtId="0" fontId="124" fillId="0" borderId="0"/>
    <xf numFmtId="0" fontId="123"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3" fillId="0" borderId="0"/>
    <xf numFmtId="0" fontId="123" fillId="0" borderId="0"/>
    <xf numFmtId="0" fontId="124" fillId="0" borderId="0"/>
    <xf numFmtId="0" fontId="123" fillId="0" borderId="0"/>
    <xf numFmtId="0" fontId="123" fillId="0" borderId="0"/>
    <xf numFmtId="0" fontId="125" fillId="0" borderId="0"/>
    <xf numFmtId="0" fontId="123" fillId="5" borderId="7"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5" borderId="7" applyNumberFormat="0" applyFont="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3" fillId="0" borderId="0"/>
    <xf numFmtId="0" fontId="125" fillId="0" borderId="0"/>
    <xf numFmtId="0" fontId="123" fillId="0" borderId="0"/>
    <xf numFmtId="0" fontId="125" fillId="0" borderId="0"/>
    <xf numFmtId="0" fontId="123" fillId="0" borderId="0"/>
    <xf numFmtId="0" fontId="126"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26" fillId="0" borderId="0"/>
    <xf numFmtId="0" fontId="124" fillId="0" borderId="0"/>
    <xf numFmtId="0" fontId="124" fillId="0" borderId="0"/>
    <xf numFmtId="0" fontId="12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5" fillId="0" borderId="0"/>
    <xf numFmtId="0" fontId="125"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26"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3" borderId="54"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3" borderId="54"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2" fillId="0" borderId="0"/>
    <xf numFmtId="43" fontId="112" fillId="0" borderId="0" applyFont="0" applyFill="0" applyBorder="0" applyAlignment="0" applyProtection="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74" fillId="0" borderId="0"/>
    <xf numFmtId="0" fontId="176" fillId="0" borderId="0"/>
    <xf numFmtId="43" fontId="176" fillId="0" borderId="0" applyFont="0" applyFill="0" applyBorder="0" applyAlignment="0" applyProtection="0"/>
    <xf numFmtId="44" fontId="176"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84" fillId="0" borderId="0"/>
    <xf numFmtId="0" fontId="184" fillId="0" borderId="0"/>
    <xf numFmtId="0" fontId="185" fillId="0" borderId="0"/>
    <xf numFmtId="0" fontId="185" fillId="0" borderId="0"/>
    <xf numFmtId="0" fontId="185" fillId="0" borderId="0"/>
    <xf numFmtId="0" fontId="185" fillId="0" borderId="0"/>
    <xf numFmtId="0" fontId="186" fillId="0" borderId="0"/>
    <xf numFmtId="0" fontId="184" fillId="0" borderId="0"/>
    <xf numFmtId="0" fontId="185" fillId="0" borderId="0"/>
    <xf numFmtId="0" fontId="185" fillId="0" borderId="0"/>
    <xf numFmtId="0" fontId="184" fillId="0" borderId="0"/>
    <xf numFmtId="0" fontId="185" fillId="0" borderId="0"/>
    <xf numFmtId="0" fontId="185" fillId="0" borderId="0"/>
    <xf numFmtId="0" fontId="186"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4" fillId="0" borderId="0"/>
    <xf numFmtId="0" fontId="185" fillId="0" borderId="0"/>
    <xf numFmtId="0" fontId="185" fillId="0" borderId="0"/>
    <xf numFmtId="0" fontId="184" fillId="0" borderId="0"/>
    <xf numFmtId="0" fontId="185" fillId="0" borderId="0"/>
    <xf numFmtId="0" fontId="185" fillId="0" borderId="0"/>
    <xf numFmtId="0" fontId="186" fillId="0" borderId="0"/>
    <xf numFmtId="0" fontId="185" fillId="5" borderId="7" applyNumberFormat="0" applyFont="0" applyAlignment="0" applyProtection="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5" fillId="0" borderId="0"/>
    <xf numFmtId="0" fontId="186"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5" fillId="5" borderId="7" applyNumberFormat="0" applyFont="0" applyAlignment="0" applyProtection="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5" fillId="0" borderId="0"/>
    <xf numFmtId="0" fontId="186" fillId="0" borderId="0"/>
    <xf numFmtId="0" fontId="185" fillId="0" borderId="0"/>
    <xf numFmtId="0" fontId="186" fillId="0" borderId="0"/>
    <xf numFmtId="0" fontId="185" fillId="0" borderId="0"/>
    <xf numFmtId="0" fontId="187"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7" fillId="0" borderId="0"/>
    <xf numFmtId="0" fontId="184" fillId="0" borderId="0"/>
    <xf numFmtId="0" fontId="184" fillId="0" borderId="0"/>
    <xf numFmtId="0" fontId="184"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5" fillId="0" borderId="0"/>
    <xf numFmtId="0" fontId="186" fillId="0" borderId="0"/>
    <xf numFmtId="0" fontId="186" fillId="0" borderId="0"/>
    <xf numFmtId="0" fontId="187" fillId="0" borderId="0"/>
    <xf numFmtId="0" fontId="21" fillId="0" borderId="0"/>
    <xf numFmtId="0" fontId="19" fillId="0" borderId="0"/>
    <xf numFmtId="0" fontId="21" fillId="0" borderId="0"/>
    <xf numFmtId="0" fontId="112"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0" fontId="127" fillId="0" borderId="0"/>
    <xf numFmtId="0" fontId="196" fillId="0" borderId="0"/>
    <xf numFmtId="0" fontId="197" fillId="0" borderId="0"/>
    <xf numFmtId="0" fontId="197" fillId="0" borderId="0"/>
    <xf numFmtId="0" fontId="196" fillId="0" borderId="0"/>
    <xf numFmtId="0" fontId="197" fillId="0" borderId="0"/>
    <xf numFmtId="0" fontId="197" fillId="0" borderId="0"/>
    <xf numFmtId="0" fontId="198" fillId="0" borderId="0"/>
    <xf numFmtId="0" fontId="197" fillId="5" borderId="7" applyNumberFormat="0" applyFont="0" applyAlignment="0" applyProtection="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6" fillId="0" borderId="0"/>
    <xf numFmtId="0" fontId="197" fillId="0" borderId="0"/>
    <xf numFmtId="0" fontId="197" fillId="0" borderId="0"/>
    <xf numFmtId="0" fontId="196" fillId="0" borderId="0"/>
    <xf numFmtId="0" fontId="196" fillId="0" borderId="0"/>
    <xf numFmtId="0" fontId="197" fillId="0" borderId="0"/>
    <xf numFmtId="0" fontId="197" fillId="0" borderId="0"/>
    <xf numFmtId="0" fontId="197" fillId="0" borderId="0"/>
    <xf numFmtId="0" fontId="198" fillId="0" borderId="0"/>
    <xf numFmtId="0" fontId="198" fillId="0" borderId="0"/>
    <xf numFmtId="0" fontId="196" fillId="0" borderId="0"/>
    <xf numFmtId="0" fontId="197" fillId="0" borderId="0"/>
    <xf numFmtId="0" fontId="197" fillId="0" borderId="0"/>
    <xf numFmtId="0" fontId="196" fillId="0" borderId="0"/>
    <xf numFmtId="0" fontId="197" fillId="0" borderId="0"/>
    <xf numFmtId="0" fontId="197" fillId="0" borderId="0"/>
    <xf numFmtId="0" fontId="198" fillId="0" borderId="0"/>
    <xf numFmtId="0" fontId="197" fillId="5" borderId="7" applyNumberFormat="0" applyFont="0" applyAlignment="0" applyProtection="0"/>
    <xf numFmtId="0" fontId="196" fillId="0" borderId="0"/>
    <xf numFmtId="0" fontId="197" fillId="0" borderId="0"/>
    <xf numFmtId="0" fontId="197" fillId="0" borderId="0"/>
    <xf numFmtId="0" fontId="197" fillId="0" borderId="0"/>
    <xf numFmtId="0" fontId="196" fillId="0" borderId="0"/>
    <xf numFmtId="0" fontId="196" fillId="0" borderId="0"/>
    <xf numFmtId="0" fontId="197" fillId="0" borderId="0"/>
    <xf numFmtId="0" fontId="196" fillId="0" borderId="0"/>
    <xf numFmtId="0" fontId="197" fillId="0" borderId="0"/>
    <xf numFmtId="0" fontId="197" fillId="0" borderId="0"/>
    <xf numFmtId="0" fontId="197" fillId="0" borderId="0"/>
    <xf numFmtId="0" fontId="198" fillId="0" borderId="0"/>
    <xf numFmtId="0" fontId="198" fillId="0" borderId="0"/>
    <xf numFmtId="0" fontId="197" fillId="0" borderId="0"/>
    <xf numFmtId="0" fontId="198"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7" fillId="0" borderId="0"/>
    <xf numFmtId="0" fontId="196" fillId="0" borderId="0"/>
    <xf numFmtId="0" fontId="19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7" fillId="5" borderId="7" applyNumberFormat="0" applyFont="0" applyAlignment="0" applyProtection="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6"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7" fillId="0" borderId="0"/>
    <xf numFmtId="0" fontId="198" fillId="0" borderId="0"/>
    <xf numFmtId="0" fontId="197" fillId="0" borderId="0"/>
    <xf numFmtId="0" fontId="198" fillId="0" borderId="0"/>
    <xf numFmtId="0" fontId="197" fillId="0" borderId="0"/>
    <xf numFmtId="0" fontId="33" fillId="0" borderId="0"/>
  </cellStyleXfs>
  <cellXfs count="1192">
    <xf numFmtId="0" fontId="0" fillId="0" borderId="0" xfId="0"/>
    <xf numFmtId="164" fontId="39" fillId="0" borderId="0" xfId="439" applyNumberFormat="1" applyFont="1" applyFill="1" applyAlignment="1" applyProtection="1">
      <alignment horizontal="center" wrapText="1"/>
    </xf>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0" fillId="21" borderId="0" xfId="0" applyFont="1" applyFill="1" applyBorder="1" applyAlignment="1" applyProtection="1">
      <alignment horizontal="center" wrapText="1"/>
    </xf>
    <xf numFmtId="0" fontId="47"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50" fillId="25" borderId="0" xfId="0" applyFont="1" applyFill="1" applyAlignment="1" applyProtection="1">
      <alignment horizontal="center" wrapText="1"/>
    </xf>
    <xf numFmtId="0" fontId="51" fillId="21" borderId="10" xfId="0" applyFont="1" applyFill="1" applyBorder="1" applyAlignment="1" applyProtection="1">
      <alignment horizontal="center" wrapText="1"/>
    </xf>
    <xf numFmtId="0" fontId="51"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39" fillId="0" borderId="0" xfId="682" applyFont="1"/>
    <xf numFmtId="0" fontId="51" fillId="0" borderId="0" xfId="0" applyFont="1"/>
    <xf numFmtId="0" fontId="0" fillId="0" borderId="0" xfId="0" applyNumberFormat="1" applyFont="1" applyFill="1" applyAlignment="1" applyProtection="1">
      <alignment vertical="center" wrapText="1"/>
    </xf>
    <xf numFmtId="0" fontId="53"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5" fillId="0" borderId="0" xfId="0" applyNumberFormat="1" applyFont="1" applyFill="1" applyAlignment="1" applyProtection="1">
      <alignment vertical="center" wrapText="1"/>
    </xf>
    <xf numFmtId="0" fontId="39" fillId="0" borderId="0" xfId="0" applyNumberFormat="1" applyFont="1" applyFill="1" applyAlignment="1" applyProtection="1">
      <alignment horizontal="left" vertical="center" wrapText="1" indent="3"/>
    </xf>
    <xf numFmtId="0" fontId="53" fillId="0" borderId="0" xfId="0" applyNumberFormat="1" applyFont="1" applyFill="1" applyAlignment="1" applyProtection="1">
      <alignment vertical="center" wrapText="1"/>
    </xf>
    <xf numFmtId="0" fontId="53" fillId="0" borderId="0" xfId="0" applyNumberFormat="1" applyFont="1" applyFill="1" applyAlignment="1" applyProtection="1">
      <alignment horizontal="left" vertical="center" wrapText="1" indent="3"/>
    </xf>
    <xf numFmtId="0" fontId="53" fillId="0" borderId="14" xfId="0" applyNumberFormat="1" applyFont="1" applyFill="1" applyBorder="1" applyAlignment="1" applyProtection="1">
      <alignment horizontal="left" vertical="center" wrapText="1" indent="3"/>
    </xf>
    <xf numFmtId="0" fontId="53" fillId="0" borderId="0" xfId="0" applyNumberFormat="1" applyFont="1" applyFill="1" applyAlignment="1" applyProtection="1">
      <alignment horizontal="left" vertical="center" wrapText="1" indent="6"/>
    </xf>
    <xf numFmtId="0" fontId="44" fillId="0" borderId="0" xfId="0" applyNumberFormat="1" applyFont="1" applyFill="1" applyAlignment="1" applyProtection="1">
      <alignment horizontal="center" vertical="center"/>
    </xf>
    <xf numFmtId="164" fontId="56"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57" fillId="0" borderId="25" xfId="0" applyNumberFormat="1" applyFont="1" applyFill="1" applyBorder="1" applyAlignment="1" applyProtection="1">
      <alignment horizontal="center" vertical="center"/>
    </xf>
    <xf numFmtId="0" fontId="58" fillId="0" borderId="25" xfId="0" applyNumberFormat="1" applyFont="1" applyFill="1" applyBorder="1" applyAlignment="1" applyProtection="1">
      <alignment horizontal="center" vertical="center"/>
    </xf>
    <xf numFmtId="0" fontId="39" fillId="23" borderId="25" xfId="0" applyNumberFormat="1" applyFont="1" applyFill="1" applyBorder="1" applyAlignment="1" applyProtection="1">
      <alignment horizontal="center" vertical="center"/>
    </xf>
    <xf numFmtId="0" fontId="39" fillId="0" borderId="26" xfId="0" applyNumberFormat="1" applyFont="1" applyFill="1" applyBorder="1" applyAlignment="1" applyProtection="1">
      <alignment horizontal="center" vertical="center"/>
    </xf>
    <xf numFmtId="0" fontId="49"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0" fillId="24" borderId="0" xfId="0" applyFont="1" applyFill="1" applyBorder="1" applyAlignment="1" applyProtection="1">
      <alignment horizontal="center" vertical="center" wrapText="1"/>
    </xf>
    <xf numFmtId="0" fontId="51" fillId="21" borderId="10" xfId="0" applyFont="1" applyFill="1" applyBorder="1" applyAlignment="1" applyProtection="1">
      <alignment horizontal="center" vertical="center" wrapText="1"/>
    </xf>
    <xf numFmtId="164" fontId="56" fillId="0" borderId="31" xfId="439" applyNumberFormat="1" applyFont="1" applyFill="1" applyBorder="1" applyAlignment="1" applyProtection="1">
      <alignment horizontal="center" vertical="center" wrapText="1"/>
    </xf>
    <xf numFmtId="0" fontId="50"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56" fillId="0" borderId="0" xfId="0" applyFont="1" applyProtection="1"/>
    <xf numFmtId="0" fontId="56" fillId="23" borderId="23" xfId="0" applyNumberFormat="1" applyFont="1" applyFill="1" applyBorder="1" applyAlignment="1" applyProtection="1">
      <alignment horizontal="left" vertical="center" wrapText="1"/>
    </xf>
    <xf numFmtId="0" fontId="56"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56"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xf>
    <xf numFmtId="0" fontId="49" fillId="0" borderId="0" xfId="0" applyFont="1" applyAlignment="1" applyProtection="1">
      <alignment wrapText="1"/>
    </xf>
    <xf numFmtId="0" fontId="44" fillId="0" borderId="23" xfId="1243" applyFont="1" applyFill="1" applyBorder="1" applyAlignment="1" applyProtection="1">
      <alignment horizontal="left" vertical="center" wrapText="1"/>
    </xf>
    <xf numFmtId="164" fontId="50" fillId="25" borderId="0" xfId="439" applyNumberFormat="1" applyFont="1" applyFill="1" applyAlignment="1" applyProtection="1">
      <alignment horizontal="center"/>
    </xf>
    <xf numFmtId="0" fontId="60"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56" fillId="22" borderId="23" xfId="439" applyNumberFormat="1" applyFont="1" applyFill="1" applyBorder="1" applyAlignment="1" applyProtection="1">
      <alignment horizontal="center" vertical="center" wrapText="1"/>
    </xf>
    <xf numFmtId="0" fontId="49" fillId="30" borderId="25" xfId="0" applyNumberFormat="1" applyFont="1" applyFill="1" applyBorder="1" applyAlignment="1" applyProtection="1">
      <alignment horizontal="center" vertical="center" wrapText="1"/>
    </xf>
    <xf numFmtId="164" fontId="49" fillId="24" borderId="10" xfId="439" applyNumberFormat="1" applyFont="1" applyFill="1" applyBorder="1" applyAlignment="1" applyProtection="1">
      <alignment horizontal="center" wrapText="1"/>
    </xf>
    <xf numFmtId="0" fontId="61" fillId="0" borderId="0" xfId="720" applyNumberFormat="1" applyFont="1" applyFill="1" applyAlignment="1" applyProtection="1">
      <alignment horizontal="left" vertic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39" fontId="56" fillId="0" borderId="29" xfId="439" applyNumberFormat="1" applyFont="1" applyFill="1" applyBorder="1" applyAlignment="1" applyProtection="1">
      <alignment horizontal="center" vertical="center" wrapText="1"/>
    </xf>
    <xf numFmtId="39" fontId="56" fillId="23" borderId="28" xfId="439" applyNumberFormat="1" applyFont="1" applyFill="1" applyBorder="1" applyAlignment="1" applyProtection="1">
      <alignment horizontal="center" vertical="center" wrapText="1"/>
    </xf>
    <xf numFmtId="0" fontId="40" fillId="0" borderId="0" xfId="0" applyFont="1" applyFill="1" applyAlignment="1" applyProtection="1">
      <alignment vertical="center" wrapText="1"/>
    </xf>
    <xf numFmtId="39" fontId="51" fillId="31" borderId="0" xfId="0" applyNumberFormat="1" applyFont="1" applyFill="1" applyBorder="1" applyAlignment="1" applyProtection="1">
      <alignment horizontal="center" wrapText="1"/>
    </xf>
    <xf numFmtId="0" fontId="39"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0" fillId="32" borderId="0" xfId="0" applyFont="1" applyFill="1" applyAlignment="1" applyProtection="1">
      <alignment horizontal="center" vertical="center" wrapText="1"/>
    </xf>
    <xf numFmtId="0" fontId="0" fillId="0" borderId="0" xfId="0" applyFont="1" applyProtection="1">
      <protection locked="0"/>
    </xf>
    <xf numFmtId="0" fontId="52" fillId="0" borderId="25" xfId="0" applyNumberFormat="1" applyFont="1" applyFill="1" applyBorder="1" applyAlignment="1" applyProtection="1">
      <alignment horizontal="left" vertical="center" wrapText="1"/>
    </xf>
    <xf numFmtId="0" fontId="41" fillId="0" borderId="25" xfId="0" applyNumberFormat="1" applyFont="1" applyFill="1" applyBorder="1" applyAlignment="1" applyProtection="1">
      <alignment horizontal="left" vertical="center" wrapText="1"/>
    </xf>
    <xf numFmtId="41" fontId="56" fillId="0" borderId="23" xfId="439" applyNumberFormat="1" applyFont="1" applyFill="1" applyBorder="1" applyAlignment="1" applyProtection="1">
      <alignment horizontal="center" vertical="center" wrapText="1"/>
    </xf>
    <xf numFmtId="0" fontId="47" fillId="0" borderId="23" xfId="439" applyNumberFormat="1" applyFont="1" applyFill="1" applyBorder="1" applyAlignment="1" applyProtection="1">
      <alignment horizontal="center" vertical="center" wrapText="1"/>
    </xf>
    <xf numFmtId="41" fontId="63" fillId="0" borderId="0" xfId="0" applyNumberFormat="1" applyFont="1" applyFill="1" applyAlignment="1" applyProtection="1">
      <alignment wrapText="1"/>
    </xf>
    <xf numFmtId="0" fontId="62" fillId="0" borderId="0" xfId="0" applyFont="1" applyFill="1" applyAlignment="1" applyProtection="1">
      <alignment horizontal="center" vertical="center"/>
    </xf>
    <xf numFmtId="0" fontId="49" fillId="0" borderId="0" xfId="0" applyFont="1" applyFill="1" applyAlignment="1" applyProtection="1">
      <alignment horizontal="center" vertical="center" wrapText="1"/>
    </xf>
    <xf numFmtId="0" fontId="56"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56" fillId="29" borderId="23" xfId="439" applyNumberFormat="1" applyFont="1" applyFill="1" applyBorder="1" applyAlignment="1" applyProtection="1">
      <alignment horizontal="center" vertical="center" wrapText="1"/>
      <protection locked="0"/>
    </xf>
    <xf numFmtId="37" fontId="57" fillId="33" borderId="28" xfId="439" applyNumberFormat="1" applyFont="1" applyFill="1" applyBorder="1" applyAlignment="1" applyProtection="1">
      <alignment horizontal="center" vertical="center" wrapText="1"/>
    </xf>
    <xf numFmtId="37" fontId="39" fillId="0" borderId="28" xfId="439" applyNumberFormat="1" applyFont="1" applyFill="1" applyBorder="1" applyAlignment="1" applyProtection="1">
      <alignment horizontal="center" vertical="center" wrapText="1"/>
    </xf>
    <xf numFmtId="37" fontId="57"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56"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6"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169" fontId="39" fillId="0" borderId="0" xfId="439" applyNumberFormat="1" applyFont="1" applyFill="1" applyAlignment="1" applyProtection="1">
      <alignment horizontal="center" vertical="center"/>
      <protection locked="0"/>
    </xf>
    <xf numFmtId="38" fontId="44"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56" fillId="0" borderId="29" xfId="439" applyNumberFormat="1" applyFont="1" applyFill="1" applyBorder="1" applyAlignment="1" applyProtection="1">
      <alignment horizontal="center" vertical="center" wrapText="1"/>
    </xf>
    <xf numFmtId="172" fontId="56" fillId="0" borderId="23" xfId="439" applyNumberFormat="1" applyFont="1" applyFill="1" applyBorder="1" applyAlignment="1" applyProtection="1">
      <alignment horizontal="center" vertical="center" wrapText="1"/>
    </xf>
    <xf numFmtId="0" fontId="39" fillId="0" borderId="24" xfId="0" applyNumberFormat="1" applyFont="1" applyFill="1" applyBorder="1" applyAlignment="1" applyProtection="1">
      <alignment horizontal="center" vertical="center"/>
    </xf>
    <xf numFmtId="0" fontId="53" fillId="0" borderId="0" xfId="0" applyFont="1" applyFill="1" applyAlignment="1" applyProtection="1">
      <alignment vertical="center" wrapText="1"/>
    </xf>
    <xf numFmtId="0" fontId="53"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56" fillId="29" borderId="44" xfId="439" applyNumberFormat="1" applyFont="1" applyFill="1" applyBorder="1" applyAlignment="1" applyProtection="1">
      <alignment horizontal="center" vertical="center" wrapText="1"/>
      <protection locked="0"/>
    </xf>
    <xf numFmtId="164" fontId="56" fillId="0" borderId="30" xfId="439" applyNumberFormat="1" applyFont="1" applyFill="1" applyBorder="1" applyAlignment="1" applyProtection="1">
      <alignment horizontal="center" vertical="center" wrapText="1"/>
    </xf>
    <xf numFmtId="39" fontId="56" fillId="0" borderId="27" xfId="439" applyNumberFormat="1" applyFont="1" applyFill="1" applyBorder="1" applyAlignment="1" applyProtection="1">
      <alignment horizontal="center" vertical="center" wrapText="1"/>
    </xf>
    <xf numFmtId="164" fontId="56" fillId="0" borderId="46" xfId="439" applyNumberFormat="1" applyFont="1" applyFill="1" applyBorder="1" applyAlignment="1" applyProtection="1">
      <alignment horizontal="center" vertical="center" wrapText="1"/>
    </xf>
    <xf numFmtId="0" fontId="39"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56" fillId="29" borderId="45" xfId="439" applyNumberFormat="1" applyFont="1" applyFill="1" applyBorder="1" applyAlignment="1" applyProtection="1">
      <alignment horizontal="center" vertical="center" wrapText="1"/>
      <protection locked="0"/>
    </xf>
    <xf numFmtId="0" fontId="56" fillId="0" borderId="30" xfId="0" applyNumberFormat="1" applyFont="1" applyFill="1" applyBorder="1" applyAlignment="1" applyProtection="1">
      <alignment horizontal="left" vertical="center" wrapText="1"/>
    </xf>
    <xf numFmtId="0" fontId="56" fillId="23" borderId="31" xfId="0" applyNumberFormat="1" applyFont="1" applyFill="1" applyBorder="1" applyAlignment="1" applyProtection="1">
      <alignment horizontal="left" vertical="center" wrapText="1"/>
    </xf>
    <xf numFmtId="0" fontId="56" fillId="23" borderId="31" xfId="439" applyNumberFormat="1" applyFont="1" applyFill="1" applyBorder="1" applyAlignment="1" applyProtection="1">
      <alignment horizontal="center" vertical="center" wrapText="1"/>
    </xf>
    <xf numFmtId="37" fontId="39" fillId="23" borderId="29" xfId="439" applyNumberFormat="1" applyFont="1" applyFill="1" applyBorder="1" applyAlignment="1" applyProtection="1">
      <alignment horizontal="center" vertical="center" wrapText="1"/>
    </xf>
    <xf numFmtId="0" fontId="39" fillId="23" borderId="26" xfId="0" applyNumberFormat="1" applyFont="1" applyFill="1" applyBorder="1" applyAlignment="1" applyProtection="1">
      <alignment horizontal="center" vertical="center"/>
    </xf>
    <xf numFmtId="37" fontId="39" fillId="0" borderId="27" xfId="439" applyNumberFormat="1" applyFont="1" applyFill="1" applyBorder="1" applyAlignment="1" applyProtection="1">
      <alignment horizontal="center" vertical="center" wrapText="1"/>
    </xf>
    <xf numFmtId="0" fontId="39"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39"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68" fillId="0" borderId="0" xfId="0" applyNumberFormat="1" applyFont="1" applyFill="1" applyAlignment="1" applyProtection="1">
      <alignment horizontal="left" vertical="center" wrapText="1" indent="6"/>
    </xf>
    <xf numFmtId="0" fontId="56"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41" fontId="64" fillId="0" borderId="0" xfId="0" applyNumberFormat="1" applyFont="1" applyFill="1" applyAlignment="1" applyProtection="1">
      <alignment wrapText="1"/>
    </xf>
    <xf numFmtId="37" fontId="0" fillId="0" borderId="0" xfId="0" applyNumberFormat="1" applyFont="1" applyFill="1" applyAlignment="1" applyProtection="1">
      <alignment horizontal="center" vertical="center"/>
    </xf>
    <xf numFmtId="164" fontId="49" fillId="0" borderId="0" xfId="0" applyNumberFormat="1" applyFont="1" applyAlignment="1" applyProtection="1">
      <alignment wrapText="1"/>
    </xf>
    <xf numFmtId="164" fontId="56" fillId="22" borderId="23" xfId="439" applyNumberFormat="1" applyFont="1" applyFill="1" applyBorder="1" applyAlignment="1" applyProtection="1">
      <alignment horizontal="center" vertical="center" wrapText="1"/>
      <protection locked="0"/>
    </xf>
    <xf numFmtId="172" fontId="56" fillId="22" borderId="23" xfId="439" applyNumberFormat="1" applyFont="1" applyFill="1" applyBorder="1" applyAlignment="1" applyProtection="1">
      <alignment horizontal="center" vertical="center" wrapText="1"/>
    </xf>
    <xf numFmtId="39" fontId="56" fillId="22" borderId="28" xfId="439" applyNumberFormat="1" applyFont="1" applyFill="1" applyBorder="1" applyAlignment="1" applyProtection="1">
      <alignment horizontal="center" vertical="center" wrapText="1"/>
    </xf>
    <xf numFmtId="164" fontId="56" fillId="22" borderId="29" xfId="439" applyNumberFormat="1" applyFont="1" applyFill="1" applyBorder="1" applyAlignment="1" applyProtection="1">
      <alignment horizontal="center" vertical="center" wrapText="1"/>
    </xf>
    <xf numFmtId="0" fontId="39" fillId="22" borderId="24" xfId="0" applyNumberFormat="1" applyFont="1" applyFill="1" applyBorder="1" applyAlignment="1" applyProtection="1">
      <alignment horizontal="center" vertical="center"/>
    </xf>
    <xf numFmtId="164" fontId="56" fillId="29" borderId="31" xfId="439" applyNumberFormat="1" applyFont="1" applyFill="1" applyBorder="1" applyAlignment="1" applyProtection="1">
      <alignment horizontal="center" vertical="center" wrapText="1"/>
      <protection locked="0"/>
    </xf>
    <xf numFmtId="0" fontId="48" fillId="0" borderId="0" xfId="0" applyFont="1" applyAlignment="1" applyProtection="1">
      <alignment horizontal="center"/>
    </xf>
    <xf numFmtId="0" fontId="41" fillId="22" borderId="0" xfId="0" applyFont="1" applyFill="1" applyAlignment="1" applyProtection="1">
      <alignment horizontal="left" wrapText="1"/>
    </xf>
    <xf numFmtId="172" fontId="56" fillId="22" borderId="30" xfId="439" applyNumberFormat="1" applyFont="1" applyFill="1" applyBorder="1" applyAlignment="1" applyProtection="1">
      <alignment horizontal="center" vertical="center" wrapText="1"/>
    </xf>
    <xf numFmtId="175" fontId="56" fillId="75" borderId="23" xfId="439" applyNumberFormat="1" applyFont="1" applyFill="1" applyBorder="1" applyAlignment="1" applyProtection="1">
      <alignment horizontal="center" vertical="center" wrapText="1"/>
    </xf>
    <xf numFmtId="3" fontId="56" fillId="0" borderId="23" xfId="439" applyNumberFormat="1" applyFont="1" applyFill="1" applyBorder="1" applyAlignment="1" applyProtection="1">
      <alignment horizontal="center" vertical="center" wrapText="1"/>
      <protection locked="0"/>
    </xf>
    <xf numFmtId="180" fontId="56" fillId="75" borderId="23" xfId="439" applyNumberFormat="1" applyFont="1" applyFill="1" applyBorder="1" applyAlignment="1" applyProtection="1">
      <alignment horizontal="center" vertical="center" wrapText="1"/>
    </xf>
    <xf numFmtId="39" fontId="56" fillId="0" borderId="23" xfId="439" applyNumberFormat="1" applyFont="1" applyFill="1" applyBorder="1" applyAlignment="1" applyProtection="1">
      <alignment horizontal="center" vertical="center" wrapText="1"/>
    </xf>
    <xf numFmtId="3" fontId="56" fillId="0" borderId="31" xfId="439" applyNumberFormat="1" applyFont="1" applyFill="1" applyBorder="1" applyAlignment="1" applyProtection="1">
      <alignment horizontal="center" vertical="center" wrapText="1"/>
    </xf>
    <xf numFmtId="3" fontId="56" fillId="23" borderId="31" xfId="439" applyNumberFormat="1" applyFont="1" applyFill="1" applyBorder="1" applyAlignment="1" applyProtection="1">
      <alignment horizontal="center" vertical="center" wrapText="1"/>
    </xf>
    <xf numFmtId="3" fontId="56" fillId="23" borderId="23" xfId="439" applyNumberFormat="1" applyFont="1" applyFill="1" applyBorder="1" applyAlignment="1" applyProtection="1">
      <alignment horizontal="center" vertical="center" wrapText="1"/>
    </xf>
    <xf numFmtId="3" fontId="56" fillId="0" borderId="30" xfId="439" applyNumberFormat="1" applyFont="1" applyFill="1" applyBorder="1" applyAlignment="1" applyProtection="1">
      <alignment horizontal="center" vertical="center" wrapText="1"/>
    </xf>
    <xf numFmtId="37" fontId="56" fillId="0" borderId="23"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2" fillId="0" borderId="0" xfId="0" applyFont="1" applyProtection="1"/>
    <xf numFmtId="0" fontId="39" fillId="0" borderId="57"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3" fontId="39" fillId="0" borderId="0" xfId="439" applyNumberFormat="1" applyFont="1" applyFill="1" applyAlignment="1" applyProtection="1">
      <alignment horizontal="center" vertical="center" wrapText="1"/>
      <protection locked="0"/>
    </xf>
    <xf numFmtId="0" fontId="0" fillId="0" borderId="0" xfId="0" applyAlignment="1">
      <alignment horizontal="center"/>
    </xf>
    <xf numFmtId="0" fontId="0" fillId="0" borderId="61" xfId="0" applyNumberFormat="1" applyFont="1" applyFill="1" applyBorder="1" applyAlignment="1">
      <alignment horizontal="center"/>
    </xf>
    <xf numFmtId="0" fontId="80" fillId="0" borderId="0" xfId="0" applyFont="1" applyAlignment="1">
      <alignment horizontal="center"/>
    </xf>
    <xf numFmtId="0" fontId="39" fillId="0" borderId="24" xfId="0" applyFont="1" applyBorder="1" applyAlignment="1">
      <alignment horizontal="center" vertical="center"/>
    </xf>
    <xf numFmtId="0" fontId="39" fillId="0" borderId="0" xfId="0" applyFont="1" applyAlignment="1">
      <alignment vertical="center"/>
    </xf>
    <xf numFmtId="171" fontId="56" fillId="75" borderId="29" xfId="439" applyNumberFormat="1" applyFont="1" applyFill="1" applyBorder="1" applyAlignment="1" applyProtection="1">
      <alignment horizontal="center" vertical="center" wrapText="1"/>
    </xf>
    <xf numFmtId="0" fontId="39" fillId="74" borderId="64" xfId="0" applyNumberFormat="1" applyFont="1" applyFill="1" applyBorder="1" applyAlignment="1" applyProtection="1">
      <alignment horizontal="center" vertical="center"/>
    </xf>
    <xf numFmtId="0" fontId="0" fillId="73" borderId="0" xfId="0" applyFill="1"/>
    <xf numFmtId="0" fontId="116" fillId="73" borderId="0" xfId="0" applyFont="1" applyFill="1" applyAlignment="1">
      <alignment vertical="center" wrapText="1"/>
    </xf>
    <xf numFmtId="0" fontId="46" fillId="73" borderId="0" xfId="0" applyFont="1" applyFill="1" applyAlignment="1">
      <alignment horizontal="justify" vertical="center"/>
    </xf>
    <xf numFmtId="0" fontId="121" fillId="77" borderId="0" xfId="0" applyFont="1" applyFill="1" applyAlignment="1">
      <alignment vertical="center"/>
    </xf>
    <xf numFmtId="0" fontId="60" fillId="0" borderId="45" xfId="0" applyFont="1" applyFill="1" applyBorder="1" applyAlignment="1" applyProtection="1">
      <alignment horizontal="center" vertical="center" wrapText="1"/>
    </xf>
    <xf numFmtId="0" fontId="60" fillId="32" borderId="45" xfId="0" applyFont="1" applyFill="1" applyBorder="1" applyAlignment="1" applyProtection="1">
      <alignment horizontal="center" vertical="center" wrapText="1"/>
    </xf>
    <xf numFmtId="0" fontId="56" fillId="31" borderId="25" xfId="0" applyNumberFormat="1" applyFont="1" applyFill="1" applyBorder="1" applyAlignment="1" applyProtection="1">
      <alignment horizontal="left" vertical="center" wrapText="1"/>
    </xf>
    <xf numFmtId="0" fontId="41" fillId="31" borderId="66" xfId="0" applyFont="1" applyFill="1" applyBorder="1" applyAlignment="1">
      <alignment wrapText="1"/>
    </xf>
    <xf numFmtId="14" fontId="41" fillId="31" borderId="66" xfId="0" applyNumberFormat="1" applyFont="1" applyFill="1" applyBorder="1" applyAlignment="1">
      <alignment wrapText="1"/>
    </xf>
    <xf numFmtId="0" fontId="39" fillId="31" borderId="64" xfId="0" applyNumberFormat="1" applyFont="1" applyFill="1" applyBorder="1" applyAlignment="1" applyProtection="1">
      <alignment horizontal="center" vertical="center"/>
    </xf>
    <xf numFmtId="49" fontId="56" fillId="0" borderId="23" xfId="439" applyNumberFormat="1" applyFont="1" applyFill="1" applyBorder="1" applyAlignment="1" applyProtection="1">
      <alignment horizontal="center" vertical="center" wrapText="1"/>
    </xf>
    <xf numFmtId="0" fontId="117" fillId="73" borderId="0" xfId="0" applyFont="1" applyFill="1" applyAlignment="1">
      <alignment horizontal="left" vertical="center" wrapText="1"/>
    </xf>
    <xf numFmtId="0" fontId="33" fillId="73" borderId="0" xfId="30098" applyFill="1"/>
    <xf numFmtId="0" fontId="120" fillId="77" borderId="0" xfId="30098" applyFont="1" applyFill="1" applyAlignment="1">
      <alignment horizontal="center" vertical="center" wrapText="1"/>
    </xf>
    <xf numFmtId="0" fontId="116" fillId="73" borderId="0" xfId="30098" applyFont="1" applyFill="1" applyAlignment="1">
      <alignment vertical="center" wrapText="1"/>
    </xf>
    <xf numFmtId="0" fontId="46" fillId="73" borderId="0" xfId="30098" applyFont="1" applyFill="1" applyAlignment="1">
      <alignment vertical="center" wrapText="1"/>
    </xf>
    <xf numFmtId="0" fontId="121" fillId="77" borderId="0" xfId="30098" applyFont="1" applyFill="1" applyAlignment="1">
      <alignment vertical="center"/>
    </xf>
    <xf numFmtId="0" fontId="0" fillId="0" borderId="0" xfId="0" applyNumberFormat="1" applyFont="1" applyFill="1" applyBorder="1" applyAlignment="1" applyProtection="1">
      <alignment horizontal="left" vertical="center" wrapText="1"/>
    </xf>
    <xf numFmtId="0" fontId="0" fillId="0" borderId="0" xfId="0"/>
    <xf numFmtId="38" fontId="44" fillId="29" borderId="0" xfId="439" applyNumberFormat="1" applyFont="1" applyFill="1" applyAlignment="1" applyProtection="1">
      <alignment horizontal="center" vertical="center" wrapText="1"/>
      <protection locked="0"/>
    </xf>
    <xf numFmtId="0" fontId="39" fillId="0" borderId="43" xfId="0" applyNumberFormat="1" applyFont="1" applyFill="1" applyBorder="1" applyAlignment="1" applyProtection="1">
      <alignment horizontal="center" vertical="center"/>
    </xf>
    <xf numFmtId="0" fontId="39" fillId="0" borderId="0" xfId="0" applyFont="1" applyAlignment="1">
      <alignment horizontal="center"/>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0" fontId="0" fillId="0" borderId="0" xfId="0" applyFont="1" applyFill="1"/>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39" fillId="0" borderId="26" xfId="0" applyFont="1" applyFill="1" applyBorder="1" applyAlignment="1">
      <alignment horizontal="center" vertical="center"/>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45" xfId="0" applyFont="1" applyFill="1" applyBorder="1" applyAlignment="1">
      <alignment horizontal="center" vertical="center"/>
    </xf>
    <xf numFmtId="0" fontId="39" fillId="0" borderId="43" xfId="0" applyFont="1" applyFill="1" applyBorder="1" applyAlignment="1">
      <alignment horizontal="center" vertical="center"/>
    </xf>
    <xf numFmtId="0" fontId="58" fillId="0" borderId="25" xfId="0" applyFont="1" applyFill="1" applyBorder="1" applyAlignment="1">
      <alignment horizontal="center" vertical="center"/>
    </xf>
    <xf numFmtId="0" fontId="49" fillId="0" borderId="25" xfId="0" applyFont="1" applyFill="1" applyBorder="1" applyAlignment="1">
      <alignment horizontal="center" vertical="center" wrapText="1"/>
    </xf>
    <xf numFmtId="0" fontId="57" fillId="0" borderId="25" xfId="0" applyFont="1" applyFill="1" applyBorder="1" applyAlignment="1">
      <alignment horizontal="center" vertical="center"/>
    </xf>
    <xf numFmtId="0" fontId="39" fillId="0" borderId="64" xfId="0" applyFont="1" applyFill="1" applyBorder="1" applyAlignment="1">
      <alignment horizontal="center" vertical="center"/>
    </xf>
    <xf numFmtId="0" fontId="68" fillId="0" borderId="0" xfId="0" applyFont="1" applyFill="1"/>
    <xf numFmtId="0" fontId="39" fillId="0" borderId="0" xfId="0" applyFont="1" applyFill="1" applyBorder="1" applyAlignment="1">
      <alignment horizontal="center" vertical="center"/>
    </xf>
    <xf numFmtId="0" fontId="52" fillId="0" borderId="30" xfId="0" applyNumberFormat="1" applyFont="1" applyFill="1" applyBorder="1" applyAlignment="1" applyProtection="1">
      <alignment horizontal="left" vertical="center" wrapText="1"/>
    </xf>
    <xf numFmtId="39" fontId="56" fillId="0" borderId="45" xfId="439" applyNumberFormat="1" applyFont="1" applyFill="1" applyBorder="1" applyAlignment="1" applyProtection="1">
      <alignment horizontal="center" vertical="center" wrapText="1"/>
    </xf>
    <xf numFmtId="0" fontId="61" fillId="0" borderId="0" xfId="0" applyNumberFormat="1" applyFont="1" applyFill="1" applyAlignment="1" applyProtection="1">
      <alignment horizontal="left" vertical="center" wrapText="1"/>
    </xf>
    <xf numFmtId="0" fontId="56" fillId="34" borderId="25" xfId="0" applyNumberFormat="1" applyFont="1" applyFill="1" applyBorder="1" applyAlignment="1" applyProtection="1">
      <alignment horizontal="left" vertical="center" wrapText="1"/>
    </xf>
    <xf numFmtId="180" fontId="56"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39" fillId="0" borderId="45" xfId="439" applyNumberFormat="1" applyFont="1" applyFill="1" applyBorder="1" applyAlignment="1" applyProtection="1">
      <alignment horizontal="center" vertical="center" wrapText="1"/>
    </xf>
    <xf numFmtId="0" fontId="61" fillId="0" borderId="45" xfId="0" applyNumberFormat="1" applyFont="1" applyFill="1" applyBorder="1" applyAlignment="1" applyProtection="1">
      <alignment horizontal="left" vertical="center" wrapText="1"/>
    </xf>
    <xf numFmtId="0" fontId="56" fillId="0" borderId="28" xfId="0" applyNumberFormat="1" applyFont="1" applyFill="1" applyBorder="1" applyAlignment="1" applyProtection="1">
      <alignment horizontal="left" vertical="center" wrapText="1"/>
    </xf>
    <xf numFmtId="0" fontId="39" fillId="0" borderId="45" xfId="0" applyNumberFormat="1" applyFont="1" applyFill="1" applyBorder="1" applyAlignment="1" applyProtection="1">
      <alignment horizontal="center" vertical="center"/>
    </xf>
    <xf numFmtId="164" fontId="56" fillId="0" borderId="45" xfId="439"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39" fillId="0" borderId="25" xfId="0" applyNumberFormat="1" applyFont="1" applyFill="1" applyBorder="1" applyAlignment="1" applyProtection="1">
      <alignment horizontal="center" vertical="center"/>
    </xf>
    <xf numFmtId="164" fontId="56" fillId="0" borderId="29" xfId="439" applyNumberFormat="1" applyFont="1" applyFill="1" applyBorder="1" applyAlignment="1" applyProtection="1">
      <alignment horizontal="center" vertical="center" wrapText="1"/>
    </xf>
    <xf numFmtId="164" fontId="56" fillId="0" borderId="23" xfId="439" applyNumberFormat="1" applyFont="1" applyFill="1" applyBorder="1" applyAlignment="1" applyProtection="1">
      <alignment horizontal="center" vertical="center" wrapText="1"/>
    </xf>
    <xf numFmtId="0" fontId="56" fillId="0" borderId="23" xfId="0" applyNumberFormat="1" applyFont="1" applyFill="1" applyBorder="1" applyAlignment="1" applyProtection="1">
      <alignment horizontal="left" vertical="center" wrapText="1"/>
    </xf>
    <xf numFmtId="39" fontId="56" fillId="0" borderId="28" xfId="439" applyNumberFormat="1" applyFont="1" applyFill="1" applyBorder="1" applyAlignment="1" applyProtection="1">
      <alignment horizontal="center" vertical="center" wrapText="1"/>
    </xf>
    <xf numFmtId="164" fontId="56"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6" fillId="34" borderId="23" xfId="0" applyNumberFormat="1" applyFont="1" applyFill="1" applyBorder="1" applyAlignment="1" applyProtection="1">
      <alignment horizontal="left" vertical="center" wrapText="1"/>
    </xf>
    <xf numFmtId="164" fontId="56" fillId="29" borderId="23" xfId="439" applyNumberFormat="1" applyFont="1" applyFill="1" applyBorder="1" applyAlignment="1" applyProtection="1">
      <alignment horizontal="center" vertical="center" wrapText="1"/>
      <protection locked="0"/>
    </xf>
    <xf numFmtId="3" fontId="56" fillId="0" borderId="23" xfId="439" applyNumberFormat="1" applyFont="1" applyFill="1" applyBorder="1" applyAlignment="1" applyProtection="1">
      <alignment horizontal="center" vertical="center" wrapText="1"/>
    </xf>
    <xf numFmtId="3" fontId="56" fillId="34" borderId="23" xfId="439" applyNumberFormat="1" applyFont="1" applyFill="1" applyBorder="1" applyAlignment="1" applyProtection="1">
      <alignment horizontal="center" vertical="center" wrapText="1"/>
    </xf>
    <xf numFmtId="0" fontId="56" fillId="22" borderId="23" xfId="439" applyNumberFormat="1" applyFont="1" applyFill="1" applyBorder="1" applyAlignment="1" applyProtection="1">
      <alignment horizontal="center" vertical="center" wrapText="1"/>
      <protection locked="0"/>
    </xf>
    <xf numFmtId="3" fontId="56" fillId="0" borderId="45" xfId="439" applyNumberFormat="1" applyFont="1" applyFill="1" applyBorder="1" applyAlignment="1" applyProtection="1">
      <alignment horizontal="center" vertical="center" wrapText="1"/>
    </xf>
    <xf numFmtId="0" fontId="56" fillId="0" borderId="45" xfId="0" applyNumberFormat="1" applyFont="1" applyFill="1" applyBorder="1" applyAlignment="1" applyProtection="1">
      <alignment horizontal="left" vertical="center" wrapText="1"/>
    </xf>
    <xf numFmtId="14" fontId="0" fillId="0" borderId="0" xfId="0" applyNumberFormat="1" applyFont="1" applyFill="1" applyAlignment="1" applyProtection="1">
      <alignment horizontal="center" vertical="center"/>
    </xf>
    <xf numFmtId="0" fontId="56" fillId="78" borderId="25" xfId="0" applyNumberFormat="1" applyFont="1" applyFill="1" applyBorder="1" applyAlignment="1" applyProtection="1">
      <alignment horizontal="left" vertical="center" wrapText="1"/>
    </xf>
    <xf numFmtId="0" fontId="56" fillId="78" borderId="23" xfId="0" applyNumberFormat="1" applyFont="1" applyFill="1" applyBorder="1" applyAlignment="1" applyProtection="1">
      <alignment horizontal="left" vertical="center" wrapText="1"/>
    </xf>
    <xf numFmtId="0" fontId="39" fillId="78" borderId="43" xfId="0" applyNumberFormat="1" applyFont="1" applyFill="1" applyBorder="1" applyAlignment="1" applyProtection="1">
      <alignment horizontal="center" vertical="center"/>
    </xf>
    <xf numFmtId="0" fontId="39"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39"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68" fillId="0" borderId="0" xfId="0" applyFont="1" applyAlignment="1" applyProtection="1">
      <alignment wrapText="1"/>
      <protection locked="0"/>
    </xf>
    <xf numFmtId="3" fontId="39" fillId="0" borderId="0" xfId="439" applyNumberFormat="1" applyFont="1" applyFill="1" applyAlignment="1" applyProtection="1">
      <alignment horizontal="center" vertical="center" wrapText="1"/>
    </xf>
    <xf numFmtId="164" fontId="49" fillId="0" borderId="0" xfId="0" applyNumberFormat="1" applyFont="1" applyFill="1" applyAlignment="1" applyProtection="1">
      <alignment wrapText="1"/>
    </xf>
    <xf numFmtId="164" fontId="49" fillId="78" borderId="10" xfId="0" applyNumberFormat="1" applyFont="1" applyFill="1" applyBorder="1" applyAlignment="1" applyProtection="1">
      <alignment horizontal="center" vertical="center" wrapText="1"/>
    </xf>
    <xf numFmtId="0" fontId="41" fillId="78" borderId="0" xfId="0" applyFont="1" applyFill="1" applyBorder="1" applyAlignment="1">
      <alignment wrapText="1"/>
    </xf>
    <xf numFmtId="0" fontId="39" fillId="78" borderId="64" xfId="0" applyNumberFormat="1" applyFont="1" applyFill="1" applyBorder="1" applyAlignment="1" applyProtection="1">
      <alignment horizontal="center" vertical="center"/>
    </xf>
    <xf numFmtId="0" fontId="41" fillId="78" borderId="23" xfId="0" applyNumberFormat="1" applyFont="1" applyFill="1" applyBorder="1" applyAlignment="1" applyProtection="1">
      <alignment horizontal="left" vertical="center" wrapText="1"/>
    </xf>
    <xf numFmtId="43" fontId="0" fillId="0" borderId="0" xfId="439" applyFont="1" applyFill="1"/>
    <xf numFmtId="38" fontId="0" fillId="0" borderId="0" xfId="0" applyNumberFormat="1" applyFont="1" applyFill="1"/>
    <xf numFmtId="40" fontId="0" fillId="0" borderId="0" xfId="0" applyNumberFormat="1" applyFont="1" applyFill="1"/>
    <xf numFmtId="38" fontId="44" fillId="79" borderId="0" xfId="29549" applyNumberFormat="1" applyFont="1" applyFill="1" applyProtection="1"/>
    <xf numFmtId="38" fontId="44" fillId="0" borderId="0" xfId="29549" applyNumberFormat="1" applyFont="1" applyFill="1" applyProtection="1"/>
    <xf numFmtId="164" fontId="44" fillId="0" borderId="0" xfId="29549" applyNumberFormat="1" applyFont="1" applyFill="1" applyBorder="1" applyProtection="1"/>
    <xf numFmtId="172" fontId="44" fillId="0" borderId="0" xfId="29549" applyNumberFormat="1" applyFont="1" applyFill="1" applyBorder="1" applyAlignment="1" applyProtection="1">
      <alignment horizontal="left"/>
    </xf>
    <xf numFmtId="164" fontId="44" fillId="0" borderId="0" xfId="29549" applyNumberFormat="1" applyFont="1" applyBorder="1" applyProtection="1"/>
    <xf numFmtId="167" fontId="44" fillId="0" borderId="0" xfId="29549" applyNumberFormat="1" applyFont="1" applyProtection="1"/>
    <xf numFmtId="43" fontId="44" fillId="0" borderId="68" xfId="29549" applyFont="1" applyBorder="1" applyAlignment="1" applyProtection="1">
      <alignment horizontal="right"/>
    </xf>
    <xf numFmtId="0" fontId="0" fillId="0" borderId="0" xfId="682" applyFont="1"/>
    <xf numFmtId="0" fontId="131" fillId="26" borderId="0" xfId="682" applyFont="1" applyFill="1"/>
    <xf numFmtId="0" fontId="49" fillId="0" borderId="17" xfId="682" applyFont="1" applyBorder="1" applyAlignment="1">
      <alignment horizontal="center"/>
    </xf>
    <xf numFmtId="0" fontId="132" fillId="0" borderId="0" xfId="682" applyFont="1"/>
    <xf numFmtId="0" fontId="132" fillId="0" borderId="0" xfId="682" applyFont="1" applyAlignment="1">
      <alignment vertical="center"/>
    </xf>
    <xf numFmtId="0" fontId="49" fillId="0" borderId="14" xfId="682" applyFont="1" applyBorder="1" applyAlignment="1">
      <alignment horizontal="center" vertical="center" wrapText="1"/>
    </xf>
    <xf numFmtId="0" fontId="133" fillId="0" borderId="0" xfId="682" applyFont="1"/>
    <xf numFmtId="0" fontId="52" fillId="0" borderId="0" xfId="682" applyFont="1"/>
    <xf numFmtId="167" fontId="52" fillId="0" borderId="0" xfId="546" applyNumberFormat="1" applyFont="1"/>
    <xf numFmtId="38" fontId="52" fillId="0" borderId="0" xfId="682" applyNumberFormat="1" applyFont="1"/>
    <xf numFmtId="38" fontId="52" fillId="0" borderId="0" xfId="449" applyNumberFormat="1" applyFont="1"/>
    <xf numFmtId="0" fontId="133" fillId="0" borderId="0" xfId="682" applyFont="1" applyAlignment="1">
      <alignment vertical="center"/>
    </xf>
    <xf numFmtId="0" fontId="135" fillId="0" borderId="0" xfId="682" applyFont="1"/>
    <xf numFmtId="0" fontId="49" fillId="0" borderId="0" xfId="682" applyFont="1"/>
    <xf numFmtId="0" fontId="49" fillId="0" borderId="0" xfId="682" applyFont="1" applyAlignment="1">
      <alignment horizontal="center"/>
    </xf>
    <xf numFmtId="10" fontId="49" fillId="0" borderId="19" xfId="682" applyNumberFormat="1" applyFont="1" applyBorder="1"/>
    <xf numFmtId="39" fontId="0" fillId="0" borderId="0" xfId="0" applyNumberFormat="1" applyFont="1" applyProtection="1"/>
    <xf numFmtId="0" fontId="0" fillId="22" borderId="0" xfId="0" applyFont="1" applyFill="1" applyBorder="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6"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6"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4"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37" fillId="76" borderId="63" xfId="1562" applyNumberFormat="1" applyFont="1" applyFill="1" applyBorder="1" applyAlignment="1">
      <alignment horizontal="center" vertical="center" wrapText="1"/>
    </xf>
    <xf numFmtId="0" fontId="0" fillId="23" borderId="25" xfId="0" applyNumberFormat="1" applyFont="1" applyFill="1" applyBorder="1" applyAlignment="1" applyProtection="1">
      <alignment horizontal="left" vertical="center" wrapText="1"/>
    </xf>
    <xf numFmtId="3" fontId="44" fillId="0" borderId="0" xfId="1540" applyFont="1" applyFill="1" applyAlignment="1" applyProtection="1">
      <alignment vertical="center" wrapText="1"/>
    </xf>
    <xf numFmtId="181" fontId="0" fillId="75" borderId="28" xfId="439" applyNumberFormat="1" applyFont="1" applyFill="1" applyBorder="1" applyAlignment="1" applyProtection="1">
      <alignment vertical="center"/>
    </xf>
    <xf numFmtId="0" fontId="0" fillId="0" borderId="0" xfId="0" applyFont="1" applyAlignment="1">
      <alignment wrapText="1"/>
    </xf>
    <xf numFmtId="0" fontId="0" fillId="78" borderId="25" xfId="0" applyNumberFormat="1" applyFont="1" applyFill="1" applyBorder="1" applyAlignment="1" applyProtection="1">
      <alignment horizontal="left" vertical="center" wrapText="1"/>
    </xf>
    <xf numFmtId="0" fontId="137"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0" fillId="78" borderId="0" xfId="0" quotePrefix="1" applyFont="1" applyFill="1" applyAlignment="1" applyProtection="1">
      <alignment horizontal="center"/>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5"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5" xfId="439" applyNumberFormat="1" applyFont="1" applyFill="1" applyBorder="1" applyAlignment="1" applyProtection="1">
      <alignment horizontal="center" vertical="center"/>
    </xf>
    <xf numFmtId="0" fontId="0" fillId="31" borderId="66" xfId="0" applyFont="1" applyFill="1" applyBorder="1"/>
    <xf numFmtId="49" fontId="0" fillId="31" borderId="0" xfId="0" applyNumberFormat="1" applyFont="1" applyFill="1" applyAlignment="1" applyProtection="1">
      <alignment horizontal="center"/>
    </xf>
    <xf numFmtId="41" fontId="0" fillId="0" borderId="66"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4"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4" xfId="439" applyNumberFormat="1" applyFont="1" applyFill="1" applyBorder="1" applyAlignment="1" applyProtection="1">
      <alignment horizontal="center" vertical="center"/>
    </xf>
    <xf numFmtId="0" fontId="0" fillId="78" borderId="0" xfId="0" applyFont="1" applyFill="1" applyBorder="1"/>
    <xf numFmtId="41" fontId="0" fillId="78" borderId="0" xfId="0" applyNumberFormat="1" applyFont="1" applyFill="1" applyBorder="1" applyAlignment="1">
      <alignment horizontal="center" vertical="center" wrapText="1"/>
    </xf>
    <xf numFmtId="14" fontId="0" fillId="78" borderId="64" xfId="439" applyNumberFormat="1" applyFont="1" applyFill="1" applyBorder="1" applyAlignment="1" applyProtection="1">
      <alignment horizontal="center" vertical="center"/>
    </xf>
    <xf numFmtId="169" fontId="0" fillId="74" borderId="65"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0" xfId="439" applyNumberFormat="1" applyFont="1" applyAlignment="1" applyProtection="1">
      <alignment vertical="center"/>
    </xf>
    <xf numFmtId="0" fontId="56"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4"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39" fillId="0" borderId="59" xfId="0" applyFont="1" applyFill="1" applyBorder="1" applyAlignment="1">
      <alignment vertical="center"/>
    </xf>
    <xf numFmtId="174" fontId="39" fillId="28" borderId="0" xfId="439" applyNumberFormat="1" applyFont="1" applyFill="1" applyAlignment="1" applyProtection="1">
      <alignment horizontal="center" vertical="center"/>
      <protection locked="0"/>
    </xf>
    <xf numFmtId="0" fontId="44" fillId="0" borderId="0" xfId="0" applyNumberFormat="1" applyFont="1" applyFill="1" applyAlignment="1" applyProtection="1">
      <alignment horizontal="left" vertical="center" wrapText="1"/>
    </xf>
    <xf numFmtId="0" fontId="53" fillId="0" borderId="0" xfId="0" applyFont="1" applyFill="1" applyAlignment="1" applyProtection="1">
      <alignment horizontal="left" vertical="center" wrapText="1"/>
    </xf>
    <xf numFmtId="0" fontId="0" fillId="0" borderId="32" xfId="0" applyFont="1" applyFill="1" applyBorder="1" applyAlignment="1">
      <alignment horizontal="center" wrapText="1"/>
    </xf>
    <xf numFmtId="0" fontId="44" fillId="0" borderId="0" xfId="0" applyFont="1" applyFill="1" applyAlignment="1" applyProtection="1">
      <alignment horizontal="left" vertical="center" wrapText="1"/>
      <protection hidden="1"/>
    </xf>
    <xf numFmtId="0" fontId="44" fillId="0" borderId="62" xfId="0" applyFont="1" applyFill="1" applyBorder="1" applyAlignment="1">
      <alignment vertical="center" wrapText="1"/>
    </xf>
    <xf numFmtId="0" fontId="61" fillId="0" borderId="62" xfId="0" applyFont="1" applyFill="1" applyBorder="1" applyAlignment="1">
      <alignment vertical="center" wrapText="1"/>
    </xf>
    <xf numFmtId="0" fontId="0" fillId="0" borderId="0" xfId="0" applyFont="1" applyProtection="1"/>
    <xf numFmtId="0" fontId="0" fillId="0" borderId="0" xfId="0" applyNumberFormat="1" applyFont="1" applyFill="1" applyAlignment="1" applyProtection="1">
      <alignment horizontal="left" vertical="center" wrapText="1"/>
    </xf>
    <xf numFmtId="0" fontId="0" fillId="0" borderId="0" xfId="0" applyFont="1" applyProtection="1"/>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4"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0" xfId="0" applyFont="1" applyFill="1" applyBorder="1" applyAlignment="1" applyProtection="1">
      <alignment horizontal="center"/>
    </xf>
    <xf numFmtId="0" fontId="39" fillId="21" borderId="22" xfId="0" applyFont="1" applyFill="1" applyBorder="1" applyAlignment="1" applyProtection="1">
      <alignment horizontal="center" wrapText="1"/>
    </xf>
    <xf numFmtId="41" fontId="68" fillId="28" borderId="0" xfId="439" applyNumberFormat="1" applyFont="1" applyFill="1" applyAlignment="1" applyProtection="1">
      <alignment wrapText="1"/>
    </xf>
    <xf numFmtId="41" fontId="69"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68"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41" fontId="68" fillId="0" borderId="0" xfId="0" applyNumberFormat="1" applyFont="1" applyFill="1" applyAlignment="1" applyProtection="1">
      <alignment wrapText="1"/>
    </xf>
    <xf numFmtId="164" fontId="0" fillId="0" borderId="45" xfId="0" applyNumberFormat="1" applyFont="1" applyFill="1" applyBorder="1" applyAlignment="1" applyProtection="1">
      <alignment wrapText="1"/>
      <protection locked="0"/>
    </xf>
    <xf numFmtId="0" fontId="39" fillId="0" borderId="0" xfId="0" applyFont="1" applyFill="1" applyAlignment="1" applyProtection="1">
      <alignment horizontal="center" vertical="center" wrapText="1"/>
    </xf>
    <xf numFmtId="0" fontId="0" fillId="0" borderId="0" xfId="0" applyFont="1" applyBorder="1" applyAlignment="1" applyProtection="1">
      <alignment wrapText="1"/>
    </xf>
    <xf numFmtId="37" fontId="0" fillId="0" borderId="0" xfId="0" applyNumberFormat="1" applyFont="1" applyAlignment="1" applyProtection="1">
      <alignment wrapText="1"/>
      <protection locked="0"/>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39" fillId="0" borderId="0" xfId="0" applyNumberFormat="1" applyFont="1" applyFill="1" applyAlignment="1" applyProtection="1">
      <alignment wrapText="1"/>
    </xf>
    <xf numFmtId="41" fontId="69" fillId="0" borderId="0" xfId="0" applyNumberFormat="1" applyFont="1" applyFill="1" applyAlignment="1" applyProtection="1">
      <alignment horizontal="center" wrapText="1"/>
    </xf>
    <xf numFmtId="0" fontId="39"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68" fillId="0" borderId="0" xfId="439" applyNumberFormat="1" applyFont="1" applyFill="1" applyAlignment="1" applyProtection="1">
      <alignment vertical="center" wrapText="1"/>
    </xf>
    <xf numFmtId="39" fontId="68"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39" fillId="0" borderId="0" xfId="0" applyFont="1" applyAlignment="1" applyProtection="1">
      <alignment wrapText="1"/>
      <protection locked="0"/>
    </xf>
    <xf numFmtId="2" fontId="0" fillId="0" borderId="0" xfId="0" applyNumberFormat="1" applyFont="1" applyAlignment="1" applyProtection="1">
      <alignment wrapText="1"/>
      <protection locked="0"/>
    </xf>
    <xf numFmtId="14" fontId="0" fillId="0" borderId="0" xfId="0" applyNumberFormat="1" applyFont="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68" fillId="0" borderId="0" xfId="439" applyNumberFormat="1" applyFont="1" applyFill="1" applyAlignment="1" applyProtection="1">
      <alignment vertical="center" wrapText="1"/>
      <protection locked="0"/>
    </xf>
    <xf numFmtId="0" fontId="39" fillId="31" borderId="37" xfId="0" applyFont="1" applyFill="1" applyBorder="1" applyAlignment="1">
      <alignment horizontal="center" vertical="center" wrapText="1"/>
    </xf>
    <xf numFmtId="0" fontId="39" fillId="31" borderId="39" xfId="0" applyFont="1" applyFill="1" applyBorder="1" applyAlignment="1">
      <alignment horizontal="center" vertical="center" wrapText="1"/>
    </xf>
    <xf numFmtId="41" fontId="68" fillId="0" borderId="0" xfId="439" applyNumberFormat="1" applyFont="1" applyAlignment="1">
      <alignment vertical="center" wrapText="1"/>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44" fillId="0" borderId="0" xfId="0" applyNumberFormat="1" applyFont="1" applyFill="1" applyAlignment="1" applyProtection="1">
      <alignment horizontal="left" vertical="center" wrapText="1"/>
    </xf>
    <xf numFmtId="0" fontId="144" fillId="0" borderId="0" xfId="0" applyFont="1" applyFill="1" applyAlignment="1" applyProtection="1">
      <alignment horizontal="left" vertical="center" wrapText="1"/>
    </xf>
    <xf numFmtId="0" fontId="44" fillId="0" borderId="0" xfId="0" applyFont="1" applyFill="1" applyAlignment="1" applyProtection="1">
      <alignment horizontal="center" vertical="center" wrapText="1"/>
    </xf>
    <xf numFmtId="0" fontId="44"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4" fillId="0" borderId="45" xfId="0" applyFont="1" applyFill="1" applyBorder="1" applyAlignment="1" applyProtection="1">
      <alignment horizontal="center" vertical="center" wrapText="1"/>
    </xf>
    <xf numFmtId="0" fontId="39"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61" fillId="0" borderId="0" xfId="0" applyFont="1" applyFill="1" applyAlignment="1" applyProtection="1">
      <alignment horizontal="center" vertical="center" wrapText="1"/>
    </xf>
    <xf numFmtId="3" fontId="151" fillId="0" borderId="0" xfId="1540" applyFont="1" applyFill="1" applyAlignment="1" applyProtection="1">
      <alignment vertical="center" wrapText="1"/>
    </xf>
    <xf numFmtId="0" fontId="39" fillId="0" borderId="0" xfId="0" applyFont="1" applyFill="1" applyAlignment="1" applyProtection="1">
      <alignment horizontal="center" vertical="center"/>
    </xf>
    <xf numFmtId="0" fontId="39" fillId="74" borderId="0" xfId="0" applyFont="1" applyFill="1" applyAlignment="1" applyProtection="1">
      <alignment vertical="center"/>
    </xf>
    <xf numFmtId="0" fontId="39" fillId="74" borderId="0" xfId="0" applyFont="1" applyFill="1" applyAlignment="1" applyProtection="1"/>
    <xf numFmtId="0" fontId="39" fillId="74" borderId="0" xfId="0" applyFont="1" applyFill="1" applyAlignment="1" applyProtection="1">
      <alignment wrapText="1"/>
    </xf>
    <xf numFmtId="2" fontId="39" fillId="74" borderId="0" xfId="0" applyNumberFormat="1" applyFont="1" applyFill="1" applyAlignment="1" applyProtection="1">
      <alignment horizontal="center" vertical="center" wrapText="1"/>
      <protection locked="0"/>
    </xf>
    <xf numFmtId="0" fontId="69"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37" fontId="0" fillId="74" borderId="0" xfId="439" applyNumberFormat="1" applyFont="1" applyFill="1" applyAlignment="1" applyProtection="1">
      <alignment horizontal="center" vertical="center"/>
      <protection locked="0"/>
    </xf>
    <xf numFmtId="41" fontId="68" fillId="74" borderId="0" xfId="439" applyNumberFormat="1" applyFont="1" applyFill="1" applyAlignment="1" applyProtection="1">
      <alignment wrapText="1"/>
    </xf>
    <xf numFmtId="0" fontId="39"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69" fillId="74" borderId="0" xfId="439" applyNumberFormat="1" applyFont="1" applyFill="1" applyAlignment="1" applyProtection="1">
      <alignment wrapText="1"/>
    </xf>
    <xf numFmtId="0" fontId="57" fillId="74" borderId="0" xfId="0" applyFont="1" applyFill="1" applyAlignment="1" applyProtection="1">
      <alignment horizontal="left" vertical="center"/>
    </xf>
    <xf numFmtId="0" fontId="44"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39" fillId="74" borderId="0" xfId="439" applyNumberFormat="1" applyFont="1" applyFill="1" applyAlignment="1" applyProtection="1">
      <alignment horizontal="center" vertical="center"/>
      <protection locked="0"/>
    </xf>
    <xf numFmtId="41" fontId="69" fillId="74" borderId="0" xfId="0" applyNumberFormat="1" applyFont="1" applyFill="1" applyAlignment="1" applyProtection="1">
      <alignment wrapText="1"/>
    </xf>
    <xf numFmtId="0" fontId="39" fillId="74" borderId="0" xfId="0" applyFont="1" applyFill="1" applyAlignment="1" applyProtection="1">
      <alignment horizontal="center" vertical="center"/>
      <protection locked="0"/>
    </xf>
    <xf numFmtId="0" fontId="69" fillId="74" borderId="0" xfId="0" applyFont="1" applyFill="1" applyAlignment="1" applyProtection="1"/>
    <xf numFmtId="0" fontId="39" fillId="74" borderId="0" xfId="0" applyFont="1" applyFill="1" applyAlignment="1" applyProtection="1">
      <alignment horizontal="center" vertical="center" wrapText="1"/>
      <protection locked="0"/>
    </xf>
    <xf numFmtId="0" fontId="69" fillId="74" borderId="0" xfId="0" applyFont="1" applyFill="1" applyAlignment="1" applyProtection="1">
      <alignment horizontal="left" wrapText="1" indent="2"/>
    </xf>
    <xf numFmtId="0" fontId="39"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39"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wrapText="1"/>
      <protection locked="0"/>
    </xf>
    <xf numFmtId="0" fontId="69" fillId="74" borderId="0" xfId="0" applyFont="1" applyFill="1" applyAlignment="1" applyProtection="1">
      <alignment vertical="center"/>
    </xf>
    <xf numFmtId="3" fontId="39" fillId="74" borderId="0" xfId="439" applyNumberFormat="1" applyFont="1" applyFill="1" applyAlignment="1" applyProtection="1">
      <alignment horizontal="center" vertical="center"/>
      <protection locked="0"/>
    </xf>
    <xf numFmtId="38" fontId="44"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39" fillId="74" borderId="0" xfId="0" applyNumberFormat="1" applyFont="1" applyFill="1" applyAlignment="1" applyProtection="1">
      <alignment wrapText="1"/>
    </xf>
    <xf numFmtId="164" fontId="39" fillId="74" borderId="0" xfId="439" applyNumberFormat="1" applyFont="1" applyFill="1" applyAlignment="1" applyProtection="1">
      <alignment horizontal="center" wrapText="1"/>
    </xf>
    <xf numFmtId="3" fontId="39" fillId="74" borderId="0" xfId="439" applyNumberFormat="1" applyFont="1" applyFill="1" applyAlignment="1" applyProtection="1">
      <alignment horizontal="center" vertical="center" wrapText="1"/>
    </xf>
    <xf numFmtId="41" fontId="68" fillId="74" borderId="0" xfId="0" applyNumberFormat="1" applyFont="1" applyFill="1" applyAlignment="1" applyProtection="1">
      <alignment wrapText="1"/>
    </xf>
    <xf numFmtId="3" fontId="39"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7" fontId="0" fillId="74" borderId="0" xfId="439" applyNumberFormat="1" applyFont="1" applyFill="1" applyAlignment="1" applyProtection="1">
      <alignment horizontal="center" vertical="center"/>
    </xf>
    <xf numFmtId="38" fontId="39" fillId="74" borderId="0" xfId="0" applyNumberFormat="1" applyFont="1" applyFill="1" applyAlignment="1" applyProtection="1">
      <alignment horizontal="left" vertical="center"/>
    </xf>
    <xf numFmtId="0" fontId="69"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39"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54" fillId="74" borderId="0" xfId="0" applyFont="1" applyFill="1" applyAlignment="1" applyProtection="1">
      <alignment horizontal="left" vertical="center"/>
    </xf>
    <xf numFmtId="0" fontId="80" fillId="74" borderId="0" xfId="0" applyFont="1" applyFill="1" applyAlignment="1" applyProtection="1">
      <alignment vertical="center"/>
    </xf>
    <xf numFmtId="0" fontId="155" fillId="74" borderId="0" xfId="0" applyFont="1" applyFill="1" applyAlignment="1" applyProtection="1">
      <alignment vertical="center"/>
      <protection locked="0"/>
    </xf>
    <xf numFmtId="0" fontId="57" fillId="74" borderId="0" xfId="0" applyFont="1" applyFill="1" applyAlignment="1">
      <alignment vertical="center" wrapText="1"/>
    </xf>
    <xf numFmtId="41" fontId="156" fillId="0" borderId="0" xfId="0" applyNumberFormat="1" applyFont="1" applyFill="1" applyAlignment="1" applyProtection="1">
      <alignment wrapText="1"/>
    </xf>
    <xf numFmtId="0" fontId="57" fillId="74" borderId="0" xfId="0" applyFont="1" applyFill="1" applyAlignment="1" applyProtection="1">
      <alignment vertical="center"/>
    </xf>
    <xf numFmtId="38" fontId="44" fillId="22" borderId="0" xfId="439" applyNumberFormat="1" applyFont="1" applyFill="1" applyAlignment="1" applyProtection="1">
      <alignment horizontal="center" vertical="center" wrapText="1"/>
    </xf>
    <xf numFmtId="166" fontId="0" fillId="21" borderId="16" xfId="0" applyNumberFormat="1" applyFont="1" applyFill="1" applyBorder="1" applyProtection="1"/>
    <xf numFmtId="0" fontId="0" fillId="0" borderId="0" xfId="0" applyAlignment="1">
      <alignment wrapText="1"/>
    </xf>
    <xf numFmtId="0" fontId="0" fillId="0" borderId="0" xfId="0" applyAlignment="1">
      <alignment horizontal="left"/>
    </xf>
    <xf numFmtId="37" fontId="0" fillId="0" borderId="0" xfId="0" applyNumberFormat="1"/>
    <xf numFmtId="2" fontId="0" fillId="0" borderId="0" xfId="0" applyNumberFormat="1"/>
    <xf numFmtId="164" fontId="44" fillId="22" borderId="0" xfId="439" applyNumberFormat="1" applyFont="1" applyFill="1" applyAlignment="1" applyProtection="1">
      <alignment horizontal="center" vertical="center" wrapText="1"/>
    </xf>
    <xf numFmtId="173" fontId="44" fillId="22" borderId="0" xfId="439" applyNumberFormat="1" applyFont="1" applyFill="1" applyAlignment="1" applyProtection="1">
      <alignment horizontal="center" vertical="center" wrapText="1"/>
    </xf>
    <xf numFmtId="41" fontId="69" fillId="0" borderId="0" xfId="439" applyNumberFormat="1" applyFont="1" applyFill="1" applyAlignment="1" applyProtection="1">
      <alignment horizontal="center" vertical="center" wrapText="1"/>
      <protection locked="0"/>
    </xf>
    <xf numFmtId="0" fontId="161" fillId="77" borderId="57" xfId="0" applyFont="1" applyFill="1" applyBorder="1" applyAlignment="1">
      <alignment horizontal="center" vertical="center" wrapText="1"/>
    </xf>
    <xf numFmtId="0" fontId="158" fillId="0" borderId="0" xfId="0" applyFont="1"/>
    <xf numFmtId="0" fontId="162" fillId="73" borderId="0" xfId="0" applyFont="1" applyFill="1" applyAlignment="1">
      <alignment horizontal="justify" vertical="center"/>
    </xf>
    <xf numFmtId="0" fontId="162" fillId="73" borderId="0" xfId="0" applyFont="1" applyFill="1" applyAlignment="1">
      <alignment vertical="center"/>
    </xf>
    <xf numFmtId="0" fontId="0" fillId="0" borderId="0" xfId="0" applyAlignment="1">
      <alignment vertical="center"/>
    </xf>
    <xf numFmtId="0" fontId="162" fillId="73" borderId="0" xfId="0" applyFont="1" applyFill="1" applyAlignment="1">
      <alignment vertical="center" wrapText="1"/>
    </xf>
    <xf numFmtId="0" fontId="166" fillId="73" borderId="0" xfId="611" applyFont="1" applyFill="1" applyAlignment="1">
      <alignment vertical="center"/>
    </xf>
    <xf numFmtId="0" fontId="167" fillId="73" borderId="0" xfId="0" applyFont="1" applyFill="1" applyAlignment="1">
      <alignment vertical="center"/>
    </xf>
    <xf numFmtId="0" fontId="168" fillId="73" borderId="0" xfId="611" applyFont="1" applyFill="1" applyAlignment="1" applyProtection="1">
      <alignment vertical="center"/>
      <protection locked="0"/>
    </xf>
    <xf numFmtId="0" fontId="167" fillId="73" borderId="0" xfId="0" applyFont="1" applyFill="1"/>
    <xf numFmtId="0" fontId="168" fillId="73" borderId="0" xfId="611" applyFont="1" applyFill="1" applyProtection="1">
      <protection locked="0"/>
    </xf>
    <xf numFmtId="0" fontId="116" fillId="73" borderId="0" xfId="30098" quotePrefix="1" applyFont="1" applyFill="1" applyAlignment="1">
      <alignment horizontal="left" vertical="center" wrapText="1" indent="1"/>
    </xf>
    <xf numFmtId="0" fontId="171" fillId="73" borderId="0" xfId="30098" applyFont="1" applyFill="1" applyAlignment="1">
      <alignment vertical="center" wrapText="1"/>
    </xf>
    <xf numFmtId="0" fontId="35" fillId="0" borderId="0" xfId="611"/>
    <xf numFmtId="0" fontId="162" fillId="73" borderId="0" xfId="30098" applyFont="1" applyFill="1" applyAlignment="1">
      <alignment vertical="center" wrapText="1"/>
    </xf>
    <xf numFmtId="0" fontId="168" fillId="73" borderId="0" xfId="611" applyFont="1" applyFill="1" applyAlignment="1">
      <alignment vertical="center"/>
    </xf>
    <xf numFmtId="38" fontId="0" fillId="0" borderId="0" xfId="0" applyNumberFormat="1" applyFont="1" applyFill="1" applyProtection="1"/>
    <xf numFmtId="0" fontId="0" fillId="81" borderId="25" xfId="0" applyNumberFormat="1" applyFont="1" applyFill="1" applyBorder="1" applyAlignment="1" applyProtection="1">
      <alignment horizontal="left" vertical="center" wrapText="1"/>
    </xf>
    <xf numFmtId="3" fontId="0" fillId="34" borderId="0" xfId="0" applyNumberFormat="1" applyFont="1" applyFill="1" applyProtection="1"/>
    <xf numFmtId="1" fontId="0" fillId="0" borderId="0" xfId="0" applyNumberFormat="1" applyFont="1" applyFill="1" applyAlignment="1" applyProtection="1">
      <alignment horizontal="center" vertical="center"/>
    </xf>
    <xf numFmtId="0" fontId="51" fillId="0" borderId="0" xfId="0" applyFont="1" applyAlignment="1">
      <alignment horizontal="center"/>
    </xf>
    <xf numFmtId="0" fontId="0" fillId="20" borderId="0" xfId="0" applyFill="1"/>
    <xf numFmtId="0" fontId="0" fillId="29" borderId="0" xfId="0" applyFill="1" applyAlignment="1">
      <alignment horizontal="center"/>
    </xf>
    <xf numFmtId="0" fontId="0" fillId="29" borderId="0" xfId="0" applyFill="1"/>
    <xf numFmtId="0" fontId="0" fillId="20" borderId="0" xfId="0" applyFill="1" applyAlignment="1">
      <alignment horizontal="center"/>
    </xf>
    <xf numFmtId="0" fontId="0" fillId="32" borderId="0" xfId="0" applyFill="1" applyAlignment="1">
      <alignment horizontal="center"/>
    </xf>
    <xf numFmtId="0" fontId="0" fillId="32" borderId="0" xfId="0" applyFill="1"/>
    <xf numFmtId="0" fontId="0" fillId="0" borderId="0" xfId="0" applyFill="1" applyAlignment="1">
      <alignment horizontal="center"/>
    </xf>
    <xf numFmtId="0" fontId="0" fillId="0" borderId="0" xfId="0" applyFill="1"/>
    <xf numFmtId="0" fontId="0" fillId="82" borderId="0" xfId="0" applyFill="1" applyAlignment="1">
      <alignment horizontal="center"/>
    </xf>
    <xf numFmtId="0" fontId="0" fillId="82" borderId="0" xfId="0" applyFill="1"/>
    <xf numFmtId="0" fontId="0" fillId="82" borderId="0" xfId="0" applyNumberFormat="1" applyFont="1" applyFill="1" applyAlignment="1" applyProtection="1">
      <alignment horizontal="center" vertical="center"/>
    </xf>
    <xf numFmtId="0" fontId="0" fillId="82" borderId="45" xfId="0" applyNumberFormat="1" applyFont="1" applyFill="1" applyBorder="1" applyAlignment="1" applyProtection="1">
      <alignment horizontal="center" vertical="center" wrapText="1"/>
    </xf>
    <xf numFmtId="0" fontId="0" fillId="26" borderId="0" xfId="0" applyFill="1" applyAlignment="1">
      <alignment horizontal="center"/>
    </xf>
    <xf numFmtId="0" fontId="0" fillId="26" borderId="0" xfId="0" applyFill="1"/>
    <xf numFmtId="0" fontId="0" fillId="36" borderId="0" xfId="0" applyFill="1" applyAlignment="1">
      <alignment horizontal="center"/>
    </xf>
    <xf numFmtId="0" fontId="0" fillId="36" borderId="0" xfId="0" applyFill="1"/>
    <xf numFmtId="0" fontId="0" fillId="83" borderId="0" xfId="0" applyFill="1"/>
    <xf numFmtId="38" fontId="44" fillId="22" borderId="45" xfId="439" applyNumberFormat="1" applyFont="1" applyFill="1" applyBorder="1" applyAlignment="1" applyProtection="1">
      <alignment horizontal="center" vertical="center" wrapText="1"/>
    </xf>
    <xf numFmtId="4" fontId="0" fillId="0" borderId="0" xfId="0" applyNumberFormat="1"/>
    <xf numFmtId="182" fontId="0" fillId="0" borderId="0" xfId="439" applyNumberFormat="1" applyFont="1" applyProtection="1"/>
    <xf numFmtId="43" fontId="0" fillId="0" borderId="0" xfId="0" applyNumberFormat="1" applyFont="1" applyProtection="1"/>
    <xf numFmtId="4" fontId="0" fillId="0" borderId="0" xfId="0" applyNumberFormat="1" applyFont="1" applyProtection="1"/>
    <xf numFmtId="0" fontId="0" fillId="29" borderId="0" xfId="0" applyFill="1" applyAlignment="1">
      <alignment wrapText="1"/>
    </xf>
    <xf numFmtId="183" fontId="41" fillId="31" borderId="66" xfId="0" applyNumberFormat="1" applyFont="1" applyFill="1" applyBorder="1" applyAlignment="1">
      <alignment wrapText="1"/>
    </xf>
    <xf numFmtId="183" fontId="56" fillId="0" borderId="28" xfId="439" applyNumberFormat="1" applyFont="1" applyFill="1" applyBorder="1" applyAlignment="1" applyProtection="1">
      <alignment horizontal="center" vertical="center" wrapText="1"/>
    </xf>
    <xf numFmtId="181" fontId="0" fillId="0" borderId="0" xfId="0" applyNumberFormat="1"/>
    <xf numFmtId="0" fontId="44" fillId="0" borderId="0" xfId="26000" applyFont="1" applyAlignment="1">
      <alignment horizontal="center"/>
    </xf>
    <xf numFmtId="0" fontId="44" fillId="0" borderId="0" xfId="26000" applyFont="1"/>
    <xf numFmtId="0" fontId="33" fillId="0" borderId="0" xfId="0" applyFont="1"/>
    <xf numFmtId="0" fontId="57" fillId="80" borderId="0" xfId="26000" applyFont="1" applyFill="1"/>
    <xf numFmtId="0" fontId="44" fillId="80" borderId="0" xfId="26000" applyFont="1" applyFill="1"/>
    <xf numFmtId="0" fontId="57" fillId="0" borderId="0" xfId="26000" applyFont="1"/>
    <xf numFmtId="0" fontId="129" fillId="0" borderId="57" xfId="26000" applyFont="1" applyBorder="1"/>
    <xf numFmtId="9" fontId="57" fillId="0" borderId="0" xfId="26000" applyNumberFormat="1" applyFont="1" applyAlignment="1">
      <alignment horizontal="center"/>
    </xf>
    <xf numFmtId="38" fontId="44" fillId="79" borderId="0" xfId="26000" applyNumberFormat="1" applyFont="1" applyFill="1"/>
    <xf numFmtId="38" fontId="44" fillId="0" borderId="0" xfId="26000" applyNumberFormat="1" applyFont="1"/>
    <xf numFmtId="0" fontId="44" fillId="0" borderId="0" xfId="26000" applyFont="1" applyAlignment="1">
      <alignment wrapText="1"/>
    </xf>
    <xf numFmtId="0" fontId="57" fillId="0" borderId="0" xfId="26000" applyFont="1" applyAlignment="1">
      <alignment wrapText="1"/>
    </xf>
    <xf numFmtId="0" fontId="130" fillId="0" borderId="0" xfId="26000" applyFont="1" applyAlignment="1">
      <alignment wrapText="1"/>
    </xf>
    <xf numFmtId="164" fontId="44" fillId="0" borderId="0" xfId="26000" applyNumberFormat="1" applyFont="1"/>
    <xf numFmtId="0" fontId="57" fillId="0" borderId="0" xfId="26000" applyFont="1" applyAlignment="1">
      <alignment horizontal="center"/>
    </xf>
    <xf numFmtId="0" fontId="130" fillId="0" borderId="0" xfId="26000" applyFont="1"/>
    <xf numFmtId="0" fontId="44" fillId="0" borderId="0" xfId="26000" applyFont="1" applyAlignment="1">
      <alignment vertical="top"/>
    </xf>
    <xf numFmtId="0" fontId="130" fillId="0" borderId="0" xfId="26000" applyFont="1" applyAlignment="1">
      <alignment vertical="top" wrapText="1"/>
    </xf>
    <xf numFmtId="37" fontId="44" fillId="0" borderId="57" xfId="29549" applyNumberFormat="1" applyFont="1" applyBorder="1" applyProtection="1"/>
    <xf numFmtId="37" fontId="44" fillId="0" borderId="57" xfId="29549" applyNumberFormat="1" applyFont="1" applyFill="1" applyBorder="1" applyProtection="1"/>
    <xf numFmtId="37" fontId="44" fillId="0" borderId="0" xfId="26000" applyNumberFormat="1" applyFont="1"/>
    <xf numFmtId="37" fontId="57" fillId="0" borderId="57" xfId="26000" applyNumberFormat="1" applyFont="1" applyBorder="1"/>
    <xf numFmtId="37" fontId="57" fillId="0" borderId="68" xfId="29549" applyNumberFormat="1" applyFont="1" applyBorder="1" applyProtection="1"/>
    <xf numFmtId="37" fontId="57" fillId="0" borderId="67" xfId="29549" applyNumberFormat="1" applyFont="1" applyBorder="1" applyProtection="1"/>
    <xf numFmtId="0" fontId="39" fillId="0" borderId="0" xfId="682" applyFont="1" applyAlignment="1">
      <alignment wrapText="1"/>
    </xf>
    <xf numFmtId="0" fontId="131" fillId="0" borderId="0" xfId="682" applyFont="1"/>
    <xf numFmtId="0" fontId="39" fillId="0" borderId="0" xfId="682" applyFont="1" applyAlignment="1">
      <alignment horizontal="left"/>
    </xf>
    <xf numFmtId="0" fontId="33" fillId="0" borderId="0" xfId="682" applyFont="1"/>
    <xf numFmtId="42" fontId="39" fillId="0" borderId="0" xfId="546" applyNumberFormat="1" applyFont="1" applyFill="1" applyBorder="1"/>
    <xf numFmtId="0" fontId="136" fillId="0" borderId="0" xfId="682" applyFont="1" applyAlignment="1">
      <alignment horizontal="left" vertical="center" wrapText="1"/>
    </xf>
    <xf numFmtId="10" fontId="39" fillId="0" borderId="19" xfId="682" applyNumberFormat="1" applyFont="1" applyBorder="1" applyAlignment="1">
      <alignment horizontal="right" vertical="center"/>
    </xf>
    <xf numFmtId="0" fontId="44" fillId="0" borderId="0" xfId="0" applyFont="1"/>
    <xf numFmtId="0" fontId="44" fillId="0" borderId="0" xfId="0" applyFont="1" applyAlignment="1">
      <alignment horizontal="center"/>
    </xf>
    <xf numFmtId="0" fontId="44" fillId="34" borderId="0" xfId="0" applyFont="1" applyFill="1"/>
    <xf numFmtId="0" fontId="44" fillId="29" borderId="0" xfId="0" applyFont="1" applyFill="1"/>
    <xf numFmtId="0" fontId="44" fillId="29" borderId="0" xfId="0" applyFont="1" applyFill="1" applyAlignment="1">
      <alignment wrapText="1"/>
    </xf>
    <xf numFmtId="0" fontId="44" fillId="0" borderId="77" xfId="0" applyFont="1" applyBorder="1"/>
    <xf numFmtId="0" fontId="44" fillId="0" borderId="100" xfId="0" applyFont="1" applyBorder="1"/>
    <xf numFmtId="0" fontId="44" fillId="0" borderId="12" xfId="0" applyFont="1" applyBorder="1"/>
    <xf numFmtId="0" fontId="44" fillId="0" borderId="0" xfId="0" quotePrefix="1" applyFont="1"/>
    <xf numFmtId="0" fontId="44" fillId="0" borderId="0" xfId="0" applyFont="1" applyFill="1"/>
    <xf numFmtId="0" fontId="0" fillId="0" borderId="0" xfId="0" applyFill="1" applyAlignment="1">
      <alignment horizontal="left" vertical="center"/>
    </xf>
    <xf numFmtId="0" fontId="0" fillId="0" borderId="0" xfId="0" applyFill="1" applyAlignment="1">
      <alignment wrapText="1"/>
    </xf>
    <xf numFmtId="0" fontId="39" fillId="0" borderId="13" xfId="0" applyFont="1" applyFill="1" applyBorder="1" applyAlignment="1">
      <alignment horizontal="left" vertical="center"/>
    </xf>
    <xf numFmtId="0" fontId="0" fillId="0" borderId="16" xfId="0" applyFill="1" applyBorder="1"/>
    <xf numFmtId="0" fontId="0" fillId="34" borderId="10" xfId="0" applyFill="1" applyBorder="1" applyAlignment="1">
      <alignment vertical="center" wrapText="1"/>
    </xf>
    <xf numFmtId="0" fontId="0" fillId="0" borderId="16" xfId="0" applyFill="1" applyBorder="1" applyAlignment="1">
      <alignment wrapText="1"/>
    </xf>
    <xf numFmtId="0" fontId="0" fillId="0" borderId="0" xfId="0" applyFill="1" applyBorder="1"/>
    <xf numFmtId="0" fontId="0" fillId="0" borderId="0" xfId="0" applyBorder="1"/>
    <xf numFmtId="0" fontId="0" fillId="0" borderId="0" xfId="0" applyBorder="1" applyAlignment="1">
      <alignment vertical="center"/>
    </xf>
    <xf numFmtId="14" fontId="0" fillId="36" borderId="0" xfId="0" applyNumberFormat="1" applyFont="1" applyFill="1" applyAlignment="1" applyProtection="1">
      <alignment horizontal="center"/>
    </xf>
    <xf numFmtId="37" fontId="44" fillId="0" borderId="57" xfId="29549" applyNumberFormat="1" applyFont="1" applyFill="1" applyBorder="1" applyAlignment="1" applyProtection="1">
      <alignment horizontal="center"/>
    </xf>
    <xf numFmtId="38" fontId="44" fillId="0" borderId="0" xfId="26000" applyNumberFormat="1" applyFont="1" applyAlignment="1"/>
    <xf numFmtId="0" fontId="33" fillId="0" borderId="0" xfId="29549" applyNumberFormat="1" applyFont="1" applyFill="1" applyBorder="1" applyProtection="1"/>
    <xf numFmtId="0" fontId="6" fillId="79" borderId="0" xfId="26000" applyFont="1" applyFill="1"/>
    <xf numFmtId="0" fontId="6" fillId="35" borderId="0" xfId="26000" applyFont="1" applyFill="1"/>
    <xf numFmtId="0" fontId="6" fillId="0" borderId="0" xfId="26000" applyFont="1" applyFill="1"/>
    <xf numFmtId="37" fontId="44" fillId="35" borderId="57" xfId="29549" applyNumberFormat="1" applyFont="1" applyFill="1" applyBorder="1" applyAlignment="1" applyProtection="1">
      <alignment horizontal="center"/>
    </xf>
    <xf numFmtId="37" fontId="44" fillId="35" borderId="57" xfId="29549" applyNumberFormat="1" applyFont="1" applyFill="1" applyBorder="1" applyProtection="1"/>
    <xf numFmtId="0" fontId="44" fillId="0" borderId="0" xfId="26000" applyFont="1" applyFill="1"/>
    <xf numFmtId="0" fontId="44" fillId="0" borderId="45" xfId="0" applyNumberFormat="1" applyFont="1" applyFill="1" applyBorder="1" applyAlignment="1" applyProtection="1">
      <alignment horizontal="left" vertical="center" wrapText="1"/>
    </xf>
    <xf numFmtId="0" fontId="0" fillId="0" borderId="0" xfId="0" quotePrefix="1" applyFont="1" applyAlignment="1" applyProtection="1">
      <alignment vertical="center" wrapText="1"/>
    </xf>
    <xf numFmtId="0" fontId="39" fillId="32" borderId="45" xfId="0" applyNumberFormat="1" applyFont="1" applyFill="1" applyBorder="1" applyAlignment="1" applyProtection="1">
      <alignment horizontal="center" vertical="center"/>
    </xf>
    <xf numFmtId="0" fontId="0" fillId="32" borderId="45" xfId="0" applyFont="1" applyFill="1" applyBorder="1" applyAlignment="1" applyProtection="1">
      <alignment vertical="center" wrapText="1"/>
    </xf>
    <xf numFmtId="37" fontId="0" fillId="32" borderId="45" xfId="439" applyNumberFormat="1" applyFont="1" applyFill="1" applyBorder="1" applyAlignment="1" applyProtection="1">
      <alignment vertical="center"/>
    </xf>
    <xf numFmtId="0" fontId="0" fillId="36" borderId="0" xfId="0" applyFont="1" applyFill="1" applyAlignment="1" applyProtection="1">
      <alignment horizontal="center" vertical="center"/>
    </xf>
    <xf numFmtId="41" fontId="69" fillId="31" borderId="81" xfId="439" applyNumberFormat="1" applyFont="1" applyFill="1" applyBorder="1" applyAlignment="1">
      <alignment vertical="center" wrapText="1"/>
    </xf>
    <xf numFmtId="41" fontId="69" fillId="31" borderId="0" xfId="439" applyNumberFormat="1" applyFont="1" applyFill="1" applyAlignment="1">
      <alignment vertical="center" wrapText="1"/>
    </xf>
    <xf numFmtId="41" fontId="69" fillId="31" borderId="93" xfId="439" applyNumberFormat="1" applyFont="1" applyFill="1" applyBorder="1" applyAlignment="1">
      <alignment vertical="center" wrapText="1"/>
    </xf>
    <xf numFmtId="41" fontId="69" fillId="31" borderId="82" xfId="439" applyNumberFormat="1" applyFont="1" applyFill="1" applyBorder="1" applyAlignment="1">
      <alignment vertical="center" wrapText="1"/>
    </xf>
    <xf numFmtId="14" fontId="56" fillId="36" borderId="23" xfId="439" applyNumberFormat="1" applyFont="1" applyFill="1" applyBorder="1" applyAlignment="1" applyProtection="1">
      <alignment horizontal="center" vertical="center" wrapText="1"/>
    </xf>
    <xf numFmtId="164" fontId="44" fillId="0" borderId="16" xfId="26000" applyNumberFormat="1" applyFont="1" applyBorder="1"/>
    <xf numFmtId="0" fontId="0" fillId="0" borderId="10" xfId="0" applyFill="1" applyBorder="1" applyAlignment="1">
      <alignment horizontal="center" vertical="center"/>
    </xf>
    <xf numFmtId="0" fontId="0" fillId="0" borderId="10" xfId="0" applyFill="1" applyBorder="1" applyAlignment="1">
      <alignment vertical="center" wrapText="1"/>
    </xf>
    <xf numFmtId="49" fontId="0" fillId="78" borderId="0" xfId="0" applyNumberFormat="1" applyFont="1" applyFill="1" applyBorder="1" applyAlignment="1">
      <alignment horizontal="center" vertical="center" wrapText="1"/>
    </xf>
    <xf numFmtId="49" fontId="39" fillId="29" borderId="0" xfId="439" applyNumberFormat="1" applyFont="1" applyFill="1" applyAlignment="1" applyProtection="1">
      <alignment horizontal="center" vertical="center" wrapText="1"/>
      <protection locked="0"/>
    </xf>
    <xf numFmtId="173" fontId="44" fillId="0" borderId="0" xfId="439" applyNumberFormat="1" applyFont="1" applyFill="1" applyAlignment="1" applyProtection="1">
      <alignment horizontal="center" vertical="center" wrapText="1"/>
    </xf>
    <xf numFmtId="0" fontId="0" fillId="0" borderId="76" xfId="0" applyFill="1" applyBorder="1" applyAlignment="1">
      <alignment vertical="center"/>
    </xf>
    <xf numFmtId="49" fontId="0" fillId="0" borderId="0" xfId="0" applyNumberFormat="1" applyAlignment="1">
      <alignment wrapText="1"/>
    </xf>
    <xf numFmtId="49" fontId="0" fillId="78" borderId="64" xfId="439" applyNumberFormat="1" applyFont="1" applyFill="1" applyBorder="1" applyAlignment="1" applyProtection="1">
      <alignment horizontal="center" vertical="center" wrapText="1"/>
    </xf>
    <xf numFmtId="0" fontId="0" fillId="22" borderId="102" xfId="0" applyFont="1" applyFill="1" applyBorder="1" applyAlignment="1" applyProtection="1">
      <alignment vertical="center"/>
    </xf>
    <xf numFmtId="39" fontId="56" fillId="0" borderId="103" xfId="439" applyNumberFormat="1" applyFont="1" applyFill="1" applyBorder="1" applyAlignment="1" applyProtection="1">
      <alignment horizontal="center" vertical="center" wrapText="1"/>
    </xf>
    <xf numFmtId="164" fontId="56" fillId="0" borderId="103" xfId="439" applyNumberFormat="1" applyFont="1" applyFill="1" applyBorder="1" applyAlignment="1" applyProtection="1">
      <alignment horizontal="center" vertical="center" wrapText="1"/>
    </xf>
    <xf numFmtId="3" fontId="56" fillId="0" borderId="101" xfId="439" applyNumberFormat="1" applyFont="1" applyFill="1" applyBorder="1" applyAlignment="1" applyProtection="1">
      <alignment horizontal="center" vertical="center" wrapText="1"/>
    </xf>
    <xf numFmtId="3" fontId="56" fillId="0" borderId="28" xfId="439" applyNumberFormat="1" applyFont="1" applyFill="1" applyBorder="1" applyAlignment="1" applyProtection="1">
      <alignment horizontal="center" vertical="center" wrapText="1"/>
    </xf>
    <xf numFmtId="0" fontId="182" fillId="73" borderId="0" xfId="30098" applyFont="1" applyFill="1" applyAlignment="1">
      <alignment vertical="center" wrapText="1"/>
    </xf>
    <xf numFmtId="173" fontId="44" fillId="35" borderId="0" xfId="26000" applyNumberFormat="1" applyFont="1" applyFill="1"/>
    <xf numFmtId="0" fontId="39" fillId="26" borderId="0" xfId="0" applyFont="1" applyFill="1" applyAlignment="1">
      <alignment horizontal="center" vertical="center"/>
    </xf>
    <xf numFmtId="185" fontId="52" fillId="0" borderId="0" xfId="682" applyNumberFormat="1" applyFont="1"/>
    <xf numFmtId="0" fontId="52" fillId="0" borderId="0" xfId="0" applyFont="1" applyAlignment="1">
      <alignment horizontal="center"/>
    </xf>
    <xf numFmtId="0" fontId="52" fillId="0" borderId="0" xfId="0" applyFont="1"/>
    <xf numFmtId="0" fontId="52" fillId="0" borderId="0" xfId="0" quotePrefix="1" applyFont="1"/>
    <xf numFmtId="0" fontId="0" fillId="0" borderId="0" xfId="0" quotePrefix="1"/>
    <xf numFmtId="164" fontId="0" fillId="0" borderId="0" xfId="0" applyNumberFormat="1"/>
    <xf numFmtId="0" fontId="136" fillId="27" borderId="0" xfId="682" applyFont="1" applyFill="1" applyAlignment="1">
      <alignment vertical="center" wrapText="1"/>
    </xf>
    <xf numFmtId="0" fontId="0" fillId="0" borderId="0" xfId="0" quotePrefix="1" applyAlignment="1">
      <alignment horizontal="center"/>
    </xf>
    <xf numFmtId="185" fontId="49" fillId="0" borderId="0" xfId="682" applyNumberFormat="1" applyFont="1"/>
    <xf numFmtId="0" fontId="39" fillId="26" borderId="17" xfId="0" applyFont="1" applyFill="1" applyBorder="1" applyAlignment="1">
      <alignment horizontal="center" vertical="center"/>
    </xf>
    <xf numFmtId="3" fontId="52" fillId="0" borderId="0" xfId="0" applyNumberFormat="1" applyFont="1"/>
    <xf numFmtId="185" fontId="52" fillId="0" borderId="0" xfId="682" applyNumberFormat="1" applyFont="1" applyAlignment="1">
      <alignment horizontal="left"/>
    </xf>
    <xf numFmtId="185" fontId="39" fillId="0" borderId="0" xfId="682" applyNumberFormat="1" applyFont="1" applyAlignment="1">
      <alignment horizontal="left"/>
    </xf>
    <xf numFmtId="42" fontId="0" fillId="0" borderId="0" xfId="0" applyNumberFormat="1"/>
    <xf numFmtId="185" fontId="49" fillId="0" borderId="0" xfId="682" applyNumberFormat="1" applyFont="1" applyAlignment="1">
      <alignment horizontal="left"/>
    </xf>
    <xf numFmtId="10" fontId="39" fillId="0" borderId="0" xfId="682" applyNumberFormat="1" applyFont="1" applyAlignment="1">
      <alignment horizontal="right" vertical="center"/>
    </xf>
    <xf numFmtId="0" fontId="52" fillId="0" borderId="0" xfId="682" applyFont="1" applyAlignment="1">
      <alignment horizontal="left"/>
    </xf>
    <xf numFmtId="185" fontId="49" fillId="78" borderId="0" xfId="682" applyNumberFormat="1" applyFont="1" applyFill="1" applyAlignment="1">
      <alignment horizontal="left"/>
    </xf>
    <xf numFmtId="185" fontId="52" fillId="78" borderId="0" xfId="682" applyNumberFormat="1" applyFont="1" applyFill="1" applyAlignment="1">
      <alignment horizontal="left"/>
    </xf>
    <xf numFmtId="0" fontId="0" fillId="78" borderId="0" xfId="0" applyFill="1" applyAlignment="1">
      <alignment horizontal="center"/>
    </xf>
    <xf numFmtId="0" fontId="0" fillId="78" borderId="0" xfId="0" applyFill="1" applyAlignment="1">
      <alignment wrapText="1"/>
    </xf>
    <xf numFmtId="0" fontId="0" fillId="0" borderId="0" xfId="0" quotePrefix="1" applyAlignment="1">
      <alignment wrapText="1"/>
    </xf>
    <xf numFmtId="0" fontId="0" fillId="0" borderId="0" xfId="0" applyAlignment="1">
      <alignment horizontal="left" wrapText="1"/>
    </xf>
    <xf numFmtId="0" fontId="40" fillId="26" borderId="0" xfId="0" applyFont="1" applyFill="1"/>
    <xf numFmtId="0" fontId="49" fillId="26" borderId="17" xfId="682" applyFont="1" applyFill="1" applyBorder="1" applyAlignment="1">
      <alignment horizontal="center"/>
    </xf>
    <xf numFmtId="0" fontId="183" fillId="0" borderId="0" xfId="682" applyFont="1" applyAlignment="1">
      <alignment vertical="center"/>
    </xf>
    <xf numFmtId="0" fontId="0" fillId="78" borderId="0" xfId="0" applyNumberFormat="1" applyFont="1" applyFill="1" applyBorder="1" applyAlignment="1" applyProtection="1">
      <alignment horizontal="left" vertical="center" wrapText="1"/>
    </xf>
    <xf numFmtId="42" fontId="134" fillId="26" borderId="0" xfId="546" applyNumberFormat="1" applyFont="1" applyFill="1"/>
    <xf numFmtId="41" fontId="134" fillId="26" borderId="0" xfId="546" applyNumberFormat="1" applyFont="1" applyFill="1"/>
    <xf numFmtId="41" fontId="134" fillId="26" borderId="0" xfId="682" applyNumberFormat="1" applyFont="1" applyFill="1"/>
    <xf numFmtId="41" fontId="52" fillId="26" borderId="0" xfId="682" applyNumberFormat="1" applyFont="1" applyFill="1"/>
    <xf numFmtId="41" fontId="52" fillId="26" borderId="17" xfId="449" applyNumberFormat="1" applyFont="1" applyFill="1" applyBorder="1"/>
    <xf numFmtId="42" fontId="52" fillId="26" borderId="0" xfId="31723" applyNumberFormat="1" applyFont="1" applyFill="1"/>
    <xf numFmtId="41" fontId="134" fillId="26" borderId="0" xfId="0" applyNumberFormat="1" applyFont="1" applyFill="1"/>
    <xf numFmtId="0" fontId="40" fillId="34" borderId="0" xfId="682" applyFont="1" applyFill="1" applyAlignment="1"/>
    <xf numFmtId="42" fontId="39" fillId="34" borderId="18" xfId="546" applyNumberFormat="1" applyFont="1" applyFill="1" applyBorder="1"/>
    <xf numFmtId="42" fontId="49" fillId="34" borderId="19" xfId="546" applyNumberFormat="1" applyFont="1" applyFill="1" applyBorder="1"/>
    <xf numFmtId="0" fontId="0" fillId="26" borderId="17" xfId="0" applyFill="1" applyBorder="1" applyAlignment="1">
      <alignment horizontal="center" wrapText="1"/>
    </xf>
    <xf numFmtId="0" fontId="0" fillId="26" borderId="17" xfId="0" applyFill="1" applyBorder="1" applyAlignment="1">
      <alignment wrapText="1"/>
    </xf>
    <xf numFmtId="169" fontId="39" fillId="29" borderId="0" xfId="439" applyNumberFormat="1" applyFont="1" applyFill="1" applyAlignment="1" applyProtection="1">
      <alignment horizontal="center" vertical="center"/>
      <protection locked="0"/>
    </xf>
    <xf numFmtId="0" fontId="39" fillId="74" borderId="0" xfId="0" applyFont="1" applyFill="1" applyAlignment="1" applyProtection="1">
      <alignment horizontal="center" vertical="center"/>
    </xf>
    <xf numFmtId="0" fontId="0" fillId="0" borderId="0" xfId="0" applyNumberFormat="1" applyFont="1" applyFill="1" applyAlignment="1" applyProtection="1">
      <alignment horizontal="center" vertical="center" wrapText="1"/>
    </xf>
    <xf numFmtId="0" fontId="57" fillId="0" borderId="0" xfId="0" applyFont="1" applyFill="1" applyAlignment="1" applyProtection="1">
      <alignment horizontal="center" vertical="center" wrapText="1"/>
    </xf>
    <xf numFmtId="0" fontId="0" fillId="0" borderId="0" xfId="0" applyFont="1" applyFill="1" applyAlignment="1">
      <alignment horizontal="center" vertical="center"/>
    </xf>
    <xf numFmtId="0" fontId="0" fillId="0" borderId="22" xfId="0" applyFont="1" applyFill="1" applyBorder="1" applyAlignment="1">
      <alignment horizontal="center" vertical="center"/>
    </xf>
    <xf numFmtId="164" fontId="0" fillId="0" borderId="0" xfId="439" applyNumberFormat="1" applyFont="1" applyFill="1" applyAlignment="1" applyProtection="1">
      <alignment horizontal="center" vertical="center"/>
    </xf>
    <xf numFmtId="0" fontId="0" fillId="28" borderId="0" xfId="0" applyFont="1" applyFill="1" applyAlignment="1" applyProtection="1">
      <alignment horizontal="center" vertical="center"/>
    </xf>
    <xf numFmtId="0" fontId="153" fillId="74" borderId="0" xfId="0" applyFont="1" applyFill="1" applyAlignment="1" applyProtection="1">
      <alignment horizontal="center" vertical="center"/>
    </xf>
    <xf numFmtId="0" fontId="68" fillId="0" borderId="10" xfId="0" applyFont="1" applyFill="1" applyBorder="1" applyAlignment="1">
      <alignment vertical="center" wrapText="1"/>
    </xf>
    <xf numFmtId="41" fontId="134" fillId="26" borderId="17" xfId="0" applyNumberFormat="1" applyFont="1" applyFill="1" applyBorder="1"/>
    <xf numFmtId="41" fontId="0" fillId="0" borderId="0" xfId="0" applyNumberFormat="1"/>
    <xf numFmtId="1" fontId="40" fillId="24" borderId="0" xfId="439" applyNumberFormat="1" applyFont="1" applyFill="1" applyBorder="1" applyAlignment="1" applyProtection="1">
      <alignment horizontal="center" wrapText="1"/>
    </xf>
    <xf numFmtId="0" fontId="41" fillId="0" borderId="10" xfId="0" applyFont="1" applyBorder="1" applyAlignment="1" applyProtection="1">
      <alignment horizontal="right" vertical="center" wrapText="1"/>
    </xf>
    <xf numFmtId="0" fontId="41" fillId="0" borderId="10" xfId="0" applyFont="1" applyBorder="1" applyAlignment="1" applyProtection="1">
      <alignment horizontal="right" wrapText="1"/>
    </xf>
    <xf numFmtId="4" fontId="0" fillId="0" borderId="10" xfId="0" applyNumberFormat="1" applyBorder="1"/>
    <xf numFmtId="174" fontId="0" fillId="75" borderId="29" xfId="439" applyNumberFormat="1" applyFont="1" applyFill="1" applyBorder="1" applyAlignment="1" applyProtection="1">
      <alignment vertical="center"/>
    </xf>
    <xf numFmtId="174" fontId="0" fillId="75" borderId="28" xfId="439" applyNumberFormat="1" applyFont="1" applyFill="1" applyBorder="1" applyAlignment="1" applyProtection="1">
      <alignment vertical="center"/>
    </xf>
    <xf numFmtId="39" fontId="0" fillId="75" borderId="29" xfId="439" applyNumberFormat="1" applyFont="1" applyFill="1" applyBorder="1" applyAlignment="1" applyProtection="1">
      <alignment vertical="center"/>
    </xf>
    <xf numFmtId="175" fontId="0" fillId="75" borderId="29" xfId="439" applyNumberFormat="1" applyFont="1" applyFill="1" applyBorder="1" applyAlignment="1" applyProtection="1">
      <alignment vertical="center"/>
    </xf>
    <xf numFmtId="39" fontId="0" fillId="75" borderId="28" xfId="439" applyNumberFormat="1" applyFont="1" applyFill="1" applyBorder="1" applyAlignment="1" applyProtection="1">
      <alignment vertical="center"/>
    </xf>
    <xf numFmtId="41" fontId="68" fillId="0" borderId="0" xfId="439" applyNumberFormat="1" applyFont="1" applyFill="1" applyAlignment="1" applyProtection="1">
      <alignment wrapText="1"/>
    </xf>
    <xf numFmtId="41" fontId="69" fillId="0" borderId="45" xfId="0" applyNumberFormat="1" applyFont="1" applyFill="1" applyBorder="1" applyAlignment="1" applyProtection="1">
      <alignment wrapText="1"/>
    </xf>
    <xf numFmtId="41" fontId="69" fillId="0" borderId="45" xfId="0" applyNumberFormat="1" applyFont="1" applyFill="1" applyBorder="1" applyAlignment="1">
      <alignment wrapText="1"/>
    </xf>
    <xf numFmtId="41" fontId="69" fillId="0" borderId="0" xfId="0" applyNumberFormat="1" applyFont="1" applyFill="1" applyAlignment="1">
      <alignment wrapText="1"/>
    </xf>
    <xf numFmtId="41" fontId="0" fillId="26" borderId="0" xfId="682" applyNumberFormat="1" applyFont="1" applyFill="1"/>
    <xf numFmtId="42" fontId="49" fillId="27" borderId="0" xfId="546" applyNumberFormat="1" applyFont="1" applyFill="1"/>
    <xf numFmtId="41" fontId="52" fillId="26" borderId="0" xfId="449" applyNumberFormat="1" applyFont="1" applyFill="1" applyBorder="1"/>
    <xf numFmtId="41" fontId="52" fillId="0" borderId="0" xfId="449" applyNumberFormat="1" applyFont="1"/>
    <xf numFmtId="42" fontId="49" fillId="27" borderId="18" xfId="546" applyNumberFormat="1" applyFont="1" applyFill="1" applyBorder="1"/>
    <xf numFmtId="42" fontId="52" fillId="26" borderId="19" xfId="546" applyNumberFormat="1" applyFont="1" applyFill="1" applyBorder="1"/>
    <xf numFmtId="42" fontId="49" fillId="0" borderId="20" xfId="546" applyNumberFormat="1" applyFont="1" applyBorder="1"/>
    <xf numFmtId="42" fontId="52" fillId="0" borderId="19" xfId="546" applyNumberFormat="1" applyFont="1" applyBorder="1"/>
    <xf numFmtId="0" fontId="61" fillId="74" borderId="0" xfId="0" applyFont="1" applyFill="1" applyAlignment="1" applyProtection="1">
      <alignment horizontal="left" vertical="center"/>
    </xf>
    <xf numFmtId="0" fontId="39" fillId="28" borderId="0" xfId="0" applyFont="1" applyFill="1" applyAlignment="1" applyProtection="1">
      <alignment horizontal="left" vertical="center"/>
    </xf>
    <xf numFmtId="0" fontId="153" fillId="74" borderId="0" xfId="0" applyFont="1" applyFill="1" applyAlignment="1" applyProtection="1">
      <alignment horizontal="left" vertical="center"/>
    </xf>
    <xf numFmtId="0" fontId="0" fillId="0" borderId="0" xfId="0" applyAlignment="1">
      <alignment vertical="center" wrapText="1"/>
    </xf>
    <xf numFmtId="0" fontId="0" fillId="0" borderId="45" xfId="0" applyBorder="1" applyAlignment="1">
      <alignment vertical="center" wrapText="1"/>
    </xf>
    <xf numFmtId="0" fontId="0" fillId="0" borderId="36" xfId="0" applyBorder="1" applyAlignment="1">
      <alignment horizontal="left" vertical="center" wrapText="1"/>
    </xf>
    <xf numFmtId="0" fontId="0" fillId="29" borderId="10" xfId="0" applyFill="1" applyBorder="1" applyAlignment="1" applyProtection="1">
      <alignment horizontal="center" vertical="center"/>
      <protection locked="0"/>
    </xf>
    <xf numFmtId="14" fontId="0" fillId="29" borderId="10" xfId="0" applyNumberFormat="1" applyFill="1" applyBorder="1" applyAlignment="1" applyProtection="1">
      <alignment horizontal="center" vertical="center"/>
      <protection locked="0"/>
    </xf>
    <xf numFmtId="0" fontId="0" fillId="0" borderId="69" xfId="0" applyBorder="1" applyAlignment="1">
      <alignment horizontal="center"/>
    </xf>
    <xf numFmtId="0" fontId="0" fillId="0" borderId="70" xfId="0" applyFill="1" applyBorder="1"/>
    <xf numFmtId="168" fontId="0" fillId="0" borderId="70" xfId="0" applyNumberFormat="1" applyFill="1" applyBorder="1" applyAlignment="1">
      <alignment wrapText="1"/>
    </xf>
    <xf numFmtId="0" fontId="0" fillId="0" borderId="71" xfId="0" applyBorder="1" applyAlignment="1">
      <alignment wrapText="1"/>
    </xf>
    <xf numFmtId="0" fontId="0" fillId="0" borderId="72" xfId="0" applyBorder="1" applyAlignment="1">
      <alignment horizontal="center"/>
    </xf>
    <xf numFmtId="0" fontId="0" fillId="0" borderId="17" xfId="0" applyFill="1" applyBorder="1"/>
    <xf numFmtId="14" fontId="0" fillId="0" borderId="17" xfId="0" applyNumberFormat="1" applyFill="1" applyBorder="1" applyAlignment="1">
      <alignment wrapText="1"/>
    </xf>
    <xf numFmtId="0" fontId="0" fillId="0" borderId="73" xfId="0" applyBorder="1" applyAlignment="1">
      <alignment wrapText="1"/>
    </xf>
    <xf numFmtId="41" fontId="69" fillId="0" borderId="0" xfId="0" applyNumberFormat="1" applyFont="1" applyFill="1" applyAlignment="1" applyProtection="1">
      <alignment vertical="center" wrapText="1"/>
    </xf>
    <xf numFmtId="38" fontId="0" fillId="0" borderId="0" xfId="0" applyNumberFormat="1" applyFont="1" applyFill="1" applyAlignment="1" applyProtection="1">
      <alignment horizontal="center" vertical="center" wrapText="1"/>
      <protection locked="0"/>
    </xf>
    <xf numFmtId="41" fontId="69" fillId="0" borderId="0" xfId="0" applyNumberFormat="1" applyFont="1" applyFill="1" applyAlignment="1" applyProtection="1">
      <alignment horizontal="center" vertical="center" wrapText="1"/>
    </xf>
    <xf numFmtId="164" fontId="0" fillId="0" borderId="0" xfId="0" applyNumberFormat="1" applyFont="1" applyFill="1" applyAlignment="1" applyProtection="1">
      <alignment horizontal="center" vertical="center" wrapText="1"/>
      <protection locked="0"/>
    </xf>
    <xf numFmtId="0" fontId="39" fillId="0" borderId="37" xfId="0" applyFont="1" applyFill="1" applyBorder="1" applyAlignment="1">
      <alignment horizontal="left" vertical="center"/>
    </xf>
    <xf numFmtId="0" fontId="0" fillId="0" borderId="38" xfId="0" applyFill="1" applyBorder="1"/>
    <xf numFmtId="0" fontId="0" fillId="0" borderId="38" xfId="0" applyFill="1" applyBorder="1" applyAlignment="1">
      <alignment wrapText="1"/>
    </xf>
    <xf numFmtId="14" fontId="0" fillId="29" borderId="10" xfId="0" applyNumberFormat="1" applyFill="1" applyBorder="1" applyAlignment="1" applyProtection="1">
      <alignment horizontal="left" vertical="center" wrapText="1"/>
      <protection locked="0"/>
    </xf>
    <xf numFmtId="0" fontId="0" fillId="0" borderId="0" xfId="0" quotePrefix="1" applyFont="1" applyFill="1" applyProtection="1"/>
    <xf numFmtId="0" fontId="0" fillId="0" borderId="0" xfId="0" applyFont="1" applyFill="1" applyBorder="1" applyAlignment="1" applyProtection="1">
      <alignment wrapText="1"/>
      <protection locked="0"/>
    </xf>
    <xf numFmtId="37" fontId="0" fillId="0" borderId="0" xfId="0" applyNumberFormat="1" applyFont="1" applyFill="1" applyBorder="1" applyAlignment="1" applyProtection="1">
      <alignment wrapText="1"/>
      <protection locked="0"/>
    </xf>
    <xf numFmtId="38" fontId="68" fillId="0" borderId="0" xfId="0" applyNumberFormat="1" applyFont="1" applyFill="1" applyAlignment="1" applyProtection="1">
      <alignment vertical="center" wrapText="1"/>
      <protection locked="0"/>
    </xf>
    <xf numFmtId="0" fontId="0" fillId="0" borderId="10" xfId="0" applyFill="1" applyBorder="1" applyAlignment="1">
      <alignment vertical="center"/>
    </xf>
    <xf numFmtId="0" fontId="0" fillId="34" borderId="0" xfId="0" applyNumberFormat="1" applyFont="1" applyFill="1" applyBorder="1" applyAlignment="1" applyProtection="1">
      <alignment horizontal="left" vertical="center" wrapText="1"/>
    </xf>
    <xf numFmtId="0" fontId="0" fillId="34" borderId="24" xfId="0" applyNumberFormat="1" applyFont="1" applyFill="1" applyBorder="1" applyAlignment="1" applyProtection="1">
      <alignment horizontal="center" vertical="center" wrapText="1"/>
    </xf>
    <xf numFmtId="164" fontId="56" fillId="34" borderId="23" xfId="439" applyNumberFormat="1" applyFont="1" applyFill="1" applyBorder="1" applyAlignment="1" applyProtection="1">
      <alignment horizontal="center" vertical="center" wrapText="1"/>
    </xf>
    <xf numFmtId="39" fontId="56" fillId="34" borderId="28" xfId="439" applyNumberFormat="1" applyFont="1" applyFill="1" applyBorder="1" applyAlignment="1" applyProtection="1">
      <alignment horizontal="center" vertical="center" wrapText="1"/>
    </xf>
    <xf numFmtId="164" fontId="56" fillId="34" borderId="29" xfId="439" applyNumberFormat="1" applyFont="1" applyFill="1" applyBorder="1" applyAlignment="1" applyProtection="1">
      <alignment horizontal="center" vertical="center" wrapText="1"/>
    </xf>
    <xf numFmtId="0" fontId="39" fillId="34" borderId="25" xfId="0" applyNumberFormat="1" applyFont="1" applyFill="1" applyBorder="1" applyAlignment="1" applyProtection="1">
      <alignment horizontal="center" vertical="center" wrapText="1"/>
    </xf>
    <xf numFmtId="3" fontId="0" fillId="29" borderId="76" xfId="0" applyNumberFormat="1" applyFill="1" applyBorder="1" applyAlignment="1" applyProtection="1">
      <alignment horizontal="center" vertical="center"/>
      <protection locked="0"/>
    </xf>
    <xf numFmtId="3" fontId="0" fillId="34" borderId="24" xfId="0" applyNumberFormat="1" applyFont="1" applyFill="1" applyBorder="1" applyAlignment="1" applyProtection="1">
      <alignment horizontal="center" vertical="center" wrapText="1"/>
    </xf>
    <xf numFmtId="0" fontId="0" fillId="0" borderId="0" xfId="0" applyFill="1" applyAlignment="1">
      <alignment horizontal="center" vertical="center"/>
    </xf>
    <xf numFmtId="0" fontId="0" fillId="0" borderId="0" xfId="0" applyFill="1" applyAlignment="1">
      <alignment vertical="center" wrapText="1"/>
    </xf>
    <xf numFmtId="0" fontId="69" fillId="20" borderId="0" xfId="0" applyFont="1" applyFill="1" applyAlignment="1">
      <alignment vertical="center" wrapText="1"/>
    </xf>
    <xf numFmtId="0" fontId="0" fillId="36" borderId="0" xfId="0" applyNumberFormat="1" applyFont="1" applyFill="1" applyAlignment="1" applyProtection="1">
      <alignment horizontal="left" vertical="center" wrapText="1"/>
    </xf>
    <xf numFmtId="0" fontId="0" fillId="85" borderId="10" xfId="0" applyFill="1" applyBorder="1" applyAlignment="1">
      <alignment horizontal="center" vertical="center"/>
    </xf>
    <xf numFmtId="0" fontId="0" fillId="0" borderId="0" xfId="0" applyFill="1" applyAlignment="1">
      <alignment horizontal="center" vertical="center" wrapText="1"/>
    </xf>
    <xf numFmtId="0" fontId="0" fillId="0" borderId="0" xfId="0" applyFill="1" applyAlignment="1">
      <alignment horizontal="left" vertical="center" wrapText="1"/>
    </xf>
    <xf numFmtId="38" fontId="44" fillId="36" borderId="0" xfId="439" applyNumberFormat="1" applyFont="1" applyFill="1" applyAlignment="1" applyProtection="1">
      <alignment horizontal="center" vertical="center" wrapText="1"/>
    </xf>
    <xf numFmtId="0" fontId="0" fillId="0" borderId="0" xfId="0" applyNumberFormat="1" applyFont="1" applyFill="1" applyAlignment="1" applyProtection="1">
      <alignment vertical="center" wrapText="1"/>
    </xf>
    <xf numFmtId="0" fontId="57" fillId="34" borderId="25" xfId="0" applyNumberFormat="1" applyFont="1" applyFill="1" applyBorder="1" applyAlignment="1" applyProtection="1">
      <alignment horizontal="center" vertical="center"/>
    </xf>
    <xf numFmtId="4" fontId="0" fillId="0" borderId="0" xfId="0" applyNumberFormat="1" applyFill="1"/>
    <xf numFmtId="181" fontId="0" fillId="36" borderId="0" xfId="0" applyNumberFormat="1" applyFill="1"/>
    <xf numFmtId="1" fontId="0" fillId="36" borderId="0" xfId="0" applyNumberFormat="1" applyFill="1" applyAlignment="1">
      <alignment horizontal="center"/>
    </xf>
    <xf numFmtId="0" fontId="0" fillId="0" borderId="0" xfId="0" applyNumberFormat="1"/>
    <xf numFmtId="0" fontId="190" fillId="0" borderId="0" xfId="0" applyFont="1"/>
    <xf numFmtId="186" fontId="190" fillId="0" borderId="0" xfId="0" applyNumberFormat="1" applyFont="1"/>
    <xf numFmtId="0" fontId="190" fillId="0" borderId="0" xfId="0" applyFont="1" applyAlignment="1">
      <alignment horizontal="center"/>
    </xf>
    <xf numFmtId="186" fontId="190" fillId="0" borderId="0" xfId="0" applyNumberFormat="1" applyFont="1" applyAlignment="1">
      <alignment horizontal="center"/>
    </xf>
    <xf numFmtId="186" fontId="44" fillId="0" borderId="0" xfId="0" applyNumberFormat="1" applyFont="1"/>
    <xf numFmtId="3" fontId="44" fillId="0" borderId="0" xfId="439" applyNumberFormat="1" applyFont="1" applyFill="1" applyAlignment="1" applyProtection="1">
      <alignment horizontal="center" vertical="center" wrapText="1"/>
    </xf>
    <xf numFmtId="38" fontId="39" fillId="29" borderId="0" xfId="439" applyNumberFormat="1" applyFont="1" applyFill="1" applyAlignment="1" applyProtection="1">
      <alignment horizontal="center" vertical="center"/>
      <protection locked="0"/>
    </xf>
    <xf numFmtId="0" fontId="39" fillId="29" borderId="0" xfId="439" applyNumberFormat="1" applyFont="1" applyFill="1" applyAlignment="1" applyProtection="1">
      <alignment horizontal="center" vertical="center" wrapText="1"/>
      <protection locked="0"/>
    </xf>
    <xf numFmtId="187" fontId="39" fillId="29" borderId="0" xfId="439" applyNumberFormat="1" applyFont="1" applyFill="1" applyAlignment="1" applyProtection="1">
      <alignment horizontal="center" vertical="center"/>
      <protection locked="0"/>
    </xf>
    <xf numFmtId="188" fontId="0" fillId="0" borderId="0" xfId="0" applyNumberFormat="1" applyFont="1" applyFill="1" applyAlignment="1" applyProtection="1">
      <alignment vertical="center" wrapText="1"/>
    </xf>
    <xf numFmtId="189" fontId="39" fillId="29" borderId="0" xfId="439" applyNumberFormat="1" applyFont="1" applyFill="1" applyAlignment="1" applyProtection="1">
      <alignment horizontal="center" vertical="center"/>
      <protection locked="0"/>
    </xf>
    <xf numFmtId="49" fontId="0" fillId="29" borderId="0" xfId="0" applyNumberFormat="1" applyFont="1" applyFill="1" applyAlignment="1" applyProtection="1">
      <alignment horizontal="center" vertical="center"/>
      <protection locked="0"/>
    </xf>
    <xf numFmtId="14" fontId="0" fillId="29" borderId="0" xfId="439" applyNumberFormat="1" applyFont="1" applyFill="1" applyAlignment="1" applyProtection="1">
      <alignment horizontal="center" vertical="center" wrapText="1"/>
      <protection locked="0"/>
    </xf>
    <xf numFmtId="4" fontId="44" fillId="0" borderId="0" xfId="439" applyNumberFormat="1" applyFont="1" applyFill="1" applyAlignment="1" applyProtection="1">
      <alignment horizontal="center" vertical="center" wrapText="1"/>
    </xf>
    <xf numFmtId="4" fontId="39" fillId="29" borderId="0" xfId="439" applyNumberFormat="1" applyFont="1" applyFill="1" applyAlignment="1" applyProtection="1">
      <alignment horizontal="center" vertical="center"/>
      <protection locked="0"/>
    </xf>
    <xf numFmtId="38" fontId="57" fillId="29" borderId="0" xfId="439" applyNumberFormat="1" applyFont="1" applyFill="1" applyAlignment="1" applyProtection="1">
      <alignment horizontal="center" vertical="center" wrapText="1"/>
      <protection locked="0"/>
    </xf>
    <xf numFmtId="0" fontId="0" fillId="0" borderId="57" xfId="0" applyBorder="1" applyAlignment="1" applyProtection="1">
      <alignment horizontal="center" vertical="center" wrapText="1"/>
    </xf>
    <xf numFmtId="0" fontId="68" fillId="20" borderId="0" xfId="0" applyFont="1" applyFill="1" applyAlignment="1">
      <alignment vertical="center" wrapText="1"/>
    </xf>
    <xf numFmtId="0" fontId="0" fillId="0" borderId="57" xfId="0" applyBorder="1" applyAlignment="1" applyProtection="1">
      <alignment horizontal="left" vertical="center" wrapText="1"/>
      <protection locked="0"/>
    </xf>
    <xf numFmtId="0" fontId="0" fillId="0" borderId="57" xfId="0" applyFill="1" applyBorder="1" applyAlignment="1" applyProtection="1">
      <alignment horizontal="left" vertical="center" wrapText="1"/>
      <protection locked="0"/>
    </xf>
    <xf numFmtId="0" fontId="0" fillId="0" borderId="57" xfId="0" applyBorder="1" applyAlignment="1" applyProtection="1">
      <alignment horizontal="left" vertical="center"/>
      <protection locked="0"/>
    </xf>
    <xf numFmtId="0" fontId="0" fillId="0" borderId="13" xfId="0" applyBorder="1" applyProtection="1"/>
    <xf numFmtId="0" fontId="44" fillId="0" borderId="91" xfId="0" applyFont="1" applyBorder="1" applyProtection="1"/>
    <xf numFmtId="0" fontId="44" fillId="0" borderId="0" xfId="0" applyFont="1" applyProtection="1"/>
    <xf numFmtId="0" fontId="44" fillId="0" borderId="74" xfId="0" applyFont="1" applyBorder="1" applyProtection="1"/>
    <xf numFmtId="0" fontId="44" fillId="0" borderId="75" xfId="0" applyFont="1" applyBorder="1" applyProtection="1"/>
    <xf numFmtId="0" fontId="0" fillId="0" borderId="75" xfId="0" applyBorder="1" applyProtection="1"/>
    <xf numFmtId="0" fontId="0" fillId="0" borderId="40" xfId="0" applyBorder="1" applyProtection="1"/>
    <xf numFmtId="0" fontId="175" fillId="0" borderId="0" xfId="0" applyFont="1" applyAlignment="1" applyProtection="1">
      <alignment vertical="center" wrapText="1"/>
    </xf>
    <xf numFmtId="0" fontId="0" fillId="0" borderId="67" xfId="0" applyBorder="1" applyProtection="1"/>
    <xf numFmtId="0" fontId="39" fillId="78" borderId="88" xfId="0" applyFont="1" applyFill="1" applyBorder="1" applyAlignment="1" applyProtection="1">
      <alignment horizontal="left"/>
    </xf>
    <xf numFmtId="0" fontId="0" fillId="78" borderId="89" xfId="0" applyFill="1" applyBorder="1" applyProtection="1"/>
    <xf numFmtId="0" fontId="0" fillId="78" borderId="94" xfId="0" applyFill="1" applyBorder="1" applyProtection="1"/>
    <xf numFmtId="0" fontId="0" fillId="78" borderId="11" xfId="0" applyFill="1" applyBorder="1" applyAlignment="1" applyProtection="1">
      <alignment horizontal="center"/>
    </xf>
    <xf numFmtId="0" fontId="0" fillId="0" borderId="87" xfId="0" applyBorder="1" applyProtection="1"/>
    <xf numFmtId="0" fontId="160" fillId="0" borderId="68" xfId="0" applyFont="1" applyBorder="1" applyAlignment="1" applyProtection="1">
      <alignment horizontal="center" vertical="center" wrapText="1"/>
    </xf>
    <xf numFmtId="0" fontId="44" fillId="0" borderId="85" xfId="0" applyFont="1" applyBorder="1" applyAlignment="1" applyProtection="1">
      <alignment wrapText="1"/>
    </xf>
    <xf numFmtId="1" fontId="44" fillId="0" borderId="0" xfId="0" applyNumberFormat="1" applyFont="1" applyProtection="1"/>
    <xf numFmtId="0" fontId="0" fillId="0" borderId="68" xfId="0" applyBorder="1" applyProtection="1"/>
    <xf numFmtId="0" fontId="160" fillId="0" borderId="13" xfId="0" applyFont="1" applyBorder="1" applyAlignment="1" applyProtection="1">
      <alignment horizontal="center" vertical="center" wrapText="1"/>
    </xf>
    <xf numFmtId="0" fontId="44" fillId="0" borderId="83" xfId="0" applyFont="1" applyBorder="1" applyProtection="1"/>
    <xf numFmtId="0" fontId="44" fillId="0" borderId="0" xfId="0" applyFont="1" applyAlignment="1" applyProtection="1">
      <alignment horizontal="center"/>
    </xf>
    <xf numFmtId="0" fontId="39" fillId="0" borderId="68" xfId="0" quotePrefix="1" applyFont="1" applyBorder="1" applyAlignment="1" applyProtection="1">
      <alignment horizontal="center" vertical="center"/>
    </xf>
    <xf numFmtId="0" fontId="39" fillId="0" borderId="57" xfId="0" quotePrefix="1" applyFont="1" applyBorder="1" applyAlignment="1" applyProtection="1">
      <alignment horizontal="center" vertical="center"/>
    </xf>
    <xf numFmtId="0" fontId="0" fillId="78" borderId="67" xfId="0" applyFill="1" applyBorder="1" applyAlignment="1" applyProtection="1">
      <alignment horizontal="center" vertical="center" wrapText="1"/>
    </xf>
    <xf numFmtId="37" fontId="44" fillId="36" borderId="0" xfId="0" applyNumberFormat="1" applyFont="1" applyFill="1" applyProtection="1"/>
    <xf numFmtId="37" fontId="44" fillId="0" borderId="0" xfId="0" applyNumberFormat="1" applyFont="1" applyProtection="1"/>
    <xf numFmtId="0" fontId="39" fillId="0" borderId="57" xfId="0" applyFont="1" applyBorder="1" applyAlignment="1" applyProtection="1">
      <alignment horizontal="center"/>
    </xf>
    <xf numFmtId="0" fontId="49" fillId="78" borderId="57" xfId="0" applyFont="1" applyFill="1" applyBorder="1" applyAlignment="1" applyProtection="1">
      <alignment horizontal="center" wrapText="1"/>
    </xf>
    <xf numFmtId="0" fontId="37" fillId="78" borderId="68" xfId="0" applyFont="1" applyFill="1" applyBorder="1" applyAlignment="1" applyProtection="1">
      <alignment vertical="center" wrapText="1"/>
    </xf>
    <xf numFmtId="0" fontId="0" fillId="78" borderId="68" xfId="0" applyFill="1" applyBorder="1" applyAlignment="1" applyProtection="1">
      <alignment horizontal="left" vertical="center" wrapText="1"/>
    </xf>
    <xf numFmtId="0" fontId="44" fillId="0" borderId="0" xfId="0" applyFont="1" applyAlignment="1" applyProtection="1">
      <alignment horizontal="center" wrapText="1"/>
    </xf>
    <xf numFmtId="9" fontId="44" fillId="0" borderId="0" xfId="4688" applyFont="1" applyFill="1" applyBorder="1" applyProtection="1"/>
    <xf numFmtId="10" fontId="44" fillId="0" borderId="74" xfId="0" applyNumberFormat="1" applyFont="1" applyBorder="1" applyProtection="1"/>
    <xf numFmtId="0" fontId="37" fillId="78" borderId="57" xfId="0" applyFont="1" applyFill="1" applyBorder="1" applyAlignment="1" applyProtection="1">
      <alignment horizontal="justify" vertical="center" wrapText="1"/>
    </xf>
    <xf numFmtId="0" fontId="45" fillId="78" borderId="57" xfId="0" quotePrefix="1" applyFont="1" applyFill="1" applyBorder="1" applyAlignment="1" applyProtection="1">
      <alignment horizontal="center" vertical="center" wrapText="1"/>
    </xf>
    <xf numFmtId="10" fontId="0" fillId="0" borderId="0" xfId="4688" applyNumberFormat="1" applyFont="1" applyProtection="1"/>
    <xf numFmtId="10" fontId="0" fillId="24" borderId="0" xfId="4688" applyNumberFormat="1" applyFont="1" applyFill="1" applyProtection="1"/>
    <xf numFmtId="10" fontId="44" fillId="0" borderId="0" xfId="4688" applyNumberFormat="1" applyFont="1" applyProtection="1"/>
    <xf numFmtId="39" fontId="44" fillId="36" borderId="0" xfId="4688" applyNumberFormat="1" applyFont="1" applyFill="1" applyBorder="1" applyProtection="1"/>
    <xf numFmtId="0" fontId="37" fillId="78" borderId="11" xfId="0" applyFont="1" applyFill="1" applyBorder="1" applyAlignment="1" applyProtection="1">
      <alignment horizontal="justify" vertical="center" wrapText="1"/>
    </xf>
    <xf numFmtId="0" fontId="45" fillId="78" borderId="57" xfId="0" quotePrefix="1" applyFont="1" applyFill="1" applyBorder="1" applyAlignment="1" applyProtection="1">
      <alignment horizontal="left" vertical="center" wrapText="1"/>
    </xf>
    <xf numFmtId="0" fontId="45" fillId="78" borderId="57" xfId="0" applyFont="1" applyFill="1" applyBorder="1" applyAlignment="1" applyProtection="1">
      <alignment horizontal="center" vertical="center" wrapText="1"/>
    </xf>
    <xf numFmtId="6" fontId="0" fillId="0" borderId="57" xfId="0" applyNumberFormat="1" applyBorder="1" applyAlignment="1" applyProtection="1">
      <alignment horizontal="center" vertical="center" wrapText="1"/>
    </xf>
    <xf numFmtId="0" fontId="39" fillId="0" borderId="57" xfId="0" quotePrefix="1" applyFont="1" applyBorder="1" applyAlignment="1" applyProtection="1">
      <alignment horizontal="center"/>
    </xf>
    <xf numFmtId="0" fontId="173" fillId="78" borderId="11" xfId="0" applyFont="1" applyFill="1" applyBorder="1" applyAlignment="1" applyProtection="1">
      <alignment horizontal="justify" vertical="center" wrapText="1"/>
    </xf>
    <xf numFmtId="0" fontId="57" fillId="78" borderId="57" xfId="0" applyFont="1" applyFill="1" applyBorder="1" applyAlignment="1" applyProtection="1">
      <alignment horizontal="center" vertical="center" wrapText="1"/>
    </xf>
    <xf numFmtId="0" fontId="57" fillId="78" borderId="57" xfId="0" applyFont="1" applyFill="1" applyBorder="1" applyAlignment="1" applyProtection="1">
      <alignment horizontal="left" vertical="center" wrapText="1"/>
    </xf>
    <xf numFmtId="0" fontId="0" fillId="0" borderId="0" xfId="0" applyProtection="1"/>
    <xf numFmtId="2" fontId="44" fillId="24" borderId="0" xfId="4688" applyNumberFormat="1" applyFont="1" applyFill="1" applyProtection="1"/>
    <xf numFmtId="2" fontId="44" fillId="0" borderId="0" xfId="0" applyNumberFormat="1" applyFont="1" applyProtection="1"/>
    <xf numFmtId="168" fontId="44" fillId="0" borderId="0" xfId="0" applyNumberFormat="1" applyFont="1" applyProtection="1"/>
    <xf numFmtId="168" fontId="44" fillId="0" borderId="75" xfId="0" applyNumberFormat="1" applyFont="1" applyBorder="1" applyProtection="1"/>
    <xf numFmtId="168" fontId="0" fillId="0" borderId="75" xfId="0" applyNumberFormat="1" applyBorder="1" applyProtection="1"/>
    <xf numFmtId="0" fontId="39" fillId="0" borderId="41" xfId="0" applyFont="1" applyBorder="1" applyAlignment="1" applyProtection="1">
      <alignment vertical="center" wrapText="1"/>
    </xf>
    <xf numFmtId="2" fontId="0" fillId="0" borderId="41" xfId="0" applyNumberFormat="1" applyBorder="1" applyAlignment="1" applyProtection="1">
      <alignment horizontal="center"/>
    </xf>
    <xf numFmtId="2" fontId="0" fillId="0" borderId="42" xfId="0" applyNumberFormat="1" applyBorder="1" applyAlignment="1" applyProtection="1">
      <alignment horizontal="center"/>
    </xf>
    <xf numFmtId="0" fontId="0" fillId="0" borderId="68" xfId="0" applyBorder="1" applyAlignment="1" applyProtection="1">
      <alignment horizontal="center" vertical="center" wrapText="1"/>
    </xf>
    <xf numFmtId="0" fontId="39" fillId="0" borderId="38" xfId="0" applyFont="1" applyBorder="1" applyAlignment="1" applyProtection="1">
      <alignment vertical="center" wrapText="1"/>
    </xf>
    <xf numFmtId="0" fontId="39" fillId="0" borderId="67" xfId="0" applyFont="1" applyBorder="1" applyAlignment="1" applyProtection="1">
      <alignment horizontal="center"/>
    </xf>
    <xf numFmtId="0" fontId="57" fillId="78" borderId="11" xfId="0" applyFont="1" applyFill="1" applyBorder="1" applyAlignment="1" applyProtection="1">
      <alignment horizontal="center" vertical="center" wrapText="1"/>
    </xf>
    <xf numFmtId="0" fontId="39" fillId="78" borderId="11" xfId="0" applyFont="1" applyFill="1" applyBorder="1" applyAlignment="1" applyProtection="1">
      <alignment horizontal="justify" vertical="center" wrapText="1"/>
    </xf>
    <xf numFmtId="6" fontId="0" fillId="0" borderId="57" xfId="0" applyNumberFormat="1" applyBorder="1" applyAlignment="1" applyProtection="1">
      <alignment horizontal="center" vertical="center"/>
    </xf>
    <xf numFmtId="164" fontId="44" fillId="0" borderId="0" xfId="439" applyNumberFormat="1" applyFont="1" applyProtection="1"/>
    <xf numFmtId="0" fontId="39" fillId="78" borderId="11" xfId="0" applyFont="1" applyFill="1" applyBorder="1" applyAlignment="1" applyProtection="1">
      <alignment horizontal="left" vertical="center" wrapText="1"/>
    </xf>
    <xf numFmtId="10" fontId="0" fillId="0" borderId="57" xfId="4688" applyNumberFormat="1" applyFont="1" applyFill="1" applyBorder="1" applyAlignment="1" applyProtection="1">
      <alignment horizontal="center" vertical="center"/>
    </xf>
    <xf numFmtId="10" fontId="44" fillId="0" borderId="0" xfId="4688" applyNumberFormat="1" applyFont="1" applyFill="1" applyBorder="1" applyProtection="1"/>
    <xf numFmtId="0" fontId="44" fillId="0" borderId="0" xfId="0" applyFont="1" applyAlignment="1" applyProtection="1">
      <alignment wrapText="1"/>
    </xf>
    <xf numFmtId="37" fontId="0" fillId="0" borderId="57" xfId="0" applyNumberFormat="1" applyBorder="1" applyAlignment="1" applyProtection="1">
      <alignment horizontal="center" vertical="center" wrapText="1"/>
    </xf>
    <xf numFmtId="37" fontId="68" fillId="84" borderId="57" xfId="0" applyNumberFormat="1" applyFont="1" applyFill="1" applyBorder="1" applyAlignment="1" applyProtection="1">
      <alignment horizontal="center" wrapText="1"/>
    </xf>
    <xf numFmtId="10" fontId="0" fillId="0" borderId="57" xfId="0" applyNumberFormat="1" applyBorder="1" applyAlignment="1" applyProtection="1">
      <alignment horizontal="center" vertical="center" wrapText="1"/>
    </xf>
    <xf numFmtId="43" fontId="44" fillId="0" borderId="0" xfId="439" applyFont="1" applyFill="1" applyBorder="1" applyProtection="1"/>
    <xf numFmtId="43" fontId="44" fillId="36" borderId="0" xfId="439" applyFont="1" applyFill="1" applyBorder="1" applyProtection="1"/>
    <xf numFmtId="43" fontId="44" fillId="36" borderId="0" xfId="0" applyNumberFormat="1" applyFont="1" applyFill="1" applyProtection="1"/>
    <xf numFmtId="0" fontId="57" fillId="78" borderId="57" xfId="0" applyFont="1" applyFill="1" applyBorder="1" applyAlignment="1" applyProtection="1">
      <alignment horizontal="center" wrapText="1"/>
    </xf>
    <xf numFmtId="0" fontId="57" fillId="78" borderId="57" xfId="0" applyFont="1" applyFill="1" applyBorder="1" applyAlignment="1" applyProtection="1">
      <alignment horizontal="left" wrapText="1"/>
    </xf>
    <xf numFmtId="39" fontId="44" fillId="0" borderId="0" xfId="0" applyNumberFormat="1" applyFont="1" applyProtection="1"/>
    <xf numFmtId="0" fontId="39" fillId="0" borderId="11" xfId="0" applyFont="1" applyBorder="1" applyAlignment="1" applyProtection="1">
      <alignment vertical="center" wrapText="1"/>
    </xf>
    <xf numFmtId="0" fontId="0" fillId="78" borderId="57" xfId="0" applyFill="1" applyBorder="1" applyAlignment="1" applyProtection="1">
      <alignment vertical="center" wrapText="1"/>
    </xf>
    <xf numFmtId="0" fontId="45" fillId="78" borderId="57" xfId="0" applyFont="1" applyFill="1" applyBorder="1" applyAlignment="1" applyProtection="1">
      <alignment vertical="center" wrapText="1"/>
    </xf>
    <xf numFmtId="0" fontId="0" fillId="78" borderId="57" xfId="0" applyFill="1" applyBorder="1" applyAlignment="1" applyProtection="1">
      <alignment horizontal="left" vertical="center" wrapText="1"/>
    </xf>
    <xf numFmtId="2" fontId="44" fillId="0" borderId="0" xfId="439" applyNumberFormat="1" applyFont="1" applyFill="1" applyBorder="1" applyProtection="1"/>
    <xf numFmtId="6" fontId="0" fillId="0" borderId="57" xfId="545" applyNumberFormat="1" applyFont="1" applyFill="1" applyBorder="1" applyAlignment="1" applyProtection="1">
      <alignment horizontal="center" vertical="center"/>
    </xf>
    <xf numFmtId="0" fontId="45" fillId="78" borderId="13" xfId="0" applyFont="1" applyFill="1" applyBorder="1" applyAlignment="1" applyProtection="1">
      <alignment horizontal="center" vertical="center" wrapText="1"/>
    </xf>
    <xf numFmtId="167" fontId="44" fillId="0" borderId="0" xfId="545" applyNumberFormat="1" applyFont="1" applyFill="1" applyBorder="1" applyProtection="1"/>
    <xf numFmtId="0" fontId="0" fillId="0" borderId="57" xfId="0" applyBorder="1" applyProtection="1"/>
    <xf numFmtId="0" fontId="39" fillId="78" borderId="57" xfId="0" applyFont="1" applyFill="1" applyBorder="1" applyAlignment="1" applyProtection="1">
      <alignment horizontal="center" wrapText="1"/>
    </xf>
    <xf numFmtId="0" fontId="0" fillId="78" borderId="88" xfId="0" applyFill="1" applyBorder="1" applyProtection="1"/>
    <xf numFmtId="0" fontId="39" fillId="78" borderId="67" xfId="0" applyFont="1" applyFill="1" applyBorder="1" applyAlignment="1" applyProtection="1">
      <alignment horizontal="center"/>
    </xf>
    <xf numFmtId="0" fontId="40" fillId="78" borderId="13" xfId="0" applyFont="1" applyFill="1" applyBorder="1" applyAlignment="1" applyProtection="1">
      <alignment horizontal="center" vertical="center"/>
    </xf>
    <xf numFmtId="0" fontId="39" fillId="78" borderId="67" xfId="0" applyFont="1" applyFill="1" applyBorder="1" applyAlignment="1" applyProtection="1">
      <alignment horizontal="left"/>
    </xf>
    <xf numFmtId="49" fontId="39" fillId="0" borderId="57" xfId="0" quotePrefix="1" applyNumberFormat="1" applyFont="1" applyBorder="1" applyAlignment="1" applyProtection="1">
      <alignment horizontal="center" vertical="center"/>
    </xf>
    <xf numFmtId="0" fontId="37" fillId="78" borderId="57" xfId="0" applyFont="1" applyFill="1" applyBorder="1" applyAlignment="1" applyProtection="1">
      <alignment horizontal="justify" vertical="center"/>
    </xf>
    <xf numFmtId="0" fontId="0" fillId="0" borderId="57" xfId="0" quotePrefix="1" applyBorder="1" applyProtection="1"/>
    <xf numFmtId="0" fontId="39" fillId="78" borderId="78" xfId="0" applyFont="1" applyFill="1" applyBorder="1" applyAlignment="1" applyProtection="1">
      <alignment horizontal="center" wrapText="1"/>
    </xf>
    <xf numFmtId="0" fontId="0" fillId="78" borderId="57" xfId="0" applyFill="1" applyBorder="1" applyProtection="1"/>
    <xf numFmtId="0" fontId="45" fillId="78" borderId="13" xfId="0" applyFont="1" applyFill="1" applyBorder="1" applyAlignment="1" applyProtection="1">
      <alignment vertical="center"/>
    </xf>
    <xf numFmtId="0" fontId="0" fillId="78" borderId="87" xfId="0" applyFill="1" applyBorder="1" applyAlignment="1" applyProtection="1">
      <alignment horizontal="left"/>
    </xf>
    <xf numFmtId="10" fontId="178" fillId="0" borderId="57" xfId="4688" applyNumberFormat="1" applyFont="1" applyFill="1" applyBorder="1" applyAlignment="1" applyProtection="1">
      <alignment horizontal="center" vertical="center" wrapText="1"/>
    </xf>
    <xf numFmtId="10" fontId="178" fillId="0" borderId="57" xfId="0" applyNumberFormat="1" applyFont="1" applyBorder="1" applyAlignment="1" applyProtection="1">
      <alignment horizontal="center" vertical="center" wrapText="1"/>
    </xf>
    <xf numFmtId="0" fontId="39" fillId="0" borderId="57" xfId="0" applyFont="1" applyBorder="1" applyAlignment="1" applyProtection="1">
      <alignment horizontal="center" vertical="center"/>
    </xf>
    <xf numFmtId="37" fontId="178" fillId="0" borderId="57" xfId="0" applyNumberFormat="1" applyFont="1" applyBorder="1" applyAlignment="1" applyProtection="1">
      <alignment horizontal="center" vertical="center" wrapText="1"/>
    </xf>
    <xf numFmtId="0" fontId="57" fillId="0" borderId="0" xfId="0" applyFont="1" applyAlignment="1" applyProtection="1">
      <alignment wrapText="1"/>
    </xf>
    <xf numFmtId="0" fontId="0" fillId="78" borderId="57" xfId="0" applyFill="1" applyBorder="1" applyAlignment="1" applyProtection="1">
      <alignment vertical="center"/>
    </xf>
    <xf numFmtId="0" fontId="44" fillId="0" borderId="85" xfId="0" applyFont="1" applyBorder="1" applyProtection="1"/>
    <xf numFmtId="0" fontId="37" fillId="78" borderId="57" xfId="0" applyFont="1" applyFill="1" applyBorder="1" applyAlignment="1" applyProtection="1">
      <alignment vertical="center" wrapText="1"/>
    </xf>
    <xf numFmtId="0" fontId="0" fillId="1" borderId="57" xfId="0" applyFill="1" applyBorder="1" applyAlignment="1" applyProtection="1">
      <alignment horizontal="center" vertical="center" wrapText="1"/>
    </xf>
    <xf numFmtId="0" fontId="39" fillId="34" borderId="57" xfId="0" quotePrefix="1" applyFont="1" applyFill="1" applyBorder="1" applyAlignment="1" applyProtection="1">
      <alignment horizontal="center" vertical="center"/>
    </xf>
    <xf numFmtId="0" fontId="0" fillId="78" borderId="57" xfId="0" applyFill="1" applyBorder="1" applyAlignment="1" applyProtection="1">
      <alignment horizontal="center"/>
    </xf>
    <xf numFmtId="0" fontId="45" fillId="78" borderId="13" xfId="0" applyFont="1" applyFill="1" applyBorder="1" applyAlignment="1" applyProtection="1">
      <alignment vertical="center" wrapText="1"/>
    </xf>
    <xf numFmtId="0" fontId="0" fillId="0" borderId="57" xfId="0" applyBorder="1" applyAlignment="1" applyProtection="1">
      <alignment horizontal="center" vertical="center"/>
    </xf>
    <xf numFmtId="37" fontId="44" fillId="0" borderId="0" xfId="0" applyNumberFormat="1" applyFont="1" applyAlignment="1" applyProtection="1">
      <alignment horizontal="center"/>
    </xf>
    <xf numFmtId="0" fontId="39" fillId="0" borderId="84" xfId="0" applyFont="1" applyBorder="1" applyAlignment="1" applyProtection="1">
      <alignment horizontal="center" vertical="center"/>
    </xf>
    <xf numFmtId="0" fontId="0" fillId="0" borderId="79" xfId="0" applyBorder="1" applyProtection="1"/>
    <xf numFmtId="0" fontId="0" fillId="0" borderId="84" xfId="0" applyBorder="1" applyProtection="1"/>
    <xf numFmtId="0" fontId="44" fillId="0" borderId="86" xfId="0" applyFont="1" applyBorder="1" applyProtection="1"/>
    <xf numFmtId="0" fontId="0" fillId="0" borderId="86" xfId="0" applyBorder="1" applyProtection="1"/>
    <xf numFmtId="181" fontId="0" fillId="36" borderId="0" xfId="0" applyNumberFormat="1" applyFill="1" applyAlignment="1">
      <alignment wrapText="1"/>
    </xf>
    <xf numFmtId="37" fontId="0" fillId="0" borderId="57" xfId="0" applyNumberFormat="1" applyFill="1" applyBorder="1" applyAlignment="1" applyProtection="1">
      <alignment horizontal="center" vertical="center" wrapText="1"/>
    </xf>
    <xf numFmtId="37" fontId="0" fillId="0" borderId="57" xfId="0" applyNumberFormat="1" applyFill="1" applyBorder="1" applyAlignment="1" applyProtection="1">
      <alignment horizontal="center" vertical="center"/>
    </xf>
    <xf numFmtId="0" fontId="0" fillId="0" borderId="0" xfId="0" quotePrefix="1" applyFill="1" applyAlignment="1">
      <alignment horizontal="center"/>
    </xf>
    <xf numFmtId="0" fontId="135" fillId="0" borderId="0" xfId="0" applyFont="1" applyFill="1" applyAlignment="1">
      <alignment horizontal="left" vertical="center" wrapText="1"/>
    </xf>
    <xf numFmtId="0" fontId="68" fillId="0" borderId="76" xfId="0" applyFont="1" applyFill="1" applyBorder="1" applyAlignment="1">
      <alignment vertical="center" wrapText="1"/>
    </xf>
    <xf numFmtId="10" fontId="44" fillId="24" borderId="0" xfId="4688" applyNumberFormat="1" applyFont="1" applyFill="1" applyAlignment="1" applyProtection="1">
      <alignment wrapText="1"/>
    </xf>
    <xf numFmtId="10" fontId="0" fillId="0" borderId="57" xfId="4688" applyNumberFormat="1" applyFont="1" applyFill="1" applyBorder="1" applyAlignment="1" applyProtection="1">
      <alignment horizontal="center" vertical="center" wrapText="1"/>
    </xf>
    <xf numFmtId="164" fontId="44" fillId="24" borderId="0" xfId="439" applyNumberFormat="1" applyFont="1" applyFill="1" applyAlignment="1" applyProtection="1">
      <alignment wrapText="1"/>
    </xf>
    <xf numFmtId="6" fontId="0" fillId="0" borderId="57" xfId="545" applyNumberFormat="1" applyFont="1" applyFill="1" applyBorder="1" applyAlignment="1" applyProtection="1">
      <alignment horizontal="center" vertical="center" wrapText="1"/>
    </xf>
    <xf numFmtId="49" fontId="44" fillId="36" borderId="10" xfId="4688" applyNumberFormat="1" applyFont="1" applyFill="1" applyBorder="1" applyAlignment="1" applyProtection="1">
      <alignment horizontal="right"/>
    </xf>
    <xf numFmtId="3" fontId="44" fillId="36" borderId="10" xfId="4688" applyNumberFormat="1" applyFont="1" applyFill="1" applyBorder="1" applyProtection="1"/>
    <xf numFmtId="0" fontId="37" fillId="78" borderId="57" xfId="0" applyFont="1" applyFill="1" applyBorder="1" applyAlignment="1" applyProtection="1">
      <alignment horizontal="left" vertical="center" wrapText="1"/>
    </xf>
    <xf numFmtId="0" fontId="40" fillId="0" borderId="0" xfId="0" applyFont="1" applyFill="1" applyBorder="1" applyAlignment="1">
      <alignment wrapText="1"/>
    </xf>
    <xf numFmtId="0" fontId="39" fillId="34" borderId="16" xfId="0" applyFont="1" applyFill="1" applyBorder="1" applyAlignment="1" applyProtection="1">
      <alignment horizontal="justify" vertical="center" wrapText="1"/>
    </xf>
    <xf numFmtId="0" fontId="45" fillId="34" borderId="57" xfId="0" applyFont="1" applyFill="1" applyBorder="1" applyAlignment="1" applyProtection="1">
      <alignment horizontal="center" vertical="center" wrapText="1"/>
    </xf>
    <xf numFmtId="170" fontId="44" fillId="34" borderId="0" xfId="439" applyNumberFormat="1" applyFont="1" applyFill="1" applyAlignment="1" applyProtection="1">
      <alignment wrapText="1"/>
    </xf>
    <xf numFmtId="190" fontId="44" fillId="34" borderId="0" xfId="0" applyNumberFormat="1" applyFont="1" applyFill="1" applyProtection="1"/>
    <xf numFmtId="43" fontId="44" fillId="34" borderId="0" xfId="439" applyFont="1" applyFill="1" applyBorder="1" applyProtection="1"/>
    <xf numFmtId="2" fontId="0" fillId="34" borderId="57" xfId="4688" applyNumberFormat="1" applyFont="1" applyFill="1" applyBorder="1" applyAlignment="1" applyProtection="1">
      <alignment horizontal="center" vertical="center" wrapText="1"/>
    </xf>
    <xf numFmtId="2" fontId="0" fillId="34" borderId="57" xfId="0" applyNumberFormat="1" applyFill="1" applyBorder="1" applyAlignment="1" applyProtection="1">
      <alignment horizontal="center" vertical="center" wrapText="1"/>
    </xf>
    <xf numFmtId="0" fontId="0" fillId="21" borderId="77" xfId="0" applyFont="1" applyFill="1" applyBorder="1" applyAlignment="1" applyProtection="1">
      <alignment horizontal="center" vertical="center" wrapText="1"/>
    </xf>
    <xf numFmtId="0" fontId="39" fillId="21" borderId="77" xfId="0" applyFont="1" applyFill="1" applyBorder="1" applyAlignment="1" applyProtection="1">
      <alignment horizontal="center" wrapText="1"/>
    </xf>
    <xf numFmtId="164" fontId="69" fillId="21" borderId="100" xfId="439" applyNumberFormat="1" applyFont="1" applyFill="1" applyBorder="1" applyAlignment="1" applyProtection="1">
      <alignment horizontal="center" wrapText="1"/>
    </xf>
    <xf numFmtId="0" fontId="0" fillId="29" borderId="0" xfId="0" applyFont="1" applyFill="1" applyAlignment="1" applyProtection="1">
      <alignment horizontal="center" vertical="center" wrapText="1"/>
    </xf>
    <xf numFmtId="0" fontId="44" fillId="29" borderId="0" xfId="0" applyFont="1" applyFill="1" applyAlignment="1" applyProtection="1">
      <alignment horizontal="center" vertical="center" wrapText="1"/>
    </xf>
    <xf numFmtId="0" fontId="44" fillId="29" borderId="45" xfId="0" applyFont="1" applyFill="1" applyBorder="1" applyAlignment="1" applyProtection="1">
      <alignment horizontal="center" vertical="center" wrapText="1"/>
    </xf>
    <xf numFmtId="0" fontId="0" fillId="29" borderId="0" xfId="0" applyFill="1" applyAlignment="1">
      <alignment horizontal="center" vertical="center" wrapText="1"/>
    </xf>
    <xf numFmtId="0" fontId="0" fillId="29" borderId="45" xfId="0" applyFont="1" applyFill="1" applyBorder="1" applyAlignment="1" applyProtection="1">
      <alignment horizontal="center" vertical="center" wrapText="1"/>
    </xf>
    <xf numFmtId="0" fontId="0" fillId="29" borderId="36" xfId="0" applyNumberFormat="1" applyFont="1" applyFill="1" applyBorder="1" applyAlignment="1" applyProtection="1">
      <alignment horizontal="center" vertical="center" wrapText="1"/>
    </xf>
    <xf numFmtId="10" fontId="0" fillId="0" borderId="57" xfId="0" applyNumberFormat="1" applyFill="1" applyBorder="1" applyAlignment="1" applyProtection="1">
      <alignment horizontal="center" vertical="center" wrapText="1"/>
    </xf>
    <xf numFmtId="2" fontId="0" fillId="0" borderId="68" xfId="0" applyNumberFormat="1" applyFill="1" applyBorder="1" applyAlignment="1" applyProtection="1">
      <alignment horizontal="center" vertical="center"/>
    </xf>
    <xf numFmtId="5" fontId="0" fillId="0" borderId="57" xfId="0" applyNumberFormat="1" applyFill="1" applyBorder="1" applyAlignment="1" applyProtection="1">
      <alignment horizontal="center" vertical="center"/>
    </xf>
    <xf numFmtId="10" fontId="0" fillId="0" borderId="57" xfId="0" applyNumberFormat="1" applyFill="1" applyBorder="1" applyAlignment="1" applyProtection="1">
      <alignment horizontal="center" vertical="center"/>
    </xf>
    <xf numFmtId="2" fontId="0" fillId="0" borderId="57" xfId="0" applyNumberFormat="1" applyFill="1" applyBorder="1" applyAlignment="1" applyProtection="1">
      <alignment horizontal="center" vertical="center" wrapText="1"/>
    </xf>
    <xf numFmtId="6" fontId="0" fillId="0" borderId="57" xfId="0" applyNumberFormat="1" applyFill="1" applyBorder="1" applyAlignment="1" applyProtection="1">
      <alignment horizontal="center" vertical="center"/>
    </xf>
    <xf numFmtId="10" fontId="44" fillId="73" borderId="0" xfId="0" applyNumberFormat="1" applyFont="1" applyFill="1" applyAlignment="1" applyProtection="1">
      <alignment horizontal="center"/>
    </xf>
    <xf numFmtId="0" fontId="44" fillId="0" borderId="0" xfId="0" quotePrefix="1" applyFont="1" applyProtection="1"/>
    <xf numFmtId="168" fontId="44" fillId="0" borderId="104" xfId="0" applyNumberFormat="1" applyFont="1" applyBorder="1" applyProtection="1"/>
    <xf numFmtId="168" fontId="44" fillId="0" borderId="105" xfId="0" applyNumberFormat="1" applyFont="1" applyBorder="1" applyProtection="1"/>
    <xf numFmtId="0" fontId="44" fillId="0" borderId="106" xfId="0" applyFont="1" applyBorder="1" applyProtection="1"/>
    <xf numFmtId="0" fontId="44" fillId="0" borderId="79" xfId="0" applyFont="1" applyBorder="1" applyProtection="1"/>
    <xf numFmtId="0" fontId="44" fillId="29" borderId="10" xfId="0" applyFont="1" applyFill="1" applyBorder="1" applyProtection="1"/>
    <xf numFmtId="2" fontId="44" fillId="73" borderId="0" xfId="4688" applyNumberFormat="1" applyFont="1" applyFill="1" applyAlignment="1" applyProtection="1">
      <alignment wrapText="1"/>
    </xf>
    <xf numFmtId="2" fontId="44" fillId="24" borderId="0" xfId="4688" quotePrefix="1" applyNumberFormat="1" applyFont="1" applyFill="1" applyProtection="1"/>
    <xf numFmtId="0" fontId="44" fillId="73" borderId="10" xfId="0" applyFont="1" applyFill="1" applyBorder="1" applyProtection="1"/>
    <xf numFmtId="2" fontId="0" fillId="36" borderId="0" xfId="0" applyNumberFormat="1" applyFill="1"/>
    <xf numFmtId="0" fontId="0" fillId="0" borderId="57" xfId="0" applyNumberFormat="1" applyFill="1" applyBorder="1" applyAlignment="1" applyProtection="1">
      <alignment horizontal="center" vertical="center" wrapText="1"/>
    </xf>
    <xf numFmtId="0" fontId="182" fillId="34" borderId="57" xfId="0" applyFont="1" applyFill="1" applyBorder="1" applyAlignment="1">
      <alignment horizontal="left" vertical="center" wrapText="1"/>
    </xf>
    <xf numFmtId="0" fontId="39" fillId="0" borderId="57" xfId="0" quotePrefix="1" applyFont="1" applyFill="1" applyBorder="1" applyAlignment="1" applyProtection="1">
      <alignment horizontal="center" vertical="center"/>
    </xf>
    <xf numFmtId="10" fontId="39" fillId="34" borderId="57" xfId="0" applyNumberFormat="1" applyFont="1" applyFill="1" applyBorder="1" applyAlignment="1" applyProtection="1">
      <alignment horizontal="center" vertical="center" wrapText="1"/>
    </xf>
    <xf numFmtId="164" fontId="44" fillId="73" borderId="0" xfId="439" applyNumberFormat="1" applyFont="1" applyFill="1" applyAlignment="1" applyProtection="1">
      <alignment wrapText="1"/>
    </xf>
    <xf numFmtId="3" fontId="0" fillId="73" borderId="0" xfId="0" applyNumberFormat="1" applyFill="1" applyAlignment="1" applyProtection="1">
      <alignment wrapText="1"/>
    </xf>
    <xf numFmtId="10" fontId="0" fillId="73" borderId="0" xfId="4688" applyNumberFormat="1" applyFont="1" applyFill="1" applyAlignment="1" applyProtection="1">
      <alignment wrapText="1"/>
    </xf>
    <xf numFmtId="10" fontId="44" fillId="73" borderId="0" xfId="4688" applyNumberFormat="1" applyFont="1" applyFill="1" applyAlignment="1" applyProtection="1">
      <alignment wrapText="1"/>
    </xf>
    <xf numFmtId="0" fontId="0" fillId="73" borderId="0" xfId="0" applyFill="1" applyProtection="1"/>
    <xf numFmtId="0" fontId="0" fillId="34" borderId="0" xfId="0" applyFont="1" applyFill="1" applyAlignment="1" applyProtection="1">
      <alignment vertical="center" wrapText="1"/>
      <protection locked="0"/>
    </xf>
    <xf numFmtId="1" fontId="0" fillId="0" borderId="25" xfId="0" applyNumberFormat="1" applyFont="1" applyFill="1" applyBorder="1" applyAlignment="1" applyProtection="1">
      <alignment horizontal="center" vertical="center" wrapText="1"/>
    </xf>
    <xf numFmtId="169" fontId="0" fillId="34" borderId="29" xfId="439" applyNumberFormat="1" applyFont="1" applyFill="1" applyBorder="1" applyAlignment="1" applyProtection="1">
      <alignment vertical="center"/>
    </xf>
    <xf numFmtId="37" fontId="0" fillId="34" borderId="29" xfId="439" applyNumberFormat="1" applyFont="1" applyFill="1" applyBorder="1" applyAlignment="1" applyProtection="1">
      <alignment horizontal="right" vertical="center"/>
    </xf>
    <xf numFmtId="49" fontId="0" fillId="34" borderId="29" xfId="439" applyNumberFormat="1" applyFont="1" applyFill="1" applyBorder="1" applyAlignment="1" applyProtection="1">
      <alignment horizontal="right" vertical="center" wrapText="1"/>
    </xf>
    <xf numFmtId="171" fontId="0" fillId="0" borderId="0" xfId="0" applyNumberFormat="1" applyFont="1" applyFill="1" applyAlignment="1" applyProtection="1">
      <alignment vertical="center" wrapText="1"/>
    </xf>
    <xf numFmtId="0" fontId="37" fillId="34" borderId="16" xfId="0" applyFont="1" applyFill="1" applyBorder="1" applyAlignment="1" applyProtection="1">
      <alignment horizontal="justify" vertical="center" wrapText="1"/>
    </xf>
    <xf numFmtId="190" fontId="0" fillId="34" borderId="16" xfId="0" applyNumberFormat="1" applyFill="1" applyBorder="1" applyAlignment="1" applyProtection="1">
      <alignment horizontal="center" vertical="center" wrapText="1"/>
    </xf>
    <xf numFmtId="0" fontId="183" fillId="34" borderId="57" xfId="0" applyFont="1" applyFill="1" applyBorder="1" applyAlignment="1" applyProtection="1">
      <alignment vertical="center" wrapText="1"/>
    </xf>
    <xf numFmtId="0" fontId="69" fillId="36" borderId="0" xfId="0" applyFont="1" applyFill="1" applyAlignment="1" applyProtection="1">
      <alignment horizontal="center" vertical="center" wrapText="1"/>
    </xf>
    <xf numFmtId="0" fontId="41" fillId="34" borderId="25" xfId="0" applyNumberFormat="1" applyFont="1" applyFill="1" applyBorder="1" applyAlignment="1" applyProtection="1">
      <alignment horizontal="left" vertical="center" wrapText="1"/>
    </xf>
    <xf numFmtId="14" fontId="0" fillId="78" borderId="64" xfId="439" applyNumberFormat="1" applyFont="1" applyFill="1" applyBorder="1" applyAlignment="1" applyProtection="1">
      <alignment horizontal="center" vertical="center" wrapText="1"/>
    </xf>
    <xf numFmtId="0" fontId="0" fillId="1" borderId="57" xfId="0" applyFill="1" applyBorder="1" applyAlignment="1">
      <alignment horizontal="center" vertical="center" wrapText="1"/>
    </xf>
    <xf numFmtId="14" fontId="0" fillId="0" borderId="0" xfId="0" applyNumberFormat="1" applyAlignment="1">
      <alignment horizontal="center" vertical="center"/>
    </xf>
    <xf numFmtId="14" fontId="0" fillId="0" borderId="57" xfId="0" applyNumberFormat="1" applyBorder="1" applyAlignment="1" applyProtection="1">
      <alignment horizontal="center" vertical="center" wrapText="1"/>
    </xf>
    <xf numFmtId="14" fontId="44" fillId="0" borderId="0" xfId="0" applyNumberFormat="1" applyFont="1" applyProtection="1"/>
    <xf numFmtId="14" fontId="44" fillId="0" borderId="74" xfId="0" applyNumberFormat="1" applyFont="1" applyBorder="1" applyProtection="1"/>
    <xf numFmtId="0" fontId="69" fillId="86" borderId="76" xfId="0" applyFont="1" applyFill="1" applyBorder="1" applyAlignment="1">
      <alignment vertical="center" wrapText="1"/>
    </xf>
    <xf numFmtId="0" fontId="0" fillId="86" borderId="10" xfId="0" applyFill="1" applyBorder="1" applyAlignment="1">
      <alignment vertical="center" wrapText="1"/>
    </xf>
    <xf numFmtId="14" fontId="44" fillId="0" borderId="69" xfId="0" applyNumberFormat="1" applyFont="1" applyBorder="1" applyProtection="1"/>
    <xf numFmtId="14" fontId="44" fillId="34" borderId="70" xfId="0" applyNumberFormat="1" applyFont="1" applyFill="1" applyBorder="1" applyProtection="1"/>
    <xf numFmtId="14" fontId="44" fillId="34" borderId="71" xfId="0" applyNumberFormat="1" applyFont="1" applyFill="1" applyBorder="1" applyProtection="1"/>
    <xf numFmtId="0" fontId="44" fillId="0" borderId="22" xfId="0" applyFont="1" applyBorder="1" applyProtection="1"/>
    <xf numFmtId="0" fontId="44" fillId="0" borderId="0" xfId="0" applyFont="1" applyBorder="1" applyProtection="1"/>
    <xf numFmtId="0" fontId="44" fillId="0" borderId="56" xfId="0" applyFont="1" applyBorder="1" applyProtection="1"/>
    <xf numFmtId="14" fontId="44" fillId="0" borderId="0" xfId="0" applyNumberFormat="1" applyFont="1" applyBorder="1" applyProtection="1"/>
    <xf numFmtId="14" fontId="44" fillId="0" borderId="56" xfId="0" applyNumberFormat="1" applyFont="1" applyBorder="1" applyProtection="1"/>
    <xf numFmtId="0" fontId="44" fillId="0" borderId="72" xfId="0" applyFont="1" applyBorder="1" applyProtection="1"/>
    <xf numFmtId="14" fontId="44" fillId="0" borderId="17" xfId="0" applyNumberFormat="1" applyFont="1" applyBorder="1" applyProtection="1"/>
    <xf numFmtId="14" fontId="44" fillId="0" borderId="73" xfId="0" applyNumberFormat="1" applyFont="1" applyBorder="1" applyProtection="1"/>
    <xf numFmtId="38" fontId="68" fillId="20" borderId="0" xfId="0" applyNumberFormat="1" applyFont="1" applyFill="1" applyAlignment="1" applyProtection="1">
      <alignment vertical="center" wrapText="1"/>
    </xf>
    <xf numFmtId="0" fontId="0" fillId="0" borderId="77" xfId="0" applyFill="1" applyBorder="1" applyAlignment="1">
      <alignment horizontal="center" vertical="center"/>
    </xf>
    <xf numFmtId="0" fontId="0" fillId="29" borderId="77" xfId="0" applyFill="1" applyBorder="1" applyAlignment="1" applyProtection="1">
      <alignment horizontal="center" vertical="center"/>
      <protection locked="0"/>
    </xf>
    <xf numFmtId="0" fontId="68" fillId="0" borderId="69" xfId="0" applyFont="1" applyFill="1" applyBorder="1" applyAlignment="1">
      <alignment vertical="center" wrapText="1"/>
    </xf>
    <xf numFmtId="0" fontId="0" fillId="29" borderId="12" xfId="0" applyFill="1" applyBorder="1" applyAlignment="1" applyProtection="1">
      <alignment horizontal="center" vertical="center"/>
      <protection locked="0"/>
    </xf>
    <xf numFmtId="0" fontId="0" fillId="78" borderId="76" xfId="0" applyFill="1" applyBorder="1" applyAlignment="1">
      <alignment horizontal="left" vertical="center"/>
    </xf>
    <xf numFmtId="0" fontId="0" fillId="78" borderId="14" xfId="0" applyFill="1" applyBorder="1" applyAlignment="1">
      <alignment vertical="center" wrapText="1"/>
    </xf>
    <xf numFmtId="0" fontId="0" fillId="78" borderId="14" xfId="0" applyFill="1" applyBorder="1" applyAlignment="1" applyProtection="1">
      <alignment horizontal="center" vertical="center"/>
      <protection locked="0"/>
    </xf>
    <xf numFmtId="0" fontId="68" fillId="78" borderId="21" xfId="0" applyFont="1" applyFill="1" applyBorder="1" applyAlignment="1">
      <alignment vertical="center" wrapText="1"/>
    </xf>
    <xf numFmtId="0" fontId="0" fillId="0" borderId="10" xfId="0" applyFill="1" applyBorder="1" applyAlignment="1" applyProtection="1">
      <alignment vertical="center" wrapText="1"/>
      <protection locked="0"/>
    </xf>
    <xf numFmtId="0" fontId="0" fillId="0" borderId="10" xfId="0" applyFill="1" applyBorder="1" applyAlignment="1" applyProtection="1">
      <alignment wrapText="1"/>
      <protection locked="0"/>
    </xf>
    <xf numFmtId="0" fontId="0" fillId="0" borderId="10" xfId="0" applyBorder="1" applyAlignment="1" applyProtection="1">
      <alignment wrapText="1"/>
      <protection locked="0"/>
    </xf>
    <xf numFmtId="0" fontId="0" fillId="0" borderId="0" xfId="0" applyAlignment="1" applyProtection="1">
      <alignment wrapText="1"/>
      <protection locked="0"/>
    </xf>
    <xf numFmtId="168" fontId="0" fillId="0" borderId="0" xfId="0" applyNumberFormat="1" applyFont="1" applyAlignment="1" applyProtection="1">
      <alignment wrapText="1"/>
    </xf>
    <xf numFmtId="37" fontId="0" fillId="0" borderId="0" xfId="0" applyNumberFormat="1" applyFont="1" applyFill="1" applyAlignment="1" applyProtection="1">
      <alignment horizontal="center" vertical="center" wrapText="1"/>
    </xf>
    <xf numFmtId="14" fontId="0" fillId="0" borderId="0" xfId="0" applyNumberFormat="1" applyFont="1" applyAlignment="1">
      <alignment wrapText="1"/>
    </xf>
    <xf numFmtId="14" fontId="0" fillId="0" borderId="0" xfId="0" applyNumberFormat="1" applyFont="1" applyFill="1" applyAlignment="1" applyProtection="1">
      <alignment horizontal="center" vertical="center" wrapText="1"/>
    </xf>
    <xf numFmtId="0" fontId="0" fillId="0" borderId="77" xfId="0" applyFill="1" applyBorder="1" applyAlignment="1">
      <alignment vertical="center" wrapText="1"/>
    </xf>
    <xf numFmtId="0" fontId="68" fillId="0" borderId="12" xfId="0" applyFont="1" applyFill="1" applyBorder="1" applyAlignment="1">
      <alignment vertical="center" wrapText="1"/>
    </xf>
    <xf numFmtId="0" fontId="0" fillId="29" borderId="10" xfId="0" applyFill="1" applyBorder="1" applyAlignment="1" applyProtection="1">
      <alignment horizontal="left" vertical="center" wrapText="1"/>
      <protection locked="0"/>
    </xf>
    <xf numFmtId="0" fontId="0" fillId="0" borderId="10" xfId="0" applyFill="1" applyBorder="1" applyAlignment="1">
      <alignment horizontal="left" wrapText="1"/>
    </xf>
    <xf numFmtId="49" fontId="0" fillId="31" borderId="13" xfId="0" applyNumberFormat="1" applyFont="1" applyFill="1" applyBorder="1" applyAlignment="1" applyProtection="1">
      <alignment horizontal="left"/>
      <protection locked="0"/>
    </xf>
    <xf numFmtId="14" fontId="0" fillId="31" borderId="13" xfId="0" applyNumberFormat="1" applyFont="1" applyFill="1" applyBorder="1" applyAlignment="1" applyProtection="1">
      <alignment horizontal="left"/>
      <protection locked="0"/>
    </xf>
    <xf numFmtId="184" fontId="0" fillId="31" borderId="13" xfId="0" applyNumberFormat="1" applyFont="1" applyFill="1" applyBorder="1" applyAlignment="1" applyProtection="1">
      <alignment horizontal="left"/>
      <protection locked="0"/>
    </xf>
    <xf numFmtId="49" fontId="35" fillId="31" borderId="13" xfId="611" applyNumberFormat="1" applyFill="1" applyBorder="1" applyAlignment="1" applyProtection="1">
      <alignment horizontal="left"/>
      <protection locked="0"/>
    </xf>
    <xf numFmtId="4" fontId="0" fillId="32" borderId="0" xfId="0" applyNumberFormat="1" applyFill="1"/>
    <xf numFmtId="4" fontId="0" fillId="82" borderId="0" xfId="0" applyNumberFormat="1" applyFill="1"/>
    <xf numFmtId="4" fontId="0" fillId="20" borderId="0" xfId="0" applyNumberFormat="1" applyFill="1"/>
    <xf numFmtId="4" fontId="0" fillId="36" borderId="0" xfId="0" applyNumberFormat="1" applyFill="1"/>
    <xf numFmtId="14" fontId="0" fillId="0" borderId="0" xfId="0" applyNumberFormat="1" applyFill="1"/>
    <xf numFmtId="14" fontId="0" fillId="0" borderId="0" xfId="0" applyNumberFormat="1"/>
    <xf numFmtId="14" fontId="0" fillId="0" borderId="0" xfId="0" applyNumberFormat="1" applyFont="1" applyFill="1" applyAlignment="1" applyProtection="1">
      <alignment wrapText="1"/>
    </xf>
    <xf numFmtId="0" fontId="0" fillId="0" borderId="12" xfId="0" applyFill="1" applyBorder="1" applyAlignment="1">
      <alignment horizontal="center" vertical="center"/>
    </xf>
    <xf numFmtId="0" fontId="0" fillId="0" borderId="12" xfId="0" applyFill="1" applyBorder="1" applyAlignment="1">
      <alignment vertical="center" wrapText="1"/>
    </xf>
    <xf numFmtId="1" fontId="44" fillId="0" borderId="0" xfId="0" applyNumberFormat="1" applyFont="1"/>
    <xf numFmtId="0" fontId="195" fillId="0" borderId="0" xfId="0" applyFont="1"/>
    <xf numFmtId="0" fontId="0" fillId="87" borderId="0" xfId="0" applyFill="1" applyAlignment="1">
      <alignment wrapText="1"/>
    </xf>
    <xf numFmtId="0" fontId="0" fillId="79" borderId="0" xfId="0" applyFill="1" applyAlignment="1">
      <alignment horizontal="center"/>
    </xf>
    <xf numFmtId="0" fontId="0" fillId="79" borderId="0" xfId="0" applyFill="1"/>
    <xf numFmtId="39" fontId="0" fillId="0" borderId="0" xfId="0" applyNumberFormat="1"/>
    <xf numFmtId="43" fontId="0" fillId="0" borderId="0" xfId="0" applyNumberFormat="1"/>
    <xf numFmtId="3" fontId="0" fillId="24" borderId="0" xfId="0" applyNumberFormat="1" applyFill="1" applyAlignment="1" applyProtection="1">
      <alignment wrapText="1"/>
    </xf>
    <xf numFmtId="43" fontId="0" fillId="0" borderId="0" xfId="0" applyNumberFormat="1" applyFill="1"/>
    <xf numFmtId="0" fontId="45" fillId="0" borderId="13" xfId="0" applyFont="1" applyFill="1" applyBorder="1" applyAlignment="1" applyProtection="1">
      <alignment horizontal="center" vertical="center" wrapText="1"/>
    </xf>
    <xf numFmtId="0" fontId="40" fillId="78" borderId="57" xfId="0" applyFont="1" applyFill="1" applyBorder="1" applyAlignment="1" applyProtection="1">
      <alignment vertical="center" wrapText="1"/>
    </xf>
    <xf numFmtId="39" fontId="0" fillId="36" borderId="0" xfId="0" applyNumberFormat="1" applyFill="1"/>
    <xf numFmtId="4" fontId="0" fillId="86" borderId="0" xfId="0" applyNumberFormat="1" applyFill="1"/>
    <xf numFmtId="0" fontId="0" fillId="86" borderId="0" xfId="0" applyFill="1"/>
    <xf numFmtId="0" fontId="0" fillId="86" borderId="0" xfId="0" applyFill="1" applyAlignment="1">
      <alignment horizontal="center"/>
    </xf>
    <xf numFmtId="40" fontId="58" fillId="0" borderId="0" xfId="31254" applyNumberFormat="1" applyFont="1" applyFill="1" applyAlignment="1" applyProtection="1">
      <alignment horizontal="center" vertical="center"/>
    </xf>
    <xf numFmtId="0" fontId="44" fillId="0" borderId="105" xfId="0" applyFont="1" applyBorder="1" applyProtection="1"/>
    <xf numFmtId="0" fontId="44" fillId="29" borderId="57" xfId="0" applyFont="1" applyFill="1" applyBorder="1" applyProtection="1"/>
    <xf numFmtId="0" fontId="44" fillId="0" borderId="104" xfId="0" applyFont="1" applyBorder="1" applyProtection="1"/>
    <xf numFmtId="0" fontId="44" fillId="73" borderId="57" xfId="0" applyFont="1" applyFill="1" applyBorder="1" applyProtection="1"/>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39" fillId="0" borderId="13" xfId="0" applyFont="1" applyBorder="1" applyAlignment="1">
      <alignment horizontal="center"/>
    </xf>
    <xf numFmtId="0" fontId="39" fillId="0" borderId="16" xfId="0" applyFont="1" applyBorder="1" applyAlignment="1">
      <alignment horizontal="center"/>
    </xf>
    <xf numFmtId="0" fontId="39" fillId="0" borderId="11" xfId="0" applyFont="1" applyBorder="1" applyAlignment="1">
      <alignment horizontal="center"/>
    </xf>
    <xf numFmtId="0" fontId="57" fillId="74" borderId="80" xfId="0" applyFont="1" applyFill="1" applyBorder="1" applyAlignment="1">
      <alignment horizontal="left" vertical="center" wrapText="1"/>
    </xf>
    <xf numFmtId="0" fontId="193" fillId="34" borderId="13" xfId="0" applyFont="1" applyFill="1" applyBorder="1" applyAlignment="1">
      <alignment horizontal="center" vertical="center" wrapText="1"/>
    </xf>
    <xf numFmtId="0" fontId="193" fillId="34" borderId="16" xfId="0" applyFont="1" applyFill="1" applyBorder="1" applyAlignment="1">
      <alignment horizontal="center" vertical="center" wrapText="1"/>
    </xf>
    <xf numFmtId="0" fontId="193" fillId="34" borderId="11" xfId="0" applyFont="1" applyFill="1" applyBorder="1" applyAlignment="1">
      <alignment horizontal="center" vertical="center" wrapText="1"/>
    </xf>
    <xf numFmtId="0" fontId="0" fillId="0" borderId="38" xfId="0" applyFont="1" applyBorder="1" applyAlignment="1">
      <alignment horizontal="left" wrapText="1"/>
    </xf>
    <xf numFmtId="0" fontId="0" fillId="36" borderId="13" xfId="0" applyFill="1" applyBorder="1" applyAlignment="1">
      <alignment horizontal="left" wrapText="1"/>
    </xf>
    <xf numFmtId="0" fontId="0" fillId="36" borderId="16" xfId="0" applyFill="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69" fillId="34" borderId="67" xfId="0" applyFont="1" applyFill="1" applyBorder="1" applyAlignment="1">
      <alignment horizontal="center" wrapText="1"/>
    </xf>
    <xf numFmtId="0" fontId="69" fillId="34" borderId="87" xfId="0" applyFont="1" applyFill="1" applyBorder="1" applyAlignment="1">
      <alignment horizontal="center" wrapText="1"/>
    </xf>
    <xf numFmtId="0" fontId="40" fillId="26" borderId="13" xfId="0" applyFont="1" applyFill="1" applyBorder="1" applyAlignment="1">
      <alignment horizontal="center" vertical="top" wrapText="1"/>
    </xf>
    <xf numFmtId="0" fontId="40" fillId="26" borderId="16" xfId="0" applyFont="1" applyFill="1" applyBorder="1" applyAlignment="1">
      <alignment horizontal="center" vertical="top" wrapText="1"/>
    </xf>
    <xf numFmtId="0" fontId="40" fillId="26" borderId="11" xfId="0" applyFont="1" applyFill="1" applyBorder="1" applyAlignment="1">
      <alignment horizontal="center" vertical="top" wrapText="1"/>
    </xf>
    <xf numFmtId="0" fontId="177" fillId="85" borderId="13" xfId="0" applyFont="1" applyFill="1" applyBorder="1" applyAlignment="1">
      <alignment horizontal="center" vertical="center"/>
    </xf>
    <xf numFmtId="0" fontId="177" fillId="85" borderId="16" xfId="0" applyFont="1" applyFill="1" applyBorder="1" applyAlignment="1">
      <alignment horizontal="center" vertical="center"/>
    </xf>
    <xf numFmtId="0" fontId="177" fillId="85" borderId="11" xfId="0" applyFont="1" applyFill="1" applyBorder="1" applyAlignment="1">
      <alignment horizontal="center" vertical="center"/>
    </xf>
    <xf numFmtId="0" fontId="51" fillId="26" borderId="13" xfId="0" applyFont="1" applyFill="1" applyBorder="1" applyAlignment="1">
      <alignment horizontal="center" vertical="center"/>
    </xf>
    <xf numFmtId="0" fontId="51" fillId="26" borderId="16" xfId="0" applyFont="1" applyFill="1" applyBorder="1" applyAlignment="1">
      <alignment horizontal="center" vertical="center"/>
    </xf>
    <xf numFmtId="0" fontId="51" fillId="26" borderId="11" xfId="0" applyFont="1" applyFill="1" applyBorder="1" applyAlignment="1">
      <alignment horizontal="center" vertical="center"/>
    </xf>
    <xf numFmtId="0" fontId="193" fillId="34" borderId="13" xfId="0" applyFont="1" applyFill="1" applyBorder="1" applyAlignment="1">
      <alignment horizontal="center" wrapText="1"/>
    </xf>
    <xf numFmtId="0" fontId="193" fillId="34" borderId="16" xfId="0" applyFont="1" applyFill="1" applyBorder="1" applyAlignment="1">
      <alignment horizontal="center" wrapText="1"/>
    </xf>
    <xf numFmtId="0" fontId="193" fillId="34" borderId="11" xfId="0" applyFont="1" applyFill="1" applyBorder="1" applyAlignment="1">
      <alignment horizontal="center" wrapText="1"/>
    </xf>
    <xf numFmtId="0" fontId="57" fillId="78" borderId="16" xfId="0" applyFont="1" applyFill="1" applyBorder="1" applyAlignment="1" applyProtection="1">
      <alignment horizontal="justify" vertical="center" wrapText="1"/>
    </xf>
    <xf numFmtId="0" fontId="57" fillId="78" borderId="11" xfId="0" applyFont="1" applyFill="1" applyBorder="1" applyAlignment="1" applyProtection="1">
      <alignment horizontal="justify" vertical="center" wrapText="1"/>
    </xf>
    <xf numFmtId="0" fontId="39" fillId="0" borderId="13" xfId="0" applyFont="1" applyBorder="1" applyAlignment="1" applyProtection="1">
      <alignment horizontal="left" wrapText="1"/>
    </xf>
    <xf numFmtId="0" fontId="39" fillId="0" borderId="16" xfId="0" applyFont="1" applyBorder="1" applyAlignment="1" applyProtection="1">
      <alignment horizontal="left" wrapText="1"/>
    </xf>
    <xf numFmtId="0" fontId="39" fillId="0" borderId="11" xfId="0" applyFont="1" applyBorder="1" applyAlignment="1" applyProtection="1">
      <alignment horizontal="left" wrapText="1"/>
    </xf>
    <xf numFmtId="0" fontId="39" fillId="0" borderId="13" xfId="0" applyFont="1" applyBorder="1" applyAlignment="1" applyProtection="1">
      <alignment horizontal="left" vertical="center" wrapText="1"/>
    </xf>
    <xf numFmtId="0" fontId="39" fillId="0" borderId="16" xfId="0" applyFont="1" applyBorder="1" applyAlignment="1" applyProtection="1">
      <alignment horizontal="left" vertical="center" wrapText="1"/>
    </xf>
    <xf numFmtId="0" fontId="39" fillId="0" borderId="11" xfId="0" applyFont="1" applyBorder="1" applyAlignment="1" applyProtection="1">
      <alignment horizontal="left" vertical="center" wrapText="1"/>
    </xf>
    <xf numFmtId="0" fontId="57" fillId="34" borderId="11" xfId="0" applyFont="1" applyFill="1" applyBorder="1" applyAlignment="1" applyProtection="1">
      <alignment horizontal="left" vertical="center" wrapText="1"/>
    </xf>
    <xf numFmtId="0" fontId="57" fillId="34" borderId="57" xfId="0" applyFont="1" applyFill="1" applyBorder="1" applyAlignment="1" applyProtection="1">
      <alignment horizontal="left" vertical="center" wrapText="1"/>
    </xf>
    <xf numFmtId="0" fontId="39" fillId="78" borderId="16" xfId="0" applyFont="1" applyFill="1" applyBorder="1" applyAlignment="1" applyProtection="1">
      <alignment horizontal="center" wrapText="1"/>
    </xf>
    <xf numFmtId="0" fontId="39" fillId="78" borderId="11" xfId="0" applyFont="1" applyFill="1" applyBorder="1" applyAlignment="1" applyProtection="1">
      <alignment horizontal="center" wrapText="1"/>
    </xf>
    <xf numFmtId="0" fontId="57" fillId="78" borderId="57" xfId="0" applyFont="1" applyFill="1" applyBorder="1" applyAlignment="1" applyProtection="1">
      <alignment horizontal="justify" vertical="center" wrapText="1"/>
    </xf>
    <xf numFmtId="0" fontId="0" fillId="78" borderId="16" xfId="0" applyFill="1" applyBorder="1" applyAlignment="1" applyProtection="1">
      <alignment horizontal="center"/>
    </xf>
    <xf numFmtId="0" fontId="0" fillId="78" borderId="11" xfId="0" applyFill="1" applyBorder="1" applyAlignment="1" applyProtection="1">
      <alignment horizontal="center"/>
    </xf>
    <xf numFmtId="0" fontId="57" fillId="78" borderId="13" xfId="0" applyFont="1" applyFill="1" applyBorder="1" applyAlignment="1" applyProtection="1">
      <alignment horizontal="left" vertical="center" wrapText="1"/>
    </xf>
    <xf numFmtId="0" fontId="57" fillId="78" borderId="16" xfId="0" applyFont="1" applyFill="1" applyBorder="1" applyAlignment="1" applyProtection="1">
      <alignment horizontal="left" vertical="center" wrapText="1"/>
    </xf>
    <xf numFmtId="0" fontId="57" fillId="78" borderId="11" xfId="0" applyFont="1" applyFill="1" applyBorder="1" applyAlignment="1" applyProtection="1">
      <alignment horizontal="left" vertical="center" wrapText="1"/>
    </xf>
    <xf numFmtId="0" fontId="57" fillId="78" borderId="16" xfId="0" applyFont="1" applyFill="1" applyBorder="1" applyAlignment="1" applyProtection="1">
      <alignment horizontal="left" wrapText="1"/>
    </xf>
    <xf numFmtId="0" fontId="57" fillId="78" borderId="90" xfId="0" applyFont="1" applyFill="1" applyBorder="1" applyAlignment="1" applyProtection="1">
      <alignment horizontal="left" wrapText="1"/>
    </xf>
    <xf numFmtId="0" fontId="39" fillId="78" borderId="16" xfId="0" applyFont="1" applyFill="1" applyBorder="1" applyAlignment="1" applyProtection="1">
      <alignment horizontal="justify" vertical="center" wrapText="1"/>
    </xf>
    <xf numFmtId="0" fontId="39" fillId="78" borderId="11" xfId="0" applyFont="1" applyFill="1" applyBorder="1" applyAlignment="1" applyProtection="1">
      <alignment horizontal="justify" vertical="center" wrapText="1"/>
    </xf>
    <xf numFmtId="0" fontId="57" fillId="0" borderId="38" xfId="0" applyFont="1" applyBorder="1" applyAlignment="1" applyProtection="1">
      <alignment horizontal="center" wrapText="1"/>
    </xf>
    <xf numFmtId="0" fontId="57" fillId="0" borderId="39" xfId="0" applyFont="1" applyBorder="1" applyAlignment="1" applyProtection="1">
      <alignment horizontal="center" wrapText="1"/>
    </xf>
    <xf numFmtId="0" fontId="57" fillId="0" borderId="0" xfId="0" applyFont="1" applyAlignment="1" applyProtection="1">
      <alignment horizontal="center" wrapText="1"/>
    </xf>
    <xf numFmtId="0" fontId="57" fillId="0" borderId="60" xfId="0" applyFont="1" applyBorder="1" applyAlignment="1" applyProtection="1">
      <alignment horizontal="center" wrapText="1"/>
    </xf>
    <xf numFmtId="0" fontId="57" fillId="78" borderId="11" xfId="0" applyFont="1" applyFill="1" applyBorder="1" applyAlignment="1" applyProtection="1">
      <alignment horizontal="left" wrapText="1"/>
    </xf>
    <xf numFmtId="0" fontId="57" fillId="78" borderId="57" xfId="0" applyFont="1" applyFill="1" applyBorder="1" applyAlignment="1" applyProtection="1">
      <alignment horizontal="left" wrapText="1"/>
    </xf>
    <xf numFmtId="0" fontId="159" fillId="0" borderId="40" xfId="0" applyFont="1" applyBorder="1" applyAlignment="1" applyProtection="1">
      <alignment horizontal="center" vertical="center"/>
    </xf>
    <xf numFmtId="0" fontId="159" fillId="0" borderId="41" xfId="0" applyFont="1" applyBorder="1" applyAlignment="1" applyProtection="1">
      <alignment horizontal="center" vertical="center"/>
    </xf>
    <xf numFmtId="0" fontId="159" fillId="0" borderId="16" xfId="0" applyFont="1" applyBorder="1" applyAlignment="1" applyProtection="1">
      <alignment horizontal="center" vertical="center"/>
    </xf>
    <xf numFmtId="0" fontId="159" fillId="0" borderId="11" xfId="0" applyFont="1" applyBorder="1" applyAlignment="1" applyProtection="1">
      <alignment horizontal="center" vertical="center"/>
    </xf>
    <xf numFmtId="0" fontId="57" fillId="34" borderId="13" xfId="0" applyFont="1" applyFill="1" applyBorder="1" applyAlignment="1" applyProtection="1">
      <alignment horizontal="justify" vertical="center" wrapText="1"/>
    </xf>
    <xf numFmtId="0" fontId="57" fillId="34" borderId="16" xfId="0" applyFont="1" applyFill="1" applyBorder="1" applyAlignment="1" applyProtection="1">
      <alignment horizontal="justify" vertical="center" wrapText="1"/>
    </xf>
    <xf numFmtId="0" fontId="57" fillId="34" borderId="11" xfId="0" applyFont="1" applyFill="1" applyBorder="1" applyAlignment="1" applyProtection="1">
      <alignment horizontal="justify" vertical="center" wrapText="1"/>
    </xf>
    <xf numFmtId="0" fontId="48" fillId="0" borderId="95" xfId="0" applyFont="1" applyBorder="1" applyAlignment="1" applyProtection="1">
      <alignment horizontal="center" vertical="center" wrapText="1"/>
    </xf>
    <xf numFmtId="0" fontId="48" fillId="0" borderId="96" xfId="0" applyFont="1" applyBorder="1" applyAlignment="1" applyProtection="1">
      <alignment horizontal="center" vertical="center" wrapText="1"/>
    </xf>
    <xf numFmtId="0" fontId="48" fillId="0" borderId="92" xfId="0" applyFont="1" applyBorder="1" applyAlignment="1" applyProtection="1">
      <alignment horizontal="center" vertical="center" wrapText="1"/>
    </xf>
    <xf numFmtId="0" fontId="39" fillId="0" borderId="15" xfId="0" applyFont="1" applyBorder="1" applyAlignment="1" applyProtection="1">
      <alignment horizontal="center" vertical="center"/>
    </xf>
    <xf numFmtId="0" fontId="39" fillId="0" borderId="60" xfId="0" applyFont="1" applyBorder="1" applyAlignment="1" applyProtection="1">
      <alignment horizontal="center" vertical="center"/>
    </xf>
    <xf numFmtId="0" fontId="39" fillId="0" borderId="40" xfId="0" applyFont="1" applyBorder="1" applyAlignment="1" applyProtection="1">
      <alignment horizontal="center" vertical="center"/>
    </xf>
    <xf numFmtId="0" fontId="39" fillId="0" borderId="42" xfId="0" applyFont="1" applyBorder="1" applyAlignment="1" applyProtection="1">
      <alignment horizontal="center" vertical="center"/>
    </xf>
    <xf numFmtId="0" fontId="39" fillId="0" borderId="87" xfId="0" applyFont="1" applyBorder="1" applyAlignment="1" applyProtection="1">
      <alignment horizontal="center" wrapText="1"/>
    </xf>
    <xf numFmtId="0" fontId="39" fillId="0" borderId="68" xfId="0" applyFont="1" applyBorder="1" applyAlignment="1" applyProtection="1">
      <alignment horizontal="center"/>
    </xf>
    <xf numFmtId="0" fontId="48" fillId="0" borderId="97" xfId="0" applyFont="1" applyBorder="1" applyAlignment="1" applyProtection="1">
      <alignment horizontal="center" vertical="center"/>
    </xf>
    <xf numFmtId="0" fontId="48" fillId="0" borderId="98" xfId="0" applyFont="1" applyBorder="1" applyAlignment="1" applyProtection="1">
      <alignment horizontal="center" vertical="center"/>
    </xf>
    <xf numFmtId="0" fontId="48" fillId="0" borderId="99" xfId="0" applyFont="1" applyBorder="1" applyAlignment="1" applyProtection="1">
      <alignment horizontal="center" vertical="center"/>
    </xf>
    <xf numFmtId="0" fontId="128" fillId="73" borderId="67" xfId="0" applyFont="1" applyFill="1" applyBorder="1" applyAlignment="1" applyProtection="1">
      <alignment horizontal="center" vertical="center" wrapText="1"/>
    </xf>
    <xf numFmtId="0" fontId="128" fillId="73" borderId="87" xfId="0" applyFont="1" applyFill="1" applyBorder="1" applyAlignment="1" applyProtection="1">
      <alignment horizontal="center" vertical="center" wrapText="1"/>
    </xf>
    <xf numFmtId="0" fontId="128" fillId="73" borderId="68" xfId="0" applyFont="1" applyFill="1" applyBorder="1" applyAlignment="1" applyProtection="1">
      <alignment horizontal="center" vertical="center" wrapText="1"/>
    </xf>
    <xf numFmtId="0" fontId="57" fillId="78" borderId="67" xfId="0" applyFont="1" applyFill="1" applyBorder="1" applyAlignment="1" applyProtection="1">
      <alignment horizontal="center" vertical="center" wrapText="1"/>
    </xf>
    <xf numFmtId="0" fontId="57" fillId="78" borderId="87" xfId="0" applyFont="1" applyFill="1" applyBorder="1" applyAlignment="1" applyProtection="1">
      <alignment horizontal="center" vertical="center" wrapText="1"/>
    </xf>
    <xf numFmtId="0" fontId="57" fillId="78" borderId="68" xfId="0" applyFont="1" applyFill="1" applyBorder="1" applyAlignment="1" applyProtection="1">
      <alignment horizontal="center" vertical="center" wrapText="1"/>
    </xf>
    <xf numFmtId="0" fontId="40" fillId="0" borderId="38" xfId="682" applyFont="1" applyBorder="1" applyAlignment="1" applyProtection="1">
      <alignment horizontal="justify" vertical="justify" wrapText="1"/>
    </xf>
    <xf numFmtId="0" fontId="40" fillId="0" borderId="39" xfId="682" applyFont="1" applyBorder="1" applyAlignment="1" applyProtection="1">
      <alignment horizontal="justify" vertical="justify" wrapText="1"/>
    </xf>
    <xf numFmtId="0" fontId="40" fillId="0" borderId="41" xfId="682" applyFont="1" applyBorder="1" applyAlignment="1" applyProtection="1">
      <alignment horizontal="justify" vertical="justify" wrapText="1"/>
    </xf>
    <xf numFmtId="0" fontId="40" fillId="0" borderId="42" xfId="682" applyFont="1" applyBorder="1" applyAlignment="1" applyProtection="1">
      <alignment horizontal="justify" vertical="justify" wrapText="1"/>
    </xf>
    <xf numFmtId="0" fontId="0" fillId="0" borderId="67"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37" fillId="78" borderId="67" xfId="0" applyFont="1" applyFill="1" applyBorder="1" applyAlignment="1" applyProtection="1">
      <alignment horizontal="justify" vertical="center" wrapText="1"/>
    </xf>
    <xf numFmtId="0" fontId="37" fillId="78" borderId="68" xfId="0" applyFont="1" applyFill="1" applyBorder="1" applyAlignment="1" applyProtection="1">
      <alignment horizontal="justify" vertical="center" wrapText="1"/>
    </xf>
    <xf numFmtId="0" fontId="57" fillId="34" borderId="16" xfId="0" applyFont="1" applyFill="1" applyBorder="1" applyAlignment="1" applyProtection="1">
      <alignment horizontal="left" vertical="center" wrapText="1"/>
    </xf>
    <xf numFmtId="0" fontId="39" fillId="78" borderId="57" xfId="0" applyFont="1" applyFill="1" applyBorder="1" applyAlignment="1" applyProtection="1">
      <alignment horizontal="justify" vertical="center" wrapText="1"/>
    </xf>
    <xf numFmtId="0" fontId="39" fillId="0" borderId="16" xfId="0" applyFont="1" applyBorder="1" applyAlignment="1" applyProtection="1">
      <alignment horizontal="center" wrapText="1"/>
    </xf>
    <xf numFmtId="0" fontId="39" fillId="0" borderId="11" xfId="0" applyFont="1" applyBorder="1" applyAlignment="1" applyProtection="1">
      <alignment horizontal="center" wrapText="1"/>
    </xf>
    <xf numFmtId="0" fontId="57" fillId="0" borderId="11" xfId="0" applyFont="1" applyFill="1" applyBorder="1" applyAlignment="1" applyProtection="1">
      <alignment horizontal="justify" vertical="center" wrapText="1"/>
    </xf>
    <xf numFmtId="0" fontId="57" fillId="0" borderId="57" xfId="0" applyFont="1" applyFill="1" applyBorder="1" applyAlignment="1" applyProtection="1">
      <alignment horizontal="justify" vertical="center" wrapText="1"/>
    </xf>
    <xf numFmtId="0" fontId="39" fillId="0" borderId="0" xfId="682" applyFont="1" applyAlignment="1">
      <alignment horizontal="justify" vertical="justify" wrapText="1"/>
    </xf>
    <xf numFmtId="0" fontId="57" fillId="27" borderId="0" xfId="682" applyFont="1" applyFill="1" applyAlignment="1">
      <alignment horizontal="center" vertical="center" wrapText="1"/>
    </xf>
    <xf numFmtId="0" fontId="44" fillId="0" borderId="37" xfId="26000" applyFont="1" applyBorder="1" applyAlignment="1" applyProtection="1">
      <alignment horizontal="left" vertical="top" wrapText="1"/>
      <protection locked="0"/>
    </xf>
    <xf numFmtId="0" fontId="44" fillId="0" borderId="38" xfId="26000" applyFont="1" applyBorder="1" applyAlignment="1" applyProtection="1">
      <alignment horizontal="left" vertical="top" wrapText="1"/>
      <protection locked="0"/>
    </xf>
    <xf numFmtId="0" fontId="44" fillId="0" borderId="39" xfId="26000" applyFont="1" applyBorder="1" applyAlignment="1" applyProtection="1">
      <alignment horizontal="left" vertical="top" wrapText="1"/>
      <protection locked="0"/>
    </xf>
    <xf numFmtId="0" fontId="44" fillId="0" borderId="15" xfId="26000" applyFont="1" applyBorder="1" applyAlignment="1" applyProtection="1">
      <alignment horizontal="left" vertical="top" wrapText="1"/>
      <protection locked="0"/>
    </xf>
    <xf numFmtId="0" fontId="44" fillId="0" borderId="0" xfId="26000" applyFont="1" applyAlignment="1" applyProtection="1">
      <alignment horizontal="left" vertical="top" wrapText="1"/>
      <protection locked="0"/>
    </xf>
    <xf numFmtId="0" fontId="44" fillId="0" borderId="60" xfId="26000" applyFont="1" applyBorder="1" applyAlignment="1" applyProtection="1">
      <alignment horizontal="left" vertical="top" wrapText="1"/>
      <protection locked="0"/>
    </xf>
    <xf numFmtId="0" fontId="44" fillId="0" borderId="40" xfId="26000" applyFont="1" applyBorder="1" applyAlignment="1" applyProtection="1">
      <alignment horizontal="left" vertical="top" wrapText="1"/>
      <protection locked="0"/>
    </xf>
    <xf numFmtId="0" fontId="44" fillId="0" borderId="41" xfId="26000" applyFont="1" applyBorder="1" applyAlignment="1" applyProtection="1">
      <alignment horizontal="left" vertical="top" wrapText="1"/>
      <protection locked="0"/>
    </xf>
    <xf numFmtId="0" fontId="44" fillId="0" borderId="42" xfId="26000" applyFont="1" applyBorder="1" applyAlignment="1" applyProtection="1">
      <alignment horizontal="left" vertical="top" wrapText="1"/>
      <protection locked="0"/>
    </xf>
    <xf numFmtId="0" fontId="57" fillId="0" borderId="0" xfId="26000" applyFont="1" applyAlignment="1">
      <alignment horizontal="center" vertical="top"/>
    </xf>
    <xf numFmtId="0" fontId="57" fillId="0" borderId="0" xfId="26000" applyFont="1" applyAlignment="1">
      <alignment horizontal="center" vertical="top" wrapText="1"/>
    </xf>
    <xf numFmtId="0" fontId="130" fillId="0" borderId="69" xfId="26000" applyFont="1" applyBorder="1" applyAlignment="1">
      <alignment horizontal="left" vertical="top" wrapText="1"/>
    </xf>
    <xf numFmtId="0" fontId="130" fillId="0" borderId="70" xfId="26000" applyFont="1" applyBorder="1" applyAlignment="1">
      <alignment horizontal="left" vertical="top" wrapText="1"/>
    </xf>
    <xf numFmtId="0" fontId="130" fillId="0" borderId="71" xfId="26000" applyFont="1" applyBorder="1" applyAlignment="1">
      <alignment horizontal="left" vertical="top" wrapText="1"/>
    </xf>
    <xf numFmtId="0" fontId="130" fillId="0" borderId="22" xfId="26000" applyFont="1" applyBorder="1" applyAlignment="1">
      <alignment horizontal="left" vertical="top" wrapText="1"/>
    </xf>
    <xf numFmtId="0" fontId="130" fillId="0" borderId="0" xfId="26000" applyFont="1" applyBorder="1" applyAlignment="1">
      <alignment horizontal="left" vertical="top" wrapText="1"/>
    </xf>
    <xf numFmtId="0" fontId="130" fillId="0" borderId="56" xfId="26000" applyFont="1" applyBorder="1" applyAlignment="1">
      <alignment horizontal="left" vertical="top" wrapText="1"/>
    </xf>
    <xf numFmtId="0" fontId="130" fillId="0" borderId="72" xfId="26000" applyFont="1" applyBorder="1" applyAlignment="1">
      <alignment horizontal="left" vertical="top" wrapText="1"/>
    </xf>
    <xf numFmtId="0" fontId="130" fillId="0" borderId="17" xfId="26000" applyFont="1" applyBorder="1" applyAlignment="1">
      <alignment horizontal="left" vertical="top" wrapText="1"/>
    </xf>
    <xf numFmtId="0" fontId="130" fillId="0" borderId="73" xfId="26000" applyFont="1" applyBorder="1" applyAlignment="1">
      <alignment horizontal="left" vertical="top" wrapText="1"/>
    </xf>
    <xf numFmtId="0" fontId="130" fillId="0" borderId="0" xfId="26000" applyFont="1" applyAlignment="1">
      <alignment horizontal="left" vertical="top" wrapText="1"/>
    </xf>
    <xf numFmtId="0" fontId="57" fillId="0" borderId="41" xfId="26000" applyFont="1" applyBorder="1" applyAlignment="1">
      <alignment horizontal="left"/>
    </xf>
  </cellXfs>
  <cellStyles count="32234">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18" xfId="31725" xr:uid="{5A735BE1-EE31-4062-BA14-CEB426306F19}"/>
    <cellStyle name="Comma 18 2" xfId="32023" xr:uid="{AA8B7EEC-41A8-47AC-B764-E6867CEAAA1F}"/>
    <cellStyle name="Comma 2" xfId="445" xr:uid="{00000000-0005-0000-0000-0000C6010000}"/>
    <cellStyle name="Comma 2 2" xfId="446" xr:uid="{00000000-0005-0000-0000-0000C7010000}"/>
    <cellStyle name="Comma 2 2 2" xfId="31730" xr:uid="{C33B1854-5409-47E0-9622-295106621573}"/>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2 6" xfId="31729" xr:uid="{B55E41AA-D6D3-4F04-B263-B9443017BE0A}"/>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3 6" xfId="31728" xr:uid="{631850A2-9161-4E7E-9629-4BE710A0A149}"/>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11" xfId="31726" xr:uid="{50C09DAD-7BB7-4B5C-917D-B69F3EB82B30}"/>
    <cellStyle name="Currency 11 2" xfId="32024" xr:uid="{6BE0BF21-9BDE-45C1-AC91-84D8CFBDE3FE}"/>
    <cellStyle name="Currency 12" xfId="31727" xr:uid="{69491EB7-021E-4ADE-A85E-04FC9A02E371}"/>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2 6" xfId="31733" xr:uid="{B1431204-32C2-4525-9311-376EB91B9E68}"/>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2 7" xfId="31732" xr:uid="{64F74D17-D806-4C43-B557-ADB798BEED05}"/>
    <cellStyle name="Currency 3" xfId="551" xr:uid="{00000000-0005-0000-0000-000048030000}"/>
    <cellStyle name="Currency 3 10" xfId="30620" xr:uid="{CC98C09A-FB90-4F09-8713-CE67BE1C4FA6}"/>
    <cellStyle name="Currency 3 11" xfId="30918" xr:uid="{AC79C766-96F4-4BB0-9D53-CAD075CD5FB9}"/>
    <cellStyle name="Currency 3 12" xfId="31731" xr:uid="{BBB3409B-21CA-4FEF-99F6-CD30D3F98184}"/>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5 5" xfId="32004" xr:uid="{8377B691-2AFC-443B-8FCA-8EB296436BAE}"/>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7 8" xfId="31987" xr:uid="{B489DFF5-F3EE-4CCC-A360-9EC5DC833894}"/>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1 2" xfId="32233" xr:uid="{431DEB46-188D-463F-9883-F67549204523}"/>
    <cellStyle name="Normal 22" xfId="12383" xr:uid="{8C915B8E-2FA3-4DC4-BD95-7A870649C7C0}"/>
    <cellStyle name="Normal 23" xfId="30099" xr:uid="{C20B993B-01C2-4C51-8F98-6A9CBB8E2F4D}"/>
    <cellStyle name="Normal 23 2" xfId="30396" xr:uid="{287CA121-5416-4078-9572-C7B4DE184957}"/>
    <cellStyle name="Normal 23 2 2" xfId="32021" xr:uid="{765B09F7-C3B9-41DD-9C24-5666249D136A}"/>
    <cellStyle name="Normal 23 3" xfId="31722" xr:uid="{23061F0C-4409-4E5F-A960-26EABC21E703}"/>
    <cellStyle name="Normal 23 4" xfId="32017" xr:uid="{468AB7C1-4BEE-44C9-8B86-5065562C55FA}"/>
    <cellStyle name="Normal 24" xfId="31724" xr:uid="{4AD80940-F9FE-4312-92C2-BB9034C34D3B}"/>
    <cellStyle name="Normal 24 2" xfId="32022" xr:uid="{89DE89C1-34EC-490A-8341-093FB1E461B4}"/>
    <cellStyle name="Normal 25" xfId="30098" xr:uid="{07506169-A6FD-44A0-8C52-1A1EF451F172}"/>
    <cellStyle name="Normal 26" xfId="30103" xr:uid="{7027CCDA-B9FD-43DE-A40A-182DF76F28F4}"/>
    <cellStyle name="Normal 27" xfId="31723" xr:uid="{4196B5BA-5EA7-4D8D-9D66-857889BD5159}"/>
    <cellStyle name="Normal 28" xfId="32025" xr:uid="{F9D2FC86-2EC0-4BC4-9CA1-1693550E0CE1}"/>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4 3 5" xfId="31870" xr:uid="{C61C880B-D90D-409E-986D-7EFE86A94CD6}"/>
    <cellStyle name="Normal 3 2 2 4 3 6" xfId="32116" xr:uid="{D46FA73C-CB3D-47D4-81D3-E6E146F09DA9}"/>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3 3 5" xfId="31871" xr:uid="{36337922-F1B8-43FE-89D9-33A4E0A700EA}"/>
    <cellStyle name="Normal 3 2 3 3 2 3 2 3 3 6" xfId="32117" xr:uid="{78D60686-8216-49C5-B55C-CECAD0B86AE6}"/>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5 5" xfId="31809" xr:uid="{7A8BF9CE-A0AF-4AF4-91F4-02CA6D3FC1D7}"/>
    <cellStyle name="Normal 3 2 3 3 2 3 5 6" xfId="32035" xr:uid="{83FBDD1F-D238-40CB-B6D6-9107ED6FAE05}"/>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6 5" xfId="31931" xr:uid="{9B487A6D-6B05-4F07-839D-A99EB2D5F8AC}"/>
    <cellStyle name="Normal 3 2 3 3 2 3 6 6" xfId="32177" xr:uid="{394D621C-DCF9-4DF0-AD6A-5C999B59C423}"/>
    <cellStyle name="Normal 3 2 3 3 2 3 7" xfId="30118" xr:uid="{3A8EA0EB-6553-4DE0-BA6D-E554B6EEBC52}"/>
    <cellStyle name="Normal 3 2 3 3 2 3 7 2" xfId="30479" xr:uid="{12261BA5-6EBE-49C8-858C-4433B97E2B8F}"/>
    <cellStyle name="Normal 3 2 3 3 2 3 8" xfId="31752" xr:uid="{69E5398B-AE39-4ABD-B746-7A6A37786D71}"/>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3 5" xfId="32005" xr:uid="{AF9F9127-55D5-4F95-9D50-B99CB789E817}"/>
    <cellStyle name="Normal 3 2 3 3 2 4 3 4" xfId="30354" xr:uid="{93657840-58F4-4379-9A8A-0046F497FB51}"/>
    <cellStyle name="Normal 3 2 3 3 2 4 3 4 2" xfId="31696" xr:uid="{A40DE0E8-AD45-4E9B-94C0-51490D3093FE}"/>
    <cellStyle name="Normal 3 2 3 3 2 4 3 5" xfId="31988" xr:uid="{15D7EF1A-FCD0-454A-B1AA-E84DD50EE774}"/>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5 5" xfId="31808" xr:uid="{178690E6-34A2-4393-B592-31E0DF3C1227}"/>
    <cellStyle name="Normal 3 2 3 3 2 5 6" xfId="32034" xr:uid="{5BDA7866-3F42-40D2-BDAC-E355CC9FDA5C}"/>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6 5" xfId="31930" xr:uid="{B73035D1-2067-401B-A00F-AFA787D13CFA}"/>
    <cellStyle name="Normal 3 2 3 3 2 6 6" xfId="32176" xr:uid="{752C8EEB-9924-4F77-BC6D-8C6C20C129A8}"/>
    <cellStyle name="Normal 3 2 3 3 2 7" xfId="30117" xr:uid="{019B4B8F-7996-40B8-8487-A11E7446390C}"/>
    <cellStyle name="Normal 3 2 3 3 2 7 2" xfId="30478" xr:uid="{A9A1F17C-F870-4AC2-99F8-4C92612CB29A}"/>
    <cellStyle name="Normal 3 2 3 3 2 8" xfId="31751" xr:uid="{225D7D5A-C0D2-4CCD-9EFC-161282D45CC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3 5" xfId="31872" xr:uid="{16662624-3757-45D7-917F-C0AB933E36AC}"/>
    <cellStyle name="Normal 3 2 3 3 4 2 2 2 3 6" xfId="32118" xr:uid="{C6A9D451-CE7C-4A68-8D16-2547363045C7}"/>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4 5" xfId="31811" xr:uid="{6DDB7F6F-104A-41B1-A645-952E20BC8075}"/>
    <cellStyle name="Normal 3 2 3 3 4 2 3 4 6" xfId="32101" xr:uid="{83E70B90-43D0-4804-BDB7-CD6B8346EFE3}"/>
    <cellStyle name="Normal 3 2 3 3 4 2 3 5" xfId="25609" xr:uid="{AE0E7AAC-A35C-4739-83F7-24B2349D3A43}"/>
    <cellStyle name="Normal 3 2 3 3 4 2 3 6" xfId="30536" xr:uid="{5DF49D80-F591-4B6B-AC8D-0AA109DB5F47}"/>
    <cellStyle name="Normal 3 2 3 3 4 2 3 7" xfId="32083" xr:uid="{B4D91523-12DD-4731-A292-413D9F010311}"/>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5 5" xfId="31810" xr:uid="{0135E4C7-4A36-4A8B-A0C0-D404DF1C677A}"/>
    <cellStyle name="Normal 3 2 3 3 4 5 6" xfId="32036" xr:uid="{7840B674-87BE-42A4-B919-4D5EEEDEF28C}"/>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6 5" xfId="31932" xr:uid="{7DD74C05-B182-49F2-B496-B67D994D90D1}"/>
    <cellStyle name="Normal 3 2 3 3 4 6 6" xfId="32178" xr:uid="{3E37853D-FE80-4794-A298-7FEA9ED11C7E}"/>
    <cellStyle name="Normal 3 2 3 3 4 7" xfId="30119" xr:uid="{21708935-4338-4B04-A5B4-2B12A5C766F5}"/>
    <cellStyle name="Normal 3 2 3 3 4 7 2" xfId="30480" xr:uid="{F378E57F-2EEC-4F55-AB97-A5FA15FB5A75}"/>
    <cellStyle name="Normal 3 2 3 3 4 8" xfId="31753" xr:uid="{B6B99ECF-27B7-4452-8592-01D11A877DA9}"/>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3 6" xfId="31873" xr:uid="{285638F6-359F-43E0-B0FA-229C700DA1DE}"/>
    <cellStyle name="Normal 3 2 3 3 5 3 7" xfId="32119" xr:uid="{0E6F3722-AEEC-40D4-8AAC-8733F80E16BA}"/>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3 3 5" xfId="31874" xr:uid="{383A3E76-D426-4C8C-924F-5A95A0836014}"/>
    <cellStyle name="Normal 3 2 3 4 3 2 3 3 6" xfId="32120" xr:uid="{EE398DB7-6F13-4E71-A60E-92A9AA4781BD}"/>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5 5" xfId="31813" xr:uid="{C0EC41AE-F027-4EAC-B2AF-195D477BE1A7}"/>
    <cellStyle name="Normal 3 2 3 4 3 5 6" xfId="32038" xr:uid="{0EF97ADD-BA63-478D-9293-E61945B6A727}"/>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6 5" xfId="31934" xr:uid="{E03EEF01-1839-44E6-AD63-1C456D0962DD}"/>
    <cellStyle name="Normal 3 2 3 4 3 6 6" xfId="32180" xr:uid="{32D7DCF7-1C6D-4FA7-89EE-8BAE59CF947A}"/>
    <cellStyle name="Normal 3 2 3 4 3 7" xfId="30121" xr:uid="{B13A17FC-0920-42D9-BFD0-704A408A0A4C}"/>
    <cellStyle name="Normal 3 2 3 4 3 7 2" xfId="30482" xr:uid="{10C38449-8AAA-4472-A41E-21A90DBA3EF1}"/>
    <cellStyle name="Normal 3 2 3 4 3 8" xfId="31755" xr:uid="{9272ABCD-863B-4473-80D4-56123FB3553F}"/>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4 3 5" xfId="31875" xr:uid="{D1969DFF-FD25-47BB-8FE0-91FB97DD3A5E}"/>
    <cellStyle name="Normal 3 2 3 4 4 3 6" xfId="32121" xr:uid="{1810C4AC-FD69-4937-BB96-D940B24055C9}"/>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5 5" xfId="31812" xr:uid="{5460A817-A72C-4666-9CEA-0FD1254CA438}"/>
    <cellStyle name="Normal 3 2 3 4 5 6" xfId="32037" xr:uid="{F88A386B-74FE-4D2E-9113-F022A49B334C}"/>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6 5" xfId="31933" xr:uid="{DA36F331-6C62-4D5F-BA3C-170EE4CAD920}"/>
    <cellStyle name="Normal 3 2 3 4 6 6" xfId="32179" xr:uid="{CA60AB08-E822-483B-BD13-02E3C4DA88E9}"/>
    <cellStyle name="Normal 3 2 3 4 7" xfId="30120" xr:uid="{2902EA16-525C-4490-96D7-08F0557F0425}"/>
    <cellStyle name="Normal 3 2 3 4 7 2" xfId="30481" xr:uid="{DF6E23B2-6945-41B0-8306-2F702DBA91A9}"/>
    <cellStyle name="Normal 3 2 3 4 8" xfId="31754" xr:uid="{B4D2B4EA-080E-4556-BD60-5C1D2BE5D3E3}"/>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5 5" xfId="31800" xr:uid="{4C93E45A-7811-489F-9771-78A6D448C1C8}"/>
    <cellStyle name="Normal 3 2 3 5 6" xfId="32093" xr:uid="{8ED26A47-78E8-4B0B-8FB9-48022C30E499}"/>
    <cellStyle name="Normal 3 2 3 6" xfId="30112" xr:uid="{2DA27080-57C7-488E-9E66-228C66F3BB6F}"/>
    <cellStyle name="Normal 3 2 3 6 2" xfId="30471" xr:uid="{CBE48B84-9220-4165-B20B-487010328F48}"/>
    <cellStyle name="Normal 3 2 3 7" xfId="31744" xr:uid="{0824D4CF-5757-4ADE-8178-DAAE89865E41}"/>
    <cellStyle name="Normal 3 2 3 8" xfId="32026" xr:uid="{BAE01602-E485-4EBC-A0FC-0F538FB7E17E}"/>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3 3 5" xfId="31876" xr:uid="{4CC266E9-1346-48DA-90DE-94B12A5F54AD}"/>
    <cellStyle name="Normal 3 2 4 3 2 3 3 6" xfId="32122" xr:uid="{4A892C23-704E-4B15-BBA2-7F4282C27AD6}"/>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5 5" xfId="31815" xr:uid="{EE17CC6F-D84C-454B-B3FF-8CA0A03963CA}"/>
    <cellStyle name="Normal 3 2 4 3 5 6" xfId="32040" xr:uid="{6E48E09E-EFD6-44C5-BC6C-5AF2A66F2593}"/>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6 5" xfId="31936" xr:uid="{32A90817-92D4-4099-B7D3-7EACDE6715B3}"/>
    <cellStyle name="Normal 3 2 4 3 6 6" xfId="32182" xr:uid="{30B0BBA8-A165-42DC-87C8-B367B2BE5DC1}"/>
    <cellStyle name="Normal 3 2 4 3 7" xfId="30123" xr:uid="{2FC8C8CB-77C8-4CE3-9500-8BBF0E8D3D67}"/>
    <cellStyle name="Normal 3 2 4 3 7 2" xfId="30485" xr:uid="{FF9CD143-3DC5-4E78-9669-CDD5E69991DD}"/>
    <cellStyle name="Normal 3 2 4 3 8" xfId="31757" xr:uid="{3D3B0868-6B1D-44B7-9E63-7E2F85B968DE}"/>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3 5" xfId="32006" xr:uid="{4C578D2D-4D41-4FBF-B8DD-3CC7AFC62900}"/>
    <cellStyle name="Normal 3 2 4 4 2 4" xfId="30355" xr:uid="{C34059E2-DD63-4FD3-8EEB-54B190A38F45}"/>
    <cellStyle name="Normal 3 2 4 4 2 4 2" xfId="31697" xr:uid="{6DCD7FB8-B5FD-4C77-BBC6-EAED650E4CF3}"/>
    <cellStyle name="Normal 3 2 4 4 2 5" xfId="31989" xr:uid="{1497EB42-67E3-4B2E-B704-ABF78EAC0BFC}"/>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5 5" xfId="31814" xr:uid="{73C662E3-E227-488D-BAA7-C2861390EA9D}"/>
    <cellStyle name="Normal 3 2 4 5 6" xfId="32039" xr:uid="{747C61EF-6682-4495-A645-0FF4C99B1459}"/>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6 5" xfId="31935" xr:uid="{EE327EAE-2786-41D7-AAC9-789B35ED027F}"/>
    <cellStyle name="Normal 3 2 4 6 6" xfId="32181" xr:uid="{5D1D94AB-4987-4C90-8E73-AA7B5CC57E4F}"/>
    <cellStyle name="Normal 3 2 4 7" xfId="30122" xr:uid="{2CF31ED3-BF8A-4420-A35A-63A9374EE9CB}"/>
    <cellStyle name="Normal 3 2 4 7 2" xfId="30484" xr:uid="{E8D1DD0B-859F-4702-9615-4F14D8E78C95}"/>
    <cellStyle name="Normal 3 2 4 8" xfId="31756" xr:uid="{3BD5DD47-EE0D-4D26-9979-B292E5AEB09B}"/>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3 5" xfId="32007" xr:uid="{605697BD-0C7F-4E7F-9D2A-0112DEFD24E5}"/>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5 6" xfId="31990" xr:uid="{1A6030CE-991E-4462-A676-1578F405406D}"/>
    <cellStyle name="Normal 3 2 6" xfId="30109" xr:uid="{E75C1CB2-D09F-4E20-9707-91B0AD896C89}"/>
    <cellStyle name="Normal 3 2 6 2" xfId="31495" xr:uid="{75618FDA-0DC1-449E-A37B-B4C7EE151DBA}"/>
    <cellStyle name="Normal 3 2 7" xfId="31737" xr:uid="{DAF1D4CE-0E25-49CE-8219-6D8D988E1EAC}"/>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10" xfId="31740" xr:uid="{735DA6F3-F532-43DB-9D29-5AABCEFFA1CE}"/>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3 3 5" xfId="31877" xr:uid="{2E43C4F1-5209-48AA-B572-DA2C3C124CB7}"/>
    <cellStyle name="Normal 5 2 2 3 3 2 3 2 3 3 6" xfId="32123" xr:uid="{57C432B3-ADD3-45EE-88F4-05D04275E14A}"/>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5 5" xfId="31817" xr:uid="{2E1920E5-CEDA-4880-814E-F3E326863B8F}"/>
    <cellStyle name="Normal 5 2 2 3 3 2 3 5 6" xfId="32042" xr:uid="{63F1BFBE-650E-4687-BB68-A163011AE865}"/>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6 5" xfId="31938" xr:uid="{87A054C9-EC04-4351-9EF1-9720A2A3B28F}"/>
    <cellStyle name="Normal 5 2 2 3 3 2 3 6 6" xfId="32184" xr:uid="{11B2CF01-FC89-4E1F-A9F6-2BEBFA41407B}"/>
    <cellStyle name="Normal 5 2 2 3 3 2 3 7" xfId="30125" xr:uid="{DAC80EA3-45F7-49F1-A349-239CC3856162}"/>
    <cellStyle name="Normal 5 2 2 3 3 2 3 7 2" xfId="30487" xr:uid="{207BB286-D44A-4530-97B5-78C32E75393D}"/>
    <cellStyle name="Normal 5 2 2 3 3 2 3 8" xfId="31759" xr:uid="{16374957-CF05-4205-977D-4B969739F384}"/>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3 5" xfId="32008" xr:uid="{BD7CA334-159E-4D42-B581-D27959C79388}"/>
    <cellStyle name="Normal 5 2 2 3 3 2 4 3 4" xfId="30357" xr:uid="{1C60EA9A-684E-4679-89C8-749CEAB253C5}"/>
    <cellStyle name="Normal 5 2 2 3 3 2 4 3 4 2" xfId="31699" xr:uid="{AD204089-4C71-4050-991D-38E2B324F7EB}"/>
    <cellStyle name="Normal 5 2 2 3 3 2 4 3 5" xfId="31991" xr:uid="{E0EC5735-4AE9-421B-99FB-C0381648EAE9}"/>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5 5" xfId="31816" xr:uid="{5E6DBADF-3E3F-472B-A3E7-13C93AE10668}"/>
    <cellStyle name="Normal 5 2 2 3 3 2 5 6" xfId="32041" xr:uid="{F1E91BBA-F5C5-43A0-B102-76B307747E49}"/>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6 5" xfId="31937" xr:uid="{9240F838-1B68-40D6-9ACE-917497A6D1C1}"/>
    <cellStyle name="Normal 5 2 2 3 3 2 6 6" xfId="32183" xr:uid="{295EB830-99E7-4368-BD56-ED5CE18ABD90}"/>
    <cellStyle name="Normal 5 2 2 3 3 2 7" xfId="30124" xr:uid="{16F6B502-50DE-40DF-90B1-0876CC1A1C94}"/>
    <cellStyle name="Normal 5 2 2 3 3 2 7 2" xfId="30486" xr:uid="{32F471BB-0723-4682-B1A0-F64159294218}"/>
    <cellStyle name="Normal 5 2 2 3 3 2 8" xfId="31758" xr:uid="{E5504B10-F7AF-4EC8-8FCB-5A92B398FBE4}"/>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3 5" xfId="31878" xr:uid="{BD64AEE5-6CA3-4187-8B37-E6F4870A7130}"/>
    <cellStyle name="Normal 5 2 2 3 3 4 2 2 2 3 6" xfId="32124" xr:uid="{DDF2B460-0377-490B-A319-0DEF6D091BD2}"/>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4 5" xfId="31819" xr:uid="{E4474D66-FE38-48E2-86FD-353F0A7837A7}"/>
    <cellStyle name="Normal 5 2 2 3 3 4 2 3 4 6" xfId="32102" xr:uid="{3EEEC147-C0F5-4047-ADA9-7583BBF5CF4E}"/>
    <cellStyle name="Normal 5 2 2 3 3 4 2 3 5" xfId="25793" xr:uid="{BE81E2B3-54B5-44DA-A7B7-DF27FBF44B0E}"/>
    <cellStyle name="Normal 5 2 2 3 3 4 2 3 6" xfId="30537" xr:uid="{6AF04956-A4AA-40F2-9013-C6A327256590}"/>
    <cellStyle name="Normal 5 2 2 3 3 4 2 3 7" xfId="32084" xr:uid="{2B71320A-8809-470A-BE89-D7FA2B2C9549}"/>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5 5" xfId="31818" xr:uid="{2BBCE6A9-B46F-4B5D-A278-A5920307EB44}"/>
    <cellStyle name="Normal 5 2 2 3 3 4 5 6" xfId="32043" xr:uid="{94258950-A889-4129-B14F-323E38CA6A3B}"/>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6 5" xfId="31939" xr:uid="{1A1C441C-30CE-4CB9-9C92-EDE4E3FAE21E}"/>
    <cellStyle name="Normal 5 2 2 3 3 4 6 6" xfId="32185" xr:uid="{2E035AB1-5D35-4CAF-A4DD-FC333CBB51AD}"/>
    <cellStyle name="Normal 5 2 2 3 3 4 7" xfId="30126" xr:uid="{703E38E7-8BA4-47CE-A103-8E02D7643E7A}"/>
    <cellStyle name="Normal 5 2 2 3 3 4 7 2" xfId="30488" xr:uid="{2C6C969A-844E-4616-8573-0FAFBA4D69CF}"/>
    <cellStyle name="Normal 5 2 2 3 3 4 8" xfId="31760" xr:uid="{53B414DA-F311-48B0-8473-61548E75524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3 6" xfId="31879" xr:uid="{AD299762-D62E-48F2-A298-0EEAB8649842}"/>
    <cellStyle name="Normal 5 2 2 3 3 5 3 7" xfId="32125" xr:uid="{81D1A53C-D73A-43A2-809A-099BBBFCB96D}"/>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3 3 5" xfId="31880" xr:uid="{5F368C6F-F5CF-461F-BA3C-C5A7BC3D79FB}"/>
    <cellStyle name="Normal 5 2 2 3 4 3 2 3 3 6" xfId="32126" xr:uid="{069E0583-2988-4DB3-BD34-C6EC98409B5E}"/>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5 5" xfId="31821" xr:uid="{89504CC9-B044-4538-8115-79848BE3552E}"/>
    <cellStyle name="Normal 5 2 2 3 4 3 5 6" xfId="32045" xr:uid="{FF608684-E99A-417E-8E6C-C20852D67328}"/>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6 5" xfId="31941" xr:uid="{E5DBA7E2-3A44-4CEE-965A-A75BF716B893}"/>
    <cellStyle name="Normal 5 2 2 3 4 3 6 6" xfId="32187" xr:uid="{420CF33F-EC92-4863-B5BD-A23A83BE9E96}"/>
    <cellStyle name="Normal 5 2 2 3 4 3 7" xfId="30128" xr:uid="{902DB47F-C143-433C-8E02-ECCFBB8FA346}"/>
    <cellStyle name="Normal 5 2 2 3 4 3 7 2" xfId="30490" xr:uid="{56017849-602A-438E-96E0-4DE9B6F02764}"/>
    <cellStyle name="Normal 5 2 2 3 4 3 8" xfId="31762" xr:uid="{9D0AC439-C11C-4287-A27F-BAB9C894D3AA}"/>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4 3 5" xfId="31881" xr:uid="{4C41FAD7-5C7A-4589-B282-2779030A99DE}"/>
    <cellStyle name="Normal 5 2 2 3 4 4 3 6" xfId="32127" xr:uid="{CCD60188-9DD1-4267-90C6-C227E987A645}"/>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5 5" xfId="31820" xr:uid="{8DF821CB-A78C-498E-B597-1C93D93AFD4C}"/>
    <cellStyle name="Normal 5 2 2 3 4 5 6" xfId="32044" xr:uid="{EDA65A45-0F11-4C34-9040-A0980F2200A4}"/>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6 5" xfId="31940" xr:uid="{D2C4F953-1B75-4008-AE6F-38C4170A0D30}"/>
    <cellStyle name="Normal 5 2 2 3 4 6 6" xfId="32186" xr:uid="{6E3A8A4C-7D14-4297-B33D-3A56BFAC24ED}"/>
    <cellStyle name="Normal 5 2 2 3 4 7" xfId="30127" xr:uid="{920D9317-59AD-4444-9F3B-B0AB3DA1419C}"/>
    <cellStyle name="Normal 5 2 2 3 4 7 2" xfId="30489" xr:uid="{2D2D5388-0491-48DD-9BA0-7F231209010E}"/>
    <cellStyle name="Normal 5 2 2 3 4 8" xfId="31761" xr:uid="{921242F0-2EDD-4524-BA41-55813294BF21}"/>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5 5" xfId="31801" xr:uid="{6BE66918-6C91-4F9F-A5D2-EF2F1294EF6E}"/>
    <cellStyle name="Normal 5 2 2 3 5 6" xfId="32094" xr:uid="{0B265584-315F-4E12-AB5A-1D67E304A24D}"/>
    <cellStyle name="Normal 5 2 2 3 6" xfId="30104" xr:uid="{93BD7124-346B-4FA7-9E75-822A18739E86}"/>
    <cellStyle name="Normal 5 2 2 3 6 2" xfId="30472" xr:uid="{B7FC6D84-3823-4E1F-9CD2-CD3763CCF30A}"/>
    <cellStyle name="Normal 5 2 2 3 7" xfId="31745" xr:uid="{057B4325-5EC6-42D9-9B2D-E352BE37FCC4}"/>
    <cellStyle name="Normal 5 2 2 3 8" xfId="32027" xr:uid="{D283C8FD-97B4-4FF8-834E-BAF55071D674}"/>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3 3 5" xfId="31882" xr:uid="{46E5480F-E29D-460A-9999-9AAA3602A104}"/>
    <cellStyle name="Normal 5 2 2 4 3 2 3 3 6" xfId="32128" xr:uid="{DD3683F2-3C38-49EF-A0FA-78040F97ABB1}"/>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5 5" xfId="31823" xr:uid="{B74CAEC4-3C70-4398-9709-39AFEC9236D9}"/>
    <cellStyle name="Normal 5 2 2 4 3 5 6" xfId="32047" xr:uid="{EA2AE985-1C06-4189-9BC7-EB40E3D0825F}"/>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6 5" xfId="31943" xr:uid="{C04D5001-5F62-4BB5-AD2B-507BC7A6138C}"/>
    <cellStyle name="Normal 5 2 2 4 3 6 6" xfId="32189" xr:uid="{8720355C-3EE9-4A60-836E-6E7FADC35215}"/>
    <cellStyle name="Normal 5 2 2 4 3 7" xfId="30130" xr:uid="{BDE27110-9B13-48B7-8653-B497F720F538}"/>
    <cellStyle name="Normal 5 2 2 4 3 7 2" xfId="30493" xr:uid="{FD9D9EF5-F197-45A3-BC3A-5650DE888412}"/>
    <cellStyle name="Normal 5 2 2 4 3 8" xfId="31764" xr:uid="{8D74E39C-E9F8-4494-970C-42D42ACBF958}"/>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4 3 5" xfId="31883" xr:uid="{5A636884-E186-43AF-848D-40533DDDB79C}"/>
    <cellStyle name="Normal 5 2 2 4 4 3 6" xfId="32129" xr:uid="{302DBF05-AD5C-4F60-A905-ECD674C01B04}"/>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5 5" xfId="31822" xr:uid="{BAE36E74-43C4-4028-BD44-347BA43D80DD}"/>
    <cellStyle name="Normal 5 2 2 4 5 6" xfId="32046" xr:uid="{BCB0FF3D-1C33-4AEA-9432-FB6C2035475E}"/>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6 5" xfId="31942" xr:uid="{241402A0-EC53-4140-B3CB-5A2E0E265C3E}"/>
    <cellStyle name="Normal 5 2 2 4 6 6" xfId="32188" xr:uid="{7AFC2CEA-D817-4485-904A-9B1AF89407D2}"/>
    <cellStyle name="Normal 5 2 2 4 7" xfId="30129" xr:uid="{2236E3FF-3A86-4CD1-98F1-1886F111A065}"/>
    <cellStyle name="Normal 5 2 2 4 7 2" xfId="30492" xr:uid="{45FC10F0-4741-45B2-BDBE-913619A599F3}"/>
    <cellStyle name="Normal 5 2 2 4 8" xfId="31763" xr:uid="{AA7EB73C-BBDE-4608-9B4C-41CDE22B31DF}"/>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5 4" xfId="31992" xr:uid="{120DEC9F-9354-4688-A037-C84E42C97F21}"/>
    <cellStyle name="Normal 5 2 2 6" xfId="31499" xr:uid="{2BB411DD-5D15-4B7F-BAEC-F1A8EC41C4E3}"/>
    <cellStyle name="Normal 5 2 2 7" xfId="31741" xr:uid="{29AF3C1D-838A-492E-90FB-251697FC5BB9}"/>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3 3 5" xfId="31884" xr:uid="{F987242A-7FC3-4269-978F-5DE82990D9E8}"/>
    <cellStyle name="Normal 5 2 4 3 2 3 2 3 3 6" xfId="32130" xr:uid="{2AF85137-105F-4683-A36B-B4F09C772A68}"/>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5 5" xfId="31825" xr:uid="{FA92CFA6-C212-4156-99EE-6A03BE725958}"/>
    <cellStyle name="Normal 5 2 4 3 2 3 5 6" xfId="32049" xr:uid="{03FA89A7-DA11-4A9D-B029-5A640401ADD8}"/>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6 5" xfId="31945" xr:uid="{10DE5A57-AF9B-426F-8DAA-58948AA20097}"/>
    <cellStyle name="Normal 5 2 4 3 2 3 6 6" xfId="32191" xr:uid="{DEE98103-0E22-41C3-9FCD-0AB298B272C4}"/>
    <cellStyle name="Normal 5 2 4 3 2 3 7" xfId="30132" xr:uid="{83341974-E50B-44D0-9696-9A6A4FF79FC7}"/>
    <cellStyle name="Normal 5 2 4 3 2 3 7 2" xfId="30496" xr:uid="{62A7FCD7-3DD3-460C-A526-2E072EA83AC6}"/>
    <cellStyle name="Normal 5 2 4 3 2 3 8" xfId="31766" xr:uid="{85D1DC84-2E84-4DAD-9A80-773144FA5BFA}"/>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3 5" xfId="32009" xr:uid="{A4A8B685-D2B9-4A9C-9FD7-90A499EB24BA}"/>
    <cellStyle name="Normal 5 2 4 3 2 4 3 4" xfId="30359" xr:uid="{BB7BBCD9-B969-4973-A8B6-6CB722F841E4}"/>
    <cellStyle name="Normal 5 2 4 3 2 4 3 4 2" xfId="31700" xr:uid="{F60ECDD6-7D39-47D2-80B0-FE4508F286D8}"/>
    <cellStyle name="Normal 5 2 4 3 2 4 3 5" xfId="31993" xr:uid="{44EF1CE0-41C2-405F-BA2E-FBB0AC73B3B5}"/>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5 5" xfId="31824" xr:uid="{A53769D7-EEF3-4E8F-8C88-562622BAD983}"/>
    <cellStyle name="Normal 5 2 4 3 2 5 6" xfId="32048" xr:uid="{F11F2B89-FC51-445C-8845-CBA6E8EC0BF3}"/>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6 5" xfId="31944" xr:uid="{E00381A7-CF8F-4507-89A3-9D785BAE9134}"/>
    <cellStyle name="Normal 5 2 4 3 2 6 6" xfId="32190" xr:uid="{A2F6263A-43DD-43C4-B908-C09EE25B9505}"/>
    <cellStyle name="Normal 5 2 4 3 2 7" xfId="30131" xr:uid="{C81275DE-CA30-40D7-AD33-FAB62E0FACED}"/>
    <cellStyle name="Normal 5 2 4 3 2 7 2" xfId="30495" xr:uid="{8AAC8AE9-2926-47D6-87B5-9E837B1CDB4A}"/>
    <cellStyle name="Normal 5 2 4 3 2 8" xfId="31765" xr:uid="{5C4116CA-E0C6-4C1D-80BF-DAC6885F3B16}"/>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3 5" xfId="31885" xr:uid="{7507EE1C-BDCB-4744-ADE7-CAC7706233C1}"/>
    <cellStyle name="Normal 5 2 4 3 4 2 2 2 3 6" xfId="32131" xr:uid="{2505F009-A50E-494B-B610-6FF29F286A03}"/>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4 5" xfId="31827" xr:uid="{4F60F246-F3AD-40E1-8F70-60FF2A30D287}"/>
    <cellStyle name="Normal 5 2 4 3 4 2 3 4 6" xfId="32103" xr:uid="{352A0D6A-675B-4771-A49D-B1A776D100C1}"/>
    <cellStyle name="Normal 5 2 4 3 4 2 3 5" xfId="25282" xr:uid="{C7B4FAF3-1BA0-45BB-BA6F-44260C736B84}"/>
    <cellStyle name="Normal 5 2 4 3 4 2 3 6" xfId="30538" xr:uid="{63E07DC7-F18F-4505-A38A-112CFA74FEBB}"/>
    <cellStyle name="Normal 5 2 4 3 4 2 3 7" xfId="32085" xr:uid="{3B61A28C-CAAB-48E9-96E2-E8814184576C}"/>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5 5" xfId="31826" xr:uid="{32E8BD59-8262-43DD-B34C-28EC0BEFDACF}"/>
    <cellStyle name="Normal 5 2 4 3 4 5 6" xfId="32050" xr:uid="{0701E8A3-60EF-4998-B5EB-014BFFB5B3C2}"/>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6 5" xfId="31946" xr:uid="{68EDFAD8-C96B-486B-8E30-969D04F2E6F6}"/>
    <cellStyle name="Normal 5 2 4 3 4 6 6" xfId="32192" xr:uid="{11CF1D07-B102-4DC0-BA36-E9A7F7DCF4A3}"/>
    <cellStyle name="Normal 5 2 4 3 4 7" xfId="30133" xr:uid="{0FF9C2E0-D12A-4ABC-95BB-3755B3F83C84}"/>
    <cellStyle name="Normal 5 2 4 3 4 7 2" xfId="30497" xr:uid="{FC91A448-0B30-4A6D-BA82-B1E29BB27650}"/>
    <cellStyle name="Normal 5 2 4 3 4 8" xfId="31767" xr:uid="{F4BF3ECB-B673-4B2C-AC1B-3B48C6349E47}"/>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3 6" xfId="31886" xr:uid="{2F28F5E8-258E-478C-8BD3-1ED379DFE28E}"/>
    <cellStyle name="Normal 5 2 4 3 5 3 7" xfId="32132" xr:uid="{BBDD22BB-499C-4966-9737-A79A37636886}"/>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3 3 5" xfId="31887" xr:uid="{56119B9C-9AF5-4D49-928D-3177A4C0EEFB}"/>
    <cellStyle name="Normal 5 2 4 4 3 2 3 3 6" xfId="32133" xr:uid="{3C2F29A8-5221-4FA2-AA9E-36B7C52E7726}"/>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5 5" xfId="31829" xr:uid="{64CA30EE-76C5-46A8-9618-CDFE91B3A122}"/>
    <cellStyle name="Normal 5 2 4 4 3 5 6" xfId="32052" xr:uid="{B529B1EA-CCA0-4CEC-A99C-AE5E7D8F023B}"/>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6 5" xfId="31948" xr:uid="{D3BCC432-12BF-496A-92F6-084C1DDB2D60}"/>
    <cellStyle name="Normal 5 2 4 4 3 6 6" xfId="32194" xr:uid="{4EE65FDB-77D4-43B9-AB22-7C19CAE4DE9D}"/>
    <cellStyle name="Normal 5 2 4 4 3 7" xfId="30135" xr:uid="{043D8D7C-0FB5-4B99-8C37-48CD2D0D46E8}"/>
    <cellStyle name="Normal 5 2 4 4 3 7 2" xfId="30499" xr:uid="{530030F0-59D0-4660-8567-AD5B7CB24B9B}"/>
    <cellStyle name="Normal 5 2 4 4 3 8" xfId="31769" xr:uid="{F5D64472-8EAE-483F-A781-BB3B5AF1E001}"/>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4 3 5" xfId="31888" xr:uid="{758C3C2E-DAD9-4A6D-BD67-598EA8A8BA3F}"/>
    <cellStyle name="Normal 5 2 4 4 4 3 6" xfId="32134" xr:uid="{7EF8068D-2485-46E4-B192-8C55E5A313A7}"/>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2 5" xfId="31986" xr:uid="{2C09AC3E-6949-405F-8308-BB0E9F0A6D8D}"/>
    <cellStyle name="Normal 5 2 4 4 5 2 6" xfId="32232" xr:uid="{C49F2669-4F09-4E1B-9F86-D6A0F01FD897}"/>
    <cellStyle name="Normal 5 2 4 4 5 3" xfId="4660" xr:uid="{B6A07F6F-9F13-4228-A8E1-D1C6B6C8E7AD}"/>
    <cellStyle name="Normal 5 2 4 4 5 4" xfId="24642" xr:uid="{11EB602C-CBF5-439D-843C-5A00AA8F3884}"/>
    <cellStyle name="Normal 5 2 4 4 5 5" xfId="32051" xr:uid="{FE5AC89F-7ADA-48D5-A94B-8D9B0D6BAFA1}"/>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6 5" xfId="31828" xr:uid="{5AD8C2B0-DF03-4ECA-A5A4-2A4C3C4AF1D2}"/>
    <cellStyle name="Normal 5 2 4 4 6 6" xfId="32104" xr:uid="{C3A2FA9F-A524-4B95-A130-11386840DC18}"/>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7 5" xfId="31947" xr:uid="{ECE19079-B873-4FBA-8B3F-B63A66B9D28F}"/>
    <cellStyle name="Normal 5 2 4 4 7 6" xfId="32193" xr:uid="{70691758-1AC4-46EA-BB71-B7A5E3EA391F}"/>
    <cellStyle name="Normal 5 2 4 4 8" xfId="30134" xr:uid="{2E70D3D9-38AE-4F46-AE0C-D4B00782AB6B}"/>
    <cellStyle name="Normal 5 2 4 4 8 2" xfId="30498" xr:uid="{FF04236F-3AE0-4DDD-A3DA-183F84BE2F5D}"/>
    <cellStyle name="Normal 5 2 4 4 9" xfId="31768" xr:uid="{BA437488-0F82-4D3B-9F1C-1ECAB06CE8B1}"/>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3 5" xfId="31889" xr:uid="{3CC5A012-FD9E-4C52-B3A6-39056DA0991B}"/>
    <cellStyle name="Normal 5 2 4 5 3 6" xfId="32135" xr:uid="{3917A301-F3C1-4603-90C5-6C7A2C3DDA62}"/>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6 5" xfId="31802" xr:uid="{FACD236D-9B3C-4890-AFA9-563684DE12DB}"/>
    <cellStyle name="Normal 5 2 4 6 6" xfId="32095" xr:uid="{E9CF5AFF-FD92-440B-846C-4E939B1E77D7}"/>
    <cellStyle name="Normal 5 2 4 7" xfId="30113" xr:uid="{342BA205-8867-43D9-9B72-B399D3F5B164}"/>
    <cellStyle name="Normal 5 2 4 7 2" xfId="30473" xr:uid="{BD37669B-A0D9-4854-A41E-C8C8D8D8F3B6}"/>
    <cellStyle name="Normal 5 2 4 8" xfId="31746" xr:uid="{292E00EC-C766-4114-9DE1-CF0907AC02E3}"/>
    <cellStyle name="Normal 5 2 4 9" xfId="32028" xr:uid="{2D57772D-A275-41CE-95C5-7D12E16ADBA4}"/>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3 3 5" xfId="31890" xr:uid="{916A65CD-70EB-43D7-9F02-B5C5CEE20509}"/>
    <cellStyle name="Normal 5 2 6 3 2 3 3 6" xfId="32136" xr:uid="{8BFBAEDC-A2F3-40AB-B222-D99B29BE6BE0}"/>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5 5" xfId="31831" xr:uid="{1FCB7D3F-2561-44CB-A382-DCAF279AC409}"/>
    <cellStyle name="Normal 5 2 6 3 5 6" xfId="32054" xr:uid="{353BC7A2-9720-4030-BD96-B20EE9432771}"/>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6 5" xfId="31950" xr:uid="{8D59E135-AC2F-4C8D-95DF-E196267D41D7}"/>
    <cellStyle name="Normal 5 2 6 3 6 6" xfId="32196" xr:uid="{947189C4-572B-46FF-8F0F-1001921E0BD6}"/>
    <cellStyle name="Normal 5 2 6 3 7" xfId="30137" xr:uid="{42B1072C-8B2A-4FA2-81EC-269C4E84A3A5}"/>
    <cellStyle name="Normal 5 2 6 3 7 2" xfId="30502" xr:uid="{54FBF52F-2716-45C2-84B6-D21E6196F530}"/>
    <cellStyle name="Normal 5 2 6 3 8" xfId="31771" xr:uid="{49C18D4C-1DD1-4E80-8DDA-1F158696D3FF}"/>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3 5" xfId="32010" xr:uid="{F29DABD2-FC4D-473E-BE41-07C25D0C2543}"/>
    <cellStyle name="Normal 5 2 6 4 2 4" xfId="30360" xr:uid="{704420A6-BB13-4C4A-98E2-F5E54ACD7C79}"/>
    <cellStyle name="Normal 5 2 6 4 2 4 2" xfId="31701" xr:uid="{BFDDA610-75E9-4FB0-AECA-C28A0E3EE21C}"/>
    <cellStyle name="Normal 5 2 6 4 2 5" xfId="31994" xr:uid="{3A9D60D4-64F0-4D74-B1FD-EBEE743E818A}"/>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5 5" xfId="31830" xr:uid="{EAEDF0E9-F29A-40F7-8554-5D892D346481}"/>
    <cellStyle name="Normal 5 2 6 5 6" xfId="32053" xr:uid="{D32B21F2-0372-46F2-A547-8FD848B947E6}"/>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6 5" xfId="31949" xr:uid="{87933E47-02C1-4815-A61E-BE0C8E7500DF}"/>
    <cellStyle name="Normal 5 2 6 6 6" xfId="32195" xr:uid="{0E1F1D8A-0FE1-4787-B757-8F6A956BABFA}"/>
    <cellStyle name="Normal 5 2 6 7" xfId="30136" xr:uid="{E209EADA-9019-48FA-A3B0-FD7DD812FC2D}"/>
    <cellStyle name="Normal 5 2 6 7 2" xfId="30501" xr:uid="{806443B8-0098-40D3-A0A9-566A12CC2022}"/>
    <cellStyle name="Normal 5 2 6 8" xfId="31770" xr:uid="{F4650598-2D11-4F90-9C18-87487BE0A704}"/>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4 5" xfId="31891" xr:uid="{129F469F-E454-4933-9412-0089E4D39FEB}"/>
    <cellStyle name="Normal 5 2 7 4 6" xfId="32137" xr:uid="{2EBEF2B5-955A-44DE-83EB-52E36BE491CE}"/>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5 5" xfId="31995" xr:uid="{F55F42EB-AD84-4B0C-8D75-6C8D9561F7F2}"/>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3 3 5" xfId="31892" xr:uid="{5969C7B7-F3B5-4254-A1EC-D0935ADF6B29}"/>
    <cellStyle name="Normal 5 3 3 2 3 2 3 3 6" xfId="32138" xr:uid="{373A0BCA-9164-4B0C-9EBD-C07BFD54F8F2}"/>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5 5" xfId="31833" xr:uid="{3D4DEA08-86D4-4B52-BF8A-847A4DD64EA9}"/>
    <cellStyle name="Normal 5 3 3 2 3 5 6" xfId="32056" xr:uid="{1FB84359-EC8F-485D-9114-48AAC83A3CAD}"/>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6 5" xfId="31952" xr:uid="{D954C6A4-79C8-4082-86B4-7D22EF1E1CC0}"/>
    <cellStyle name="Normal 5 3 3 2 3 6 6" xfId="32198" xr:uid="{8D721233-F28E-4A10-9A4C-A50206E6F1D6}"/>
    <cellStyle name="Normal 5 3 3 2 3 7" xfId="30139" xr:uid="{CEEC2368-E04C-4884-B7E9-1C0EF9192CCC}"/>
    <cellStyle name="Normal 5 3 3 2 3 7 2" xfId="30505" xr:uid="{40091B9F-9A6C-4CD3-B1C9-52952B51C499}"/>
    <cellStyle name="Normal 5 3 3 2 3 8" xfId="31773" xr:uid="{2B25191E-3569-4896-A99F-795C742D64A0}"/>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4 4 5" xfId="31893" xr:uid="{AD32732D-EA7E-4E42-981B-6AFA5D8F4DA4}"/>
    <cellStyle name="Normal 5 3 3 2 4 4 6" xfId="32139" xr:uid="{C9857DE8-A755-4B00-BF3C-83EF060A8664}"/>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5 5" xfId="31832" xr:uid="{2CCDF7F2-B581-4E91-87A6-32687C0B44DC}"/>
    <cellStyle name="Normal 5 3 3 2 5 6" xfId="32055" xr:uid="{3A77AEC9-F67D-47F2-B2F5-E6CAF2B109E5}"/>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6 5" xfId="31951" xr:uid="{B77F9C38-F2D4-4E32-89DF-E504BF652154}"/>
    <cellStyle name="Normal 5 3 3 2 6 6" xfId="32197" xr:uid="{C0F024F7-A8C1-4654-A117-E486EF67B657}"/>
    <cellStyle name="Normal 5 3 3 2 7" xfId="30138" xr:uid="{D531B8A8-AA54-477A-BB5E-9C4205A9F66B}"/>
    <cellStyle name="Normal 5 3 3 2 7 2" xfId="30504" xr:uid="{F0BFF427-E566-43AB-88DF-26A10FC54877}"/>
    <cellStyle name="Normal 5 3 3 2 8" xfId="31772" xr:uid="{CAB2CF16-192A-4599-B2D4-457049C4418A}"/>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3 3 5" xfId="31894" xr:uid="{20BB71C6-3BBD-4DFF-81E5-88B3AF49701C}"/>
    <cellStyle name="Normal 5 3 3 3 3 6" xfId="32140" xr:uid="{58FA9786-A599-4B06-95B3-BBB900CE6343}"/>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3 5" xfId="31895" xr:uid="{42548376-0F5B-4503-9132-1B2C4A09D1C9}"/>
    <cellStyle name="Normal 5 3 3 4 2 2 2 3 6" xfId="32141" xr:uid="{759C7EB5-A884-4D0D-A31F-DE858E3AD2BA}"/>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4 5" xfId="31835" xr:uid="{F88B0801-A0D0-4052-BD35-EC66AD5F8D82}"/>
    <cellStyle name="Normal 5 3 3 4 2 3 4 6" xfId="32105" xr:uid="{0AE30AA1-A18E-4FF3-8174-6A95228440C9}"/>
    <cellStyle name="Normal 5 3 3 4 2 3 5" xfId="24944" xr:uid="{9F045087-C642-46A8-91FD-AAF692F573EC}"/>
    <cellStyle name="Normal 5 3 3 4 2 3 6" xfId="30539" xr:uid="{4F060E07-9DDD-4899-B86B-3CC298685E95}"/>
    <cellStyle name="Normal 5 3 3 4 2 3 7" xfId="32086" xr:uid="{D0198047-DF02-4431-9BD2-71A5FCCB19A6}"/>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5 5" xfId="31834" xr:uid="{2F36F886-931E-43DB-818A-AF5796AAE542}"/>
    <cellStyle name="Normal 5 3 3 4 5 6" xfId="32057" xr:uid="{1EC617B9-2C56-4164-904C-B9234E0B7C00}"/>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6 5" xfId="31953" xr:uid="{7782B158-FDC8-477A-B562-08B9DA719FCC}"/>
    <cellStyle name="Normal 5 3 3 4 6 6" xfId="32199" xr:uid="{689CECEE-0B18-4C2A-AA49-A56470E73A61}"/>
    <cellStyle name="Normal 5 3 3 4 7" xfId="30140" xr:uid="{347E797A-C3DA-48FE-923F-48D6C2483068}"/>
    <cellStyle name="Normal 5 3 3 4 7 2" xfId="30506" xr:uid="{2B8EC82B-053E-4181-83D9-DD6F2D19A0F7}"/>
    <cellStyle name="Normal 5 3 3 4 8" xfId="31774" xr:uid="{3C357966-CF74-4701-9B29-FFAAB496DA32}"/>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3 6" xfId="31896" xr:uid="{53B2FB37-56CF-4F63-99AA-2BA801C7D5A3}"/>
    <cellStyle name="Normal 5 3 3 5 3 7" xfId="32142" xr:uid="{483A6AA2-2D5F-4E63-A21D-034F60845041}"/>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3 6 3 5" xfId="31897" xr:uid="{37D0F6FF-D028-4AB8-BF77-2760405DC5CD}"/>
    <cellStyle name="Normal 5 3 3 6 3 6" xfId="32143" xr:uid="{C25B2564-B87C-442A-AC57-E99B078A6ECF}"/>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3 3 5" xfId="31898" xr:uid="{F0275AAD-8718-4F58-8AC2-9639D9C64825}"/>
    <cellStyle name="Normal 5 3 4 3 2 3 3 6" xfId="32144" xr:uid="{35571327-D4BF-48E3-A288-B01D636D1A4C}"/>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5 5" xfId="31837" xr:uid="{6DD0B63B-BCBC-4E53-8390-DC94257EB32A}"/>
    <cellStyle name="Normal 5 3 4 3 5 6" xfId="32059" xr:uid="{61AE94BF-59E7-44F8-B8A7-2C9955FC1B39}"/>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6 5" xfId="31955" xr:uid="{4DCCB906-EBF2-438B-9E5A-B1694AF0EF53}"/>
    <cellStyle name="Normal 5 3 4 3 6 6" xfId="32201" xr:uid="{683C7562-42AB-4BF0-9B0F-171FF5C04204}"/>
    <cellStyle name="Normal 5 3 4 3 7" xfId="30142" xr:uid="{8464588B-FBC9-4AEB-8137-4B7B64E1AFE0}"/>
    <cellStyle name="Normal 5 3 4 3 7 2" xfId="30508" xr:uid="{0455E1FF-3A8B-40C3-BF3A-C60A750C7BEF}"/>
    <cellStyle name="Normal 5 3 4 3 8" xfId="31776" xr:uid="{DA682CD3-43EC-4ABB-AA79-9FFA4EABEA26}"/>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4 3 5" xfId="31899" xr:uid="{00D3E093-4587-41F0-AB4B-EA0F1CD4B1EF}"/>
    <cellStyle name="Normal 5 3 4 4 3 6" xfId="32145" xr:uid="{436D7E12-CA5B-49D2-B3F4-B6F663734BF0}"/>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5 5" xfId="31836" xr:uid="{91DDD679-5478-43FA-B8FB-E6B70348975D}"/>
    <cellStyle name="Normal 5 3 4 5 6" xfId="32058" xr:uid="{FA620544-6112-4B1C-BDE1-BBAB220957E2}"/>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6 5" xfId="31954" xr:uid="{85883DA4-F313-4189-9E07-0B7A1C73CF9A}"/>
    <cellStyle name="Normal 5 3 4 6 6" xfId="32200" xr:uid="{868845F8-5928-4254-9A33-22105F53BC7F}"/>
    <cellStyle name="Normal 5 3 4 7" xfId="30141" xr:uid="{C5086DE0-3D25-4310-955C-9881B5375DBB}"/>
    <cellStyle name="Normal 5 3 4 7 2" xfId="30507" xr:uid="{0691E9B7-B979-49A9-82BB-8C389DE41776}"/>
    <cellStyle name="Normal 5 3 4 8" xfId="31775" xr:uid="{715FFDD6-6568-430B-981E-3E9264DED39F}"/>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5 5" xfId="31803" xr:uid="{316130DC-D2A6-4547-8B59-382E1EA1CF4F}"/>
    <cellStyle name="Normal 5 3 5 6" xfId="32096" xr:uid="{8A7CDF98-6142-45B5-9892-969008C1CDA9}"/>
    <cellStyle name="Normal 5 3 6" xfId="30114" xr:uid="{FF7EC34F-1D03-426F-944C-8DDEC9BD14BD}"/>
    <cellStyle name="Normal 5 3 6 2" xfId="30474" xr:uid="{C83318F6-E85A-4A71-88FC-A52912529995}"/>
    <cellStyle name="Normal 5 3 7" xfId="31747" xr:uid="{337C1941-D29F-4DFE-8FD7-B5C358B0C158}"/>
    <cellStyle name="Normal 5 3 8" xfId="32029" xr:uid="{E5F2B2C9-3409-4A9F-9E7E-6506D93BB03A}"/>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4 3 3 5" xfId="31900" xr:uid="{40F263E5-2734-4E01-AD2F-E4EBBFD5EC64}"/>
    <cellStyle name="Normal 5 4 3 3 6" xfId="32146" xr:uid="{26AB92E3-CA5A-4277-8528-C9DE51028CF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3 3 5" xfId="31901" xr:uid="{754658E2-73F9-40DD-B4CA-4C1722B5D59C}"/>
    <cellStyle name="Normal 5 5 10 2 3 3 6" xfId="32147" xr:uid="{D39C2EC1-C805-45B5-859A-F8E6F4D76833}"/>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5 5" xfId="31839" xr:uid="{130F5C18-B1B8-4F58-8C05-BA4F984E60B2}"/>
    <cellStyle name="Normal 5 5 10 5 6" xfId="32061" xr:uid="{774A5A2F-E70C-4DA7-BD15-ED3C56FCE4EE}"/>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6 5" xfId="31957" xr:uid="{7E2D0404-CD48-4B83-813F-1C109FF59CF1}"/>
    <cellStyle name="Normal 5 5 10 6 6" xfId="32203" xr:uid="{4C896BD2-0CF7-4F17-AE3C-D75D2FB50D38}"/>
    <cellStyle name="Normal 5 5 10 7" xfId="30144" xr:uid="{9EC4A54E-D459-477E-95C3-D8EED714DA54}"/>
    <cellStyle name="Normal 5 5 10 7 2" xfId="30510" xr:uid="{642D08F6-4146-4DCF-BE9E-E70107F064A1}"/>
    <cellStyle name="Normal 5 5 10 8" xfId="31778" xr:uid="{DE339D0D-60AE-4F49-9D53-282804968AB2}"/>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3 5" xfId="31929" xr:uid="{BD43FFDF-D321-49CF-8E57-FC0670884458}"/>
    <cellStyle name="Normal 5 5 12 3 3 6" xfId="32175" xr:uid="{AA9CAE9A-CD71-4578-9293-D941BCFD6DBD}"/>
    <cellStyle name="Normal 5 5 12 3 4" xfId="24796" xr:uid="{EC1A1E87-7558-46ED-8398-DDED782A19A9}"/>
    <cellStyle name="Normal 5 5 12 3 5" xfId="32060" xr:uid="{47290F5A-24EB-4705-85C9-E3F8148FC42F}"/>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3 5" xfId="31902" xr:uid="{B49DDE4E-B474-4D82-8DE7-DE34D666ABD3}"/>
    <cellStyle name="Normal 5 5 12 4 3 6" xfId="32148" xr:uid="{B7B2E2DA-61BF-491D-9877-DF57AEFDCD41}"/>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7 5" xfId="31849" xr:uid="{A34030C0-1ADE-4F6E-8588-709AA51B14BF}"/>
    <cellStyle name="Normal 5 5 12 7 6" xfId="32108" xr:uid="{8288AC63-BF3D-4364-863C-72DE50C3467E}"/>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8 5" xfId="31966" xr:uid="{198FE584-0EBD-4846-9AFF-45C9E6F51FC7}"/>
    <cellStyle name="Normal 5 5 12 8 6" xfId="32212" xr:uid="{997699F3-AB23-46C9-BB1A-88302DF5365E}"/>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3 6" xfId="31903" xr:uid="{7E62AF28-5138-45A1-B504-E13586E5ACC7}"/>
    <cellStyle name="Normal 5 5 14 3 7" xfId="32149" xr:uid="{B5805857-44F8-4D4C-BEE9-8B1DF473EE8F}"/>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7 6" xfId="31838" xr:uid="{6A51634D-127A-4B22-AE22-86669FF3445A}"/>
    <cellStyle name="Normal 5 5 17 7" xfId="32106" xr:uid="{A48E1096-666F-47CD-9217-5A51D7074049}"/>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8 5" xfId="31956" xr:uid="{6F225451-E1BB-4748-84E3-8090BB6BD0E2}"/>
    <cellStyle name="Normal 5 5 18 6" xfId="32202" xr:uid="{CF61D7AF-6D21-4ADD-8982-497984D8C3EE}"/>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23 2" xfId="32019" xr:uid="{81E550AD-9039-41F4-A2D5-02CB7EC9C075}"/>
    <cellStyle name="Normal 5 5 24" xfId="31777" xr:uid="{063500B0-5BCF-4689-9FF8-33FD7D7871A1}"/>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5 7" xfId="31904" xr:uid="{03741BC8-310A-4A53-AF2C-7496C15FEEE9}"/>
    <cellStyle name="Normal 5 5 3 3 2 5 8" xfId="32150" xr:uid="{3BAE5F91-E17A-4BA4-87B8-898152A1184E}"/>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6 5" xfId="31840" xr:uid="{02E3CA20-CDCC-4EF9-A465-3AFA4DE6B0FA}"/>
    <cellStyle name="Normal 5 5 3 3 6 6" xfId="32087" xr:uid="{3674EC89-1C4E-4524-B74D-974A3A55511B}"/>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7 7" xfId="31958" xr:uid="{26829776-719A-46BD-A258-5673071C5FD9}"/>
    <cellStyle name="Normal 5 5 3 3 7 8" xfId="32204" xr:uid="{ED3B30F4-74F7-4599-84F8-6A065647B270}"/>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6 5" xfId="31996" xr:uid="{63D7B69F-D531-4296-933F-895FCFAC05FA}"/>
    <cellStyle name="Normal 5 7" xfId="30110" xr:uid="{B86EA2F7-3D8C-4453-9463-4535C564224A}"/>
    <cellStyle name="Normal 5 7 2" xfId="31496" xr:uid="{388D835E-8A46-47C8-B36E-97EC381E07D9}"/>
    <cellStyle name="Normal 5 8" xfId="31738" xr:uid="{2A11AEFC-1C32-45CA-8BBE-59875947677C}"/>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2 3 5" xfId="31905" xr:uid="{B4F14851-42A4-42D8-AD46-176C1F10B645}"/>
    <cellStyle name="Normal 6 2 4 2 3 6" xfId="32151" xr:uid="{5AB765FA-4015-4D3A-BCCC-4EBFFA089F83}"/>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3 3 5" xfId="31906" xr:uid="{4DC8D91C-F9C0-4E7B-A88F-826CB688E59F}"/>
    <cellStyle name="Normal 6 3 3 3 2 3 2 3 3 6" xfId="32152" xr:uid="{19D7C495-3603-4F58-AFF0-B0FBCFB3C310}"/>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5 5" xfId="31842" xr:uid="{D0802F31-2ACA-4BC1-B9A9-A45C60546CFF}"/>
    <cellStyle name="Normal 6 3 3 3 2 3 5 6" xfId="32063" xr:uid="{E69BC089-73BF-44C5-B31A-2A8BE23FFD17}"/>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6 5" xfId="31960" xr:uid="{2E1EAF87-55A0-4572-8E1C-BFD5E308123D}"/>
    <cellStyle name="Normal 6 3 3 3 2 3 6 6" xfId="32206" xr:uid="{26A7FA78-89F6-43D9-A88B-BB2F6AC14D6D}"/>
    <cellStyle name="Normal 6 3 3 3 2 3 7" xfId="30146" xr:uid="{DC11676B-B130-4A24-B13D-A1AF24211213}"/>
    <cellStyle name="Normal 6 3 3 3 2 3 7 2" xfId="30513" xr:uid="{2A90FA8B-F176-40AB-B942-C645A0B2AC10}"/>
    <cellStyle name="Normal 6 3 3 3 2 3 8" xfId="31780" xr:uid="{AC73DE27-1D15-4E8C-90EF-DCE8A505F7A5}"/>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3 5" xfId="32011" xr:uid="{06FC7E84-62B2-4631-875C-E016AFD26780}"/>
    <cellStyle name="Normal 6 3 3 3 2 4 3 4" xfId="30363" xr:uid="{3A82768C-6B5D-4D32-86C4-08DE35B49E64}"/>
    <cellStyle name="Normal 6 3 3 3 2 4 3 4 2" xfId="31703" xr:uid="{7FCFC7B6-2244-4C07-99E2-5744C78CE1C6}"/>
    <cellStyle name="Normal 6 3 3 3 2 4 3 5" xfId="31997" xr:uid="{6BCD8F41-81B7-4A64-B6D4-6AE476FDC704}"/>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5 5" xfId="31841" xr:uid="{16E90C34-F0D9-4A4C-8F6D-4B650C3B357C}"/>
    <cellStyle name="Normal 6 3 3 3 2 5 6" xfId="32062" xr:uid="{A5233C2E-1CA1-4E49-9C1E-BF87D1C58A17}"/>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6 5" xfId="31959" xr:uid="{AFB3293D-1D1B-4E4B-BCC4-9F86F25FDAD0}"/>
    <cellStyle name="Normal 6 3 3 3 2 6 6" xfId="32205" xr:uid="{915501B3-D0BB-4142-9803-CDA8CBB8E17F}"/>
    <cellStyle name="Normal 6 3 3 3 2 7" xfId="30145" xr:uid="{80BE168A-ACEA-40EE-BC12-1FF256FF1F93}"/>
    <cellStyle name="Normal 6 3 3 3 2 7 2" xfId="30512" xr:uid="{1E65CB5E-5F31-4857-9CD1-EB4B121E79A0}"/>
    <cellStyle name="Normal 6 3 3 3 2 8" xfId="31779" xr:uid="{4C8A44DD-8075-43F2-9BD9-C440A97796EC}"/>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3 5" xfId="31907" xr:uid="{64AE5BE2-C6F0-4593-AF10-CB08CD91C41C}"/>
    <cellStyle name="Normal 6 3 3 3 4 2 2 2 3 6" xfId="32153" xr:uid="{0946E5F7-75A5-49CE-B8ED-FCE13A67552E}"/>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4 5" xfId="31844" xr:uid="{FF44EAE1-CC4B-400F-A821-0D0892824B90}"/>
    <cellStyle name="Normal 6 3 3 3 4 2 3 4 6" xfId="32107" xr:uid="{D862AEEF-FBA0-4749-87DD-A6A26206EEA0}"/>
    <cellStyle name="Normal 6 3 3 3 4 2 3 5" xfId="25802" xr:uid="{593CE574-319A-4AC6-9B5C-702D762FB4CA}"/>
    <cellStyle name="Normal 6 3 3 3 4 2 3 6" xfId="30541" xr:uid="{5EBC0163-4363-4F13-A5DD-AE3FCBD0410B}"/>
    <cellStyle name="Normal 6 3 3 3 4 2 3 7" xfId="32088" xr:uid="{71596E6E-6156-4735-A18E-9D322AFBF099}"/>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5 5" xfId="31843" xr:uid="{D1D22720-42CB-4E40-B482-92A31F5815B3}"/>
    <cellStyle name="Normal 6 3 3 3 4 5 6" xfId="32064" xr:uid="{5F305F8E-7418-44D5-BDBA-E25B8D26ED7E}"/>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6 5" xfId="31961" xr:uid="{51857C86-AF84-4E98-9557-4094E2346B70}"/>
    <cellStyle name="Normal 6 3 3 3 4 6 6" xfId="32207" xr:uid="{30124DAE-432A-4CC2-8694-F973B79FAE27}"/>
    <cellStyle name="Normal 6 3 3 3 4 7" xfId="30147" xr:uid="{C2411ACB-20F6-4EE0-8B84-B62097023916}"/>
    <cellStyle name="Normal 6 3 3 3 4 7 2" xfId="30514" xr:uid="{BAFE7101-FEEB-42B9-BA1E-81777797EAA5}"/>
    <cellStyle name="Normal 6 3 3 3 4 8" xfId="31781" xr:uid="{2E1ED63D-1216-41C8-809E-8C7973656B24}"/>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3 6" xfId="31908" xr:uid="{69BC04FC-FEA8-4E45-8752-A42C8361048B}"/>
    <cellStyle name="Normal 6 3 3 3 5 3 7" xfId="32154" xr:uid="{EBCB9F0D-634F-4A46-9DAF-A8E731C50762}"/>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3 3 5" xfId="31909" xr:uid="{66977EE9-6F4B-4C05-9F60-D1EDCBE9CD5E}"/>
    <cellStyle name="Normal 6 3 3 4 3 2 3 3 6" xfId="32155" xr:uid="{79C1952A-9826-4FA3-98B7-A18F49DCF9DF}"/>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5 5" xfId="31846" xr:uid="{2D22FBDD-9B81-407A-A5DF-3CE283B1CAA8}"/>
    <cellStyle name="Normal 6 3 3 4 3 5 6" xfId="32066" xr:uid="{26AE0230-020B-492A-A21B-ECD2B49D6A77}"/>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6 5" xfId="31963" xr:uid="{674A6D6C-A61D-4C55-B6BD-FC47C98FA7B6}"/>
    <cellStyle name="Normal 6 3 3 4 3 6 6" xfId="32209" xr:uid="{43328B70-84D4-4A6A-BDD8-8C9A0E31EC4C}"/>
    <cellStyle name="Normal 6 3 3 4 3 7" xfId="30149" xr:uid="{5DD134DE-7771-4AC1-A6C7-CAB182204804}"/>
    <cellStyle name="Normal 6 3 3 4 3 7 2" xfId="30516" xr:uid="{F5396644-8DAF-4937-A4F1-2401EBC3517A}"/>
    <cellStyle name="Normal 6 3 3 4 3 8" xfId="31783" xr:uid="{12048E24-3C43-4435-BE8C-D5069E93FC2F}"/>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4 3 5" xfId="31910" xr:uid="{951405C8-B7DD-4C08-BFB4-871217ABAC05}"/>
    <cellStyle name="Normal 6 3 3 4 4 3 6" xfId="32156" xr:uid="{A6B55A31-47CF-43BE-869D-63FCF60C44F5}"/>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5 5" xfId="31845" xr:uid="{DB32A3B8-5C37-4356-AA3C-90F98EB93FA0}"/>
    <cellStyle name="Normal 6 3 3 4 5 6" xfId="32065" xr:uid="{5341F8C9-7DED-45C7-85B1-312E3D6EAA05}"/>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6 5" xfId="31962" xr:uid="{DC78F7B7-6B26-4AC5-984F-17C8FD986577}"/>
    <cellStyle name="Normal 6 3 3 4 6 6" xfId="32208" xr:uid="{E3055E8B-02DA-47F5-8446-9D82B5278C62}"/>
    <cellStyle name="Normal 6 3 3 4 7" xfId="30148" xr:uid="{838F89EF-1D7F-4065-8D4C-3A4DAF9BF3DA}"/>
    <cellStyle name="Normal 6 3 3 4 7 2" xfId="30515" xr:uid="{05F24ADF-AA50-4531-B604-5CFE29E6FEC6}"/>
    <cellStyle name="Normal 6 3 3 4 8" xfId="31782" xr:uid="{FEEE74F3-2B84-4E8F-BAB1-8AF14D10129F}"/>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5 5" xfId="31804" xr:uid="{B3748554-0B6A-4B8F-9DBC-D73F2A66DFC1}"/>
    <cellStyle name="Normal 6 3 3 5 6" xfId="32097" xr:uid="{B48B7DFB-70DD-4626-9335-A3CDD2FF2669}"/>
    <cellStyle name="Normal 6 3 3 6" xfId="30102" xr:uid="{39D311B1-3F99-4637-B6B6-3945F5B433CC}"/>
    <cellStyle name="Normal 6 3 3 6 2" xfId="30475" xr:uid="{F1B2B02C-F2EA-473E-AE49-8B217EFDE528}"/>
    <cellStyle name="Normal 6 3 3 7" xfId="31748" xr:uid="{4A82FE77-F13D-47E1-8718-69A66B938AB7}"/>
    <cellStyle name="Normal 6 3 3 8" xfId="32030" xr:uid="{5825680E-5596-41D1-BB38-595BA26937F6}"/>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3 3 5" xfId="31911" xr:uid="{ED0A0047-CDC3-4569-847C-302E6CE1CE6E}"/>
    <cellStyle name="Normal 6 3 4 3 2 3 3 6" xfId="32157" xr:uid="{2D75CB93-E334-4B75-BBFE-E5CB1CE02FE7}"/>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5 5" xfId="31848" xr:uid="{BB170375-6210-4D6C-9888-71D334730DE6}"/>
    <cellStyle name="Normal 6 3 4 3 5 6" xfId="32068" xr:uid="{D6A74C1C-72A6-4F24-A37E-A15C7B12C228}"/>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6 5" xfId="31965" xr:uid="{0080A4F2-C314-4612-BF76-5FBC385C3736}"/>
    <cellStyle name="Normal 6 3 4 3 6 6" xfId="32211" xr:uid="{C50A2EE9-9429-45C2-ADD2-E547E962B551}"/>
    <cellStyle name="Normal 6 3 4 3 7" xfId="30151" xr:uid="{7EB70341-ADA0-4143-B80B-2417C60D5EFB}"/>
    <cellStyle name="Normal 6 3 4 3 7 2" xfId="30519" xr:uid="{35C90F93-35F2-4DF2-AF1A-E04B1075095B}"/>
    <cellStyle name="Normal 6 3 4 3 8" xfId="31785" xr:uid="{01430505-97F4-473B-8E56-9B7CA08BF22D}"/>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3 5" xfId="32012" xr:uid="{2A5DE39B-10E2-4CDF-9538-29E120C87514}"/>
    <cellStyle name="Normal 6 3 4 4 2 4" xfId="30364" xr:uid="{ED8C1BC9-242E-4E34-A350-F2FCEF2ABD52}"/>
    <cellStyle name="Normal 6 3 4 4 2 4 2" xfId="31704" xr:uid="{1508FF5D-6EE9-4924-B426-3723E8CF7E8F}"/>
    <cellStyle name="Normal 6 3 4 4 2 5" xfId="31998" xr:uid="{D2580A4E-D5D9-4858-8863-0FBC62EB80D7}"/>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5 5" xfId="31847" xr:uid="{6C5AA0DD-3468-4F0D-B57F-4A9120AFE14F}"/>
    <cellStyle name="Normal 6 3 4 5 6" xfId="32067" xr:uid="{A5AD2D41-BA65-4EA2-B24D-3AB815F61E84}"/>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6 5" xfId="31964" xr:uid="{F27C1DC0-90DF-4120-8952-65B84C1CBB5C}"/>
    <cellStyle name="Normal 6 3 4 6 6" xfId="32210" xr:uid="{1E341F02-55F6-42F1-92B5-26B035086D0C}"/>
    <cellStyle name="Normal 6 3 4 7" xfId="30150" xr:uid="{230E3327-1DCE-4021-B3F8-983D1A5A137A}"/>
    <cellStyle name="Normal 6 3 4 7 2" xfId="30518" xr:uid="{E88A4B4D-5E2F-4EF4-8F91-154A61DEACCE}"/>
    <cellStyle name="Normal 6 3 4 8" xfId="31784" xr:uid="{6D7E8ABB-FD7C-401F-A318-46987B373574}"/>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5 4" xfId="31999" xr:uid="{E0EBF805-1D6B-4701-B2D1-326C63ED6BE7}"/>
    <cellStyle name="Normal 6 3 6" xfId="31500" xr:uid="{DD156CEF-7EAB-43B9-BB83-25E20C183EA0}"/>
    <cellStyle name="Normal 6 3 7" xfId="31742" xr:uid="{B400B9E4-1355-4386-B647-8830266281C1}"/>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3 3 5" xfId="31912" xr:uid="{FA306F00-B841-4355-A066-EC66918A692E}"/>
    <cellStyle name="Normal 6 5 3 2 3 2 3 3 6" xfId="32158" xr:uid="{D5FDA5DC-DCE1-4DBA-B3BA-168F8582599C}"/>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5 5" xfId="31851" xr:uid="{67AA7A16-6D9A-4F6F-8C69-9779C128EF35}"/>
    <cellStyle name="Normal 6 5 3 2 3 5 6" xfId="32070" xr:uid="{42C2D68C-3885-4A79-ABC1-769A1BFAFB55}"/>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6 5" xfId="31968" xr:uid="{C3B81571-3093-4248-9DDA-B5D3C700E5CD}"/>
    <cellStyle name="Normal 6 5 3 2 3 6 6" xfId="32214" xr:uid="{973FDEB7-9577-406E-92B6-FF9C24A58221}"/>
    <cellStyle name="Normal 6 5 3 2 3 7" xfId="30153" xr:uid="{49112585-27FD-43F2-BF44-AC831E47158C}"/>
    <cellStyle name="Normal 6 5 3 2 3 7 2" xfId="30522" xr:uid="{97E9803D-6432-444E-A890-68A0602A16F1}"/>
    <cellStyle name="Normal 6 5 3 2 3 8" xfId="31787" xr:uid="{92E4056A-0E55-450E-8180-8D324919DF75}"/>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3 5" xfId="32013" xr:uid="{ED42548C-FFC3-4356-B950-BF13D0FA1BF0}"/>
    <cellStyle name="Normal 6 5 3 2 4 3 4" xfId="30366" xr:uid="{ECE487CF-3F45-4A59-B530-7A43F95E48BF}"/>
    <cellStyle name="Normal 6 5 3 2 4 3 4 2" xfId="31705" xr:uid="{08509A36-70E6-4EBD-A46D-BFCD7652D951}"/>
    <cellStyle name="Normal 6 5 3 2 4 3 5" xfId="32000" xr:uid="{524D9E0C-D4F0-412A-85C7-DB233C7F4163}"/>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5 5" xfId="31850" xr:uid="{C249B8BB-7FA6-449E-90CB-9850ACEA77F4}"/>
    <cellStyle name="Normal 6 5 3 2 5 6" xfId="32069" xr:uid="{84668CDA-06CD-4E13-ACE5-C453BFC62470}"/>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6 5" xfId="31967" xr:uid="{3399695D-436F-4CC2-AF84-C02327CC6E8C}"/>
    <cellStyle name="Normal 6 5 3 2 6 6" xfId="32213" xr:uid="{FAA4C530-B529-4E40-8B98-F22B7C99C702}"/>
    <cellStyle name="Normal 6 5 3 2 7" xfId="30152" xr:uid="{940D94C0-6359-4490-BCCE-8FEBED747550}"/>
    <cellStyle name="Normal 6 5 3 2 7 2" xfId="30521" xr:uid="{AC08ED16-3FFE-4CEE-BEF0-0022C74CD6F4}"/>
    <cellStyle name="Normal 6 5 3 2 8" xfId="31786" xr:uid="{52842E78-08C4-4D93-B418-278B236D7F7D}"/>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3 5" xfId="31913" xr:uid="{A7805F84-0B74-416D-ADFD-01F71EC45096}"/>
    <cellStyle name="Normal 6 5 3 4 2 2 2 3 6" xfId="32159" xr:uid="{EA101557-3439-445B-8C10-352E9E89BCF5}"/>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4 5" xfId="31853" xr:uid="{37184B02-C537-4F3D-B29D-AC1AF1DF004A}"/>
    <cellStyle name="Normal 6 5 3 4 2 3 4 6" xfId="32109" xr:uid="{0810EBE3-F2DC-4385-B21B-A772CCA3B308}"/>
    <cellStyle name="Normal 6 5 3 4 2 3 5" xfId="25819" xr:uid="{146A0A89-FA15-4673-83D1-1BD48BA23B4F}"/>
    <cellStyle name="Normal 6 5 3 4 2 3 6" xfId="30542" xr:uid="{1E4E56E2-FCF3-4C9E-A5C1-C675C3F1A005}"/>
    <cellStyle name="Normal 6 5 3 4 2 3 7" xfId="32089" xr:uid="{89F5A0CB-80C0-499D-9C7D-DAA5E618DCC0}"/>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5 5" xfId="31852" xr:uid="{69C82089-5492-414A-9DDA-ADF45843FE6D}"/>
    <cellStyle name="Normal 6 5 3 4 5 6" xfId="32071" xr:uid="{F7D4BAB2-D7F9-4583-84C5-7B162C449566}"/>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6 5" xfId="31969" xr:uid="{37B21FB9-1290-4412-A9CE-92BD2AAF5C40}"/>
    <cellStyle name="Normal 6 5 3 4 6 6" xfId="32215" xr:uid="{3C0FCDD0-B95B-46F6-925E-DCD66F970495}"/>
    <cellStyle name="Normal 6 5 3 4 7" xfId="30154" xr:uid="{B6B1B1A2-B731-440F-A283-79585C0A73B2}"/>
    <cellStyle name="Normal 6 5 3 4 7 2" xfId="30523" xr:uid="{8E1F6B5E-F917-4E06-A35E-B3F4B762C63D}"/>
    <cellStyle name="Normal 6 5 3 4 8" xfId="31788" xr:uid="{C0022AF3-683F-4822-9FDE-2D4825BB3CEB}"/>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3 6" xfId="31914" xr:uid="{9D47DEBD-EEFE-4E64-8C27-EA9C22AC519C}"/>
    <cellStyle name="Normal 6 5 3 5 3 7" xfId="32160" xr:uid="{7F346A5E-8808-4157-B2FA-196A1C6AFE18}"/>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3 3 5" xfId="31915" xr:uid="{823605E1-DB5C-4F59-9EE6-AE17B1CDA6F4}"/>
    <cellStyle name="Normal 6 5 4 3 2 3 3 6" xfId="32161" xr:uid="{7E0EFACE-B185-49D2-BE76-C8039F08E30A}"/>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5 5" xfId="31855" xr:uid="{4429D6D9-8CFE-407C-B71F-35EA55399D04}"/>
    <cellStyle name="Normal 6 5 4 3 5 6" xfId="32073" xr:uid="{0BAB37AE-3F56-44D8-A945-5D7494637758}"/>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6 5" xfId="31971" xr:uid="{F0527D1F-273E-49D2-A24A-A75265A92AFF}"/>
    <cellStyle name="Normal 6 5 4 3 6 6" xfId="32217" xr:uid="{61769404-F045-4550-AEC6-212E554006D4}"/>
    <cellStyle name="Normal 6 5 4 3 7" xfId="30156" xr:uid="{E689BF94-8089-4EDB-8A90-EC9DD05FAEB6}"/>
    <cellStyle name="Normal 6 5 4 3 7 2" xfId="30525" xr:uid="{EFBA4820-C840-4148-BF88-6BDF2F0347D9}"/>
    <cellStyle name="Normal 6 5 4 3 8" xfId="31790" xr:uid="{A00B5BF0-4630-4B27-BCA7-9409C3E3A23A}"/>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4 3 5" xfId="31916" xr:uid="{7A555C8D-B18E-4F02-8331-898A76BDA649}"/>
    <cellStyle name="Normal 6 5 4 4 3 6" xfId="32162" xr:uid="{13603221-BABB-494F-806D-FB644E8D7EC0}"/>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5 5" xfId="31854" xr:uid="{D28721DE-819F-43F9-A414-2BEC67C0122E}"/>
    <cellStyle name="Normal 6 5 4 5 6" xfId="32072" xr:uid="{0842FFA1-04B8-4AD9-8C78-7FE22E8AB594}"/>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6 5" xfId="31970" xr:uid="{433CF912-D1A6-4A9F-8959-3B581688C430}"/>
    <cellStyle name="Normal 6 5 4 6 6" xfId="32216" xr:uid="{0DB0D1EF-2F19-4AEA-975F-6571C21F0976}"/>
    <cellStyle name="Normal 6 5 4 7" xfId="30155" xr:uid="{2552D7E3-E9B3-4241-AB50-FAF890DD8E42}"/>
    <cellStyle name="Normal 6 5 4 7 2" xfId="30524" xr:uid="{4C0D5AE6-EFC9-4BFA-B323-123CB782B2A7}"/>
    <cellStyle name="Normal 6 5 4 8" xfId="31789" xr:uid="{33361614-3A2D-4D7D-BAA2-A1E6B612CF9C}"/>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5 5" xfId="31805" xr:uid="{C050C015-E250-4559-AD66-78B8986C407A}"/>
    <cellStyle name="Normal 6 5 5 6" xfId="32098" xr:uid="{F7096AA6-BE7E-43AA-BCB6-1FF59B4871BD}"/>
    <cellStyle name="Normal 6 5 6" xfId="30115" xr:uid="{8D7A58C9-2680-41F9-B10A-5FB6EB00FD95}"/>
    <cellStyle name="Normal 6 5 6 2" xfId="30476" xr:uid="{6AC3E222-93E2-4ED5-A04F-8AD2183A95F8}"/>
    <cellStyle name="Normal 6 5 7" xfId="31749" xr:uid="{CB59BB16-5F38-4712-9C3A-9A00767CB6AD}"/>
    <cellStyle name="Normal 6 5 8" xfId="32031" xr:uid="{3C0EE116-C70C-4047-88B3-9ACE3E301564}"/>
    <cellStyle name="Normal 6 6" xfId="1313" xr:uid="{00000000-0005-0000-0000-0000F2060000}"/>
    <cellStyle name="Normal 6 6 10" xfId="30157" xr:uid="{52A1F13F-0078-432B-BBAA-5F6768E9F38E}"/>
    <cellStyle name="Normal 6 6 10 2" xfId="31504" xr:uid="{05AC218F-FBCD-4605-9DE7-01587C8CA6CF}"/>
    <cellStyle name="Normal 6 6 11" xfId="31791" xr:uid="{74FF6331-4671-4D2A-B271-7069687F8CA4}"/>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4 6" xfId="31857" xr:uid="{28903465-60C5-4A10-A8E8-F00A275D3F5A}"/>
    <cellStyle name="Normal 6 6 3 3 4 7" xfId="32111" xr:uid="{AD4E202C-76C7-4DDC-904F-06BB190C0A7F}"/>
    <cellStyle name="Normal 6 6 3 3 5" xfId="30463" xr:uid="{904D57A7-5920-484C-BF65-E06F982671D6}"/>
    <cellStyle name="Normal 6 6 3 3 6" xfId="30543" xr:uid="{45581F97-261A-4B5F-B6BF-52BB811941F9}"/>
    <cellStyle name="Normal 6 6 3 3 7" xfId="32090" xr:uid="{99F59213-3A98-48FB-83A3-097A16D2EADA}"/>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3 4 3 5" xfId="31917" xr:uid="{3F146B55-5D43-4400-8F65-8489273F94A0}"/>
    <cellStyle name="Normal 6 6 3 4 3 6" xfId="32163" xr:uid="{7F409437-1851-4F5F-AC57-96FBF24E4A52}"/>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3 3 5" xfId="31918" xr:uid="{960E59B8-C2E3-483C-ADDB-D1989A9218F0}"/>
    <cellStyle name="Normal 6 6 4 2 3 3 6" xfId="32164" xr:uid="{2A887A31-ECC0-4002-8EF2-3D392B31C9DF}"/>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5 5" xfId="31858" xr:uid="{173280EF-6653-42CB-8434-355231052529}"/>
    <cellStyle name="Normal 6 6 4 5 6" xfId="32075" xr:uid="{30ACB0FA-61A5-458A-AE00-00FBBC380300}"/>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6 5" xfId="31973" xr:uid="{342A6E5E-5D39-46FA-9E49-D50F18241D08}"/>
    <cellStyle name="Normal 6 6 4 6 6" xfId="32219" xr:uid="{F343637C-49C7-4008-A116-35DA527648F1}"/>
    <cellStyle name="Normal 6 6 4 7" xfId="30158" xr:uid="{5E7B4808-922D-4165-8936-0598A0A6DAFF}"/>
    <cellStyle name="Normal 6 6 4 7 2" xfId="30527" xr:uid="{D1390093-1061-4654-B29D-280509906CE5}"/>
    <cellStyle name="Normal 6 6 4 8" xfId="31792" xr:uid="{8DEA34C9-654F-4005-85CB-82FA7DFB213E}"/>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2 5" xfId="31984" xr:uid="{AF73F513-87D6-47D6-9646-C04065186AB3}"/>
    <cellStyle name="Normal 6 6 6 3 2 6" xfId="32230" xr:uid="{0ABB5870-4E25-45D7-BBC3-C2B80A2AD52F}"/>
    <cellStyle name="Normal 6 6 6 3 3" xfId="25364" xr:uid="{25F2D5BA-2D6F-4E91-8FBB-4B9D252657D9}"/>
    <cellStyle name="Normal 6 6 6 3 4" xfId="32074" xr:uid="{18BFF11E-7610-426C-B28D-936EDCEF41C7}"/>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4 5" xfId="31868" xr:uid="{03485721-D522-4C8E-B1BE-9731A263D2AE}"/>
    <cellStyle name="Normal 6 6 6 4 6" xfId="32114" xr:uid="{57F7F0A4-0ADD-46A7-B3DC-D87ED5E81B96}"/>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5 5" xfId="31982" xr:uid="{6B670D1B-72F8-476C-9820-687259F35253}"/>
    <cellStyle name="Normal 6 6 6 5 6" xfId="32228" xr:uid="{3711D0B2-6290-40B5-8425-F1F2B27836C4}"/>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7 3 5" xfId="31919" xr:uid="{16F026D2-0DB1-46A8-8FFA-BC5B09FC2223}"/>
    <cellStyle name="Normal 6 6 7 3 6" xfId="32165" xr:uid="{70D919C7-8208-4F38-848C-CB058FBFC63D}"/>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8 5" xfId="31856" xr:uid="{7366CA6F-6EE2-4AEC-9452-BA6A62DD4FB2}"/>
    <cellStyle name="Normal 6 6 8 6" xfId="32110" xr:uid="{750C72DC-082D-494E-A82F-64ACA212DA73}"/>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6 9 5" xfId="31972" xr:uid="{10DB9F5C-EF7E-4FBA-9689-529FC0D984FB}"/>
    <cellStyle name="Normal 6 6 9 6" xfId="32218" xr:uid="{03C8E76B-E86A-4701-B7E2-93A892D97E76}"/>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3 5" xfId="32014" xr:uid="{E5B9F66D-6161-48B2-803E-6760CD70079F}"/>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7 6" xfId="32001" xr:uid="{21442EBC-428C-40AE-9CDB-EDF03BE8B984}"/>
    <cellStyle name="Normal 6 8" xfId="31497" xr:uid="{87BFBF72-39C8-449B-BCD7-58E40C532503}"/>
    <cellStyle name="Normal 6 9" xfId="31739" xr:uid="{76EECAB5-253D-4568-A8DF-AA4469B54760}"/>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6 5" xfId="32015" xr:uid="{46B3987C-F377-4BA8-88FD-DD093606B7D0}"/>
    <cellStyle name="Normal 7 14 3 7" xfId="29635" xr:uid="{34C97F94-45C7-4B15-9ED5-2C3B425DF668}"/>
    <cellStyle name="Normal 7 14 3 8" xfId="30368" xr:uid="{41672123-6C8D-4359-9C8E-48BF387564A2}"/>
    <cellStyle name="Normal 7 14 3 8 2" xfId="31707" xr:uid="{E814CD8D-8D5B-49AD-88A8-8E69D7486D14}"/>
    <cellStyle name="Normal 7 14 3 9" xfId="32002" xr:uid="{BCC042FB-75E0-4775-91B4-89B2F3EE376D}"/>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22 2" xfId="32018" xr:uid="{50E47BEF-A468-48F5-A420-3B199B9330CE}"/>
    <cellStyle name="Normal 7 23" xfId="31743" xr:uid="{CEF6573A-53EC-4ADF-A172-4A2371A008E9}"/>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3 3 5" xfId="31920" xr:uid="{55361E46-5E85-436F-A87E-13321082FEED}"/>
    <cellStyle name="Normal 7 3 3 2 3 2 3 3 6" xfId="32166" xr:uid="{94777596-6B0A-434A-A55F-62A5441F2D84}"/>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5 5" xfId="31860" xr:uid="{9CBCCE02-47FB-4AF6-ADDB-B464771E04FE}"/>
    <cellStyle name="Normal 7 3 3 2 3 5 6" xfId="32077" xr:uid="{F489CED1-F427-4EF6-A273-C3CF3DAEBF51}"/>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6 5" xfId="31975" xr:uid="{97F602CD-4D32-4105-B0B3-757FFCD6EBFE}"/>
    <cellStyle name="Normal 7 3 3 2 3 6 6" xfId="32221" xr:uid="{3101749F-D57C-402B-A907-8D6192CD3550}"/>
    <cellStyle name="Normal 7 3 3 2 3 7" xfId="30160" xr:uid="{780A71C4-DEF8-4E6E-ACC0-3655804A98B1}"/>
    <cellStyle name="Normal 7 3 3 2 3 7 2" xfId="30530" xr:uid="{0EEE45BB-0632-4849-9B3D-03E60AC02070}"/>
    <cellStyle name="Normal 7 3 3 2 3 8" xfId="31794" xr:uid="{C144B9C8-39BD-4E83-B5B7-593FF45276F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3 5" xfId="32016" xr:uid="{BAA84678-B9E5-44F0-AACB-BC984A455A5A}"/>
    <cellStyle name="Normal 7 3 3 2 4 3 4" xfId="30369" xr:uid="{51F68BB7-1CBC-471B-8C45-133EBC2770D2}"/>
    <cellStyle name="Normal 7 3 3 2 4 3 4 2" xfId="31708" xr:uid="{9A461396-9683-439E-A844-9F185B081F12}"/>
    <cellStyle name="Normal 7 3 3 2 4 3 5" xfId="32003" xr:uid="{8F72FC01-163A-4051-8EAF-8C05A91C2A2C}"/>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5 5" xfId="31859" xr:uid="{8A5C62B8-D4CC-4179-ADE7-B7BC4D8AF4B6}"/>
    <cellStyle name="Normal 7 3 3 2 5 6" xfId="32076" xr:uid="{3F34620B-82CB-4DDC-9F5A-99EDB2F288B4}"/>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6 5" xfId="31974" xr:uid="{5153D389-8175-4598-B8CE-6C4EAFCC97B3}"/>
    <cellStyle name="Normal 7 3 3 2 6 6" xfId="32220" xr:uid="{92B881DB-FDFA-42E3-8E65-529D4689834A}"/>
    <cellStyle name="Normal 7 3 3 2 7" xfId="30159" xr:uid="{FA8D9B86-1118-4618-BB6D-43B775B037D2}"/>
    <cellStyle name="Normal 7 3 3 2 7 2" xfId="30529" xr:uid="{5EDFF2C5-0B36-4BC0-9185-4FF885E1700E}"/>
    <cellStyle name="Normal 7 3 3 2 8" xfId="31793" xr:uid="{32B13723-F3E1-4DA7-85FD-F0F88921FADD}"/>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3 5" xfId="31921" xr:uid="{63301C97-B84A-4E7A-8688-742EB75815D0}"/>
    <cellStyle name="Normal 7 3 3 4 2 2 2 3 6" xfId="32167" xr:uid="{B315C15B-BCC0-4795-BFA7-5851ABFF2FCC}"/>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4 5" xfId="31862" xr:uid="{2EC07911-05C0-4CAF-B202-5092EDBBF497}"/>
    <cellStyle name="Normal 7 3 3 4 2 3 4 6" xfId="32112" xr:uid="{9842F679-8795-4851-858D-E8DE66F3654C}"/>
    <cellStyle name="Normal 7 3 3 4 2 3 5" xfId="24402" xr:uid="{AE0E1D6A-38CA-406E-AE73-788945631526}"/>
    <cellStyle name="Normal 7 3 3 4 2 3 6" xfId="30544" xr:uid="{AC01CEC4-5B95-4E42-8FF7-121F69B77E99}"/>
    <cellStyle name="Normal 7 3 3 4 2 3 7" xfId="32091" xr:uid="{95C35D15-7114-47A9-AE21-3EFE7472D1EC}"/>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5 5" xfId="31861" xr:uid="{E88DA9FC-87BB-4143-BC53-9B2399968B3D}"/>
    <cellStyle name="Normal 7 3 3 4 5 6" xfId="32078" xr:uid="{30401570-387B-4A35-A5BD-4C16E74A1CB7}"/>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6 5" xfId="31976" xr:uid="{7977BF5F-CF9F-4A6A-8CB8-A7B643E6B27E}"/>
    <cellStyle name="Normal 7 3 3 4 6 6" xfId="32222" xr:uid="{46821557-6810-438F-ABE7-261A2DB5A22E}"/>
    <cellStyle name="Normal 7 3 3 4 7" xfId="30161" xr:uid="{52394549-E29E-4278-9C6A-6C4AFCC85D43}"/>
    <cellStyle name="Normal 7 3 3 4 7 2" xfId="30531" xr:uid="{79991904-AF5C-4236-8DCF-6C2BEDC43AA3}"/>
    <cellStyle name="Normal 7 3 3 4 8" xfId="31795" xr:uid="{47E5FB9E-D623-43B4-A4AD-A3D134ACD5E5}"/>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3 6" xfId="31922" xr:uid="{2C59FDC7-DB25-4F03-A12F-8B0B7DE4C225}"/>
    <cellStyle name="Normal 7 3 3 5 3 7" xfId="32168" xr:uid="{012E91B4-52F1-4F93-ADD5-FFE74E1D9FAF}"/>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3 3 5" xfId="31923" xr:uid="{38023B3C-A0A5-4432-BF8A-CF008C9C4100}"/>
    <cellStyle name="Normal 7 3 4 3 2 3 3 6" xfId="32169" xr:uid="{EC5A307A-1BE4-4483-AFCB-8A1EC2395D05}"/>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5 5" xfId="31864" xr:uid="{4DC4F957-CC23-4812-BAE0-B7E016475ED7}"/>
    <cellStyle name="Normal 7 3 4 3 5 6" xfId="32080" xr:uid="{C1B7C4AB-628F-4969-93FA-F3288C578190}"/>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6 5" xfId="31978" xr:uid="{9306CA6F-2E9E-481C-8EF0-FBCD946739C3}"/>
    <cellStyle name="Normal 7 3 4 3 6 6" xfId="32224" xr:uid="{E86BCDAD-6912-4725-A630-1882EFC952AE}"/>
    <cellStyle name="Normal 7 3 4 3 7" xfId="30163" xr:uid="{8FB8729F-E256-4613-98CA-4EC4024F1636}"/>
    <cellStyle name="Normal 7 3 4 3 7 2" xfId="30533" xr:uid="{D8F8BCBD-9FA9-4694-BE0E-FA68B6A82F77}"/>
    <cellStyle name="Normal 7 3 4 3 8" xfId="31797" xr:uid="{631BC5F8-D753-4365-B5B2-C7BF0ADA5825}"/>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4 3 5" xfId="31924" xr:uid="{D7B6178E-619E-46EE-BDC2-A00B64BB6FB3}"/>
    <cellStyle name="Normal 7 3 4 4 3 6" xfId="32170" xr:uid="{8D9E77EF-5EFB-44AF-9746-8E050FA38B41}"/>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5 5" xfId="31863" xr:uid="{0473FE3B-B9AA-47DE-9BC9-F8D6FA07832C}"/>
    <cellStyle name="Normal 7 3 4 5 6" xfId="32079" xr:uid="{4BFA8A5B-0775-4314-B0BC-214D3C0C246F}"/>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6 5" xfId="31977" xr:uid="{36928D29-A131-4FEB-82EE-02A909264579}"/>
    <cellStyle name="Normal 7 3 4 6 6" xfId="32223" xr:uid="{57A9AB87-6AD9-4C1B-AD26-45B895C81A04}"/>
    <cellStyle name="Normal 7 3 4 7" xfId="30162" xr:uid="{547D83AB-00BA-499B-81A0-779EECACE4D6}"/>
    <cellStyle name="Normal 7 3 4 7 2" xfId="30532" xr:uid="{C34CEC2F-9910-42A5-A6D6-E9823FE39A10}"/>
    <cellStyle name="Normal 7 3 4 8" xfId="31796" xr:uid="{51DAE4A7-2976-4A42-88D1-2A39C979678A}"/>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5 5" xfId="31806" xr:uid="{11E33760-64EC-4568-9ABC-E16EE221B5DD}"/>
    <cellStyle name="Normal 7 3 5 6" xfId="32099" xr:uid="{FE5DE09D-62DE-48A1-9DA3-0F96759C0322}"/>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3 8" xfId="31750" xr:uid="{6F01602F-B9A8-4E34-928B-8B7B3FDA5091}"/>
    <cellStyle name="Normal 7 3 9" xfId="32032" xr:uid="{F63C3004-DBCB-4B88-977B-19E76536AA4E}"/>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3 3 5" xfId="31925" xr:uid="{5B5EBB68-0A11-442D-823C-B46CE6330393}"/>
    <cellStyle name="Normal 7 6 10 2 3 3 6" xfId="32171" xr:uid="{2018F25B-8AEA-4846-AC48-D1A4F6E54831}"/>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5 5" xfId="31866" xr:uid="{3F49E6C2-1A90-4871-B579-033A0A0310AD}"/>
    <cellStyle name="Normal 7 6 10 5 6" xfId="32082" xr:uid="{0A903B2F-C4B5-4C70-B155-28B6F7E5BDD9}"/>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6 5" xfId="31980" xr:uid="{152DA5AE-C37F-47BF-B925-52D2A4AEDE56}"/>
    <cellStyle name="Normal 7 6 10 6 6" xfId="32226" xr:uid="{1DB552DF-9E82-46AB-80D5-88AF96298727}"/>
    <cellStyle name="Normal 7 6 10 7" xfId="30165" xr:uid="{12C3815A-038F-484F-AD47-98D3CF0EAE5F}"/>
    <cellStyle name="Normal 7 6 10 7 2" xfId="30535" xr:uid="{0238211A-81EA-4FE4-8F6A-61EEA3D894FA}"/>
    <cellStyle name="Normal 7 6 10 8" xfId="31799" xr:uid="{8A9FC99B-6DCD-4262-BCF2-EB79CEDF5684}"/>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2 5" xfId="31985" xr:uid="{762A2D3A-6FC8-40AA-B98E-AB71505F9243}"/>
    <cellStyle name="Normal 7 6 12 3 2 6" xfId="32231" xr:uid="{1B356900-6CF9-42A2-83A8-EBDD12A8DFDC}"/>
    <cellStyle name="Normal 7 6 12 3 3" xfId="22886" xr:uid="{EEFDE06D-FAD0-4B2C-B4EC-7A08AE158797}"/>
    <cellStyle name="Normal 7 6 12 3 4" xfId="32081" xr:uid="{B6B8277D-037D-48C6-9731-18C43D970D46}"/>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5 5" xfId="31869" xr:uid="{A8422BAC-31C8-453B-B096-90DBB72464BC}"/>
    <cellStyle name="Normal 7 6 12 5 6" xfId="32115" xr:uid="{630E2661-4FF8-485B-AEF5-91119CA54D94}"/>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6 5" xfId="31983" xr:uid="{3942AF52-D4AD-45BF-A526-185D948791E2}"/>
    <cellStyle name="Normal 7 6 12 6 6" xfId="32229" xr:uid="{566DB2CD-DB1D-4B27-801B-58074284E77A}"/>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3 6" xfId="31926" xr:uid="{2FE623C4-5C9B-4719-9236-574D991686ED}"/>
    <cellStyle name="Normal 7 6 14 3 7" xfId="32172" xr:uid="{D916EB62-9EA0-4869-9826-6B2C464961A3}"/>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7 6" xfId="31865" xr:uid="{E55F823F-4A15-4C26-9344-B1D432761C2B}"/>
    <cellStyle name="Normal 7 6 17 7" xfId="32113" xr:uid="{899A368A-3F38-4036-874B-00D69C12CDA1}"/>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8 5" xfId="31979" xr:uid="{CE2C3E01-1D6B-4F77-AD4A-A2B7FE05F7FC}"/>
    <cellStyle name="Normal 7 6 18 6" xfId="32225" xr:uid="{9070C413-7E8F-48C9-B9A9-32A98DD66096}"/>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23 2" xfId="32020" xr:uid="{973872C4-0B51-4EC1-9087-44540FD2E4EB}"/>
    <cellStyle name="Normal 7 6 24" xfId="31798" xr:uid="{141CC0B2-AEC2-469D-8BE9-D5FE5F93FB89}"/>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5 7" xfId="31927" xr:uid="{0B7A38A3-D1DF-48EC-A2E6-D9E92519B970}"/>
    <cellStyle name="Normal 7 6 3 3 2 5 8" xfId="32173" xr:uid="{6FD7BE73-304E-44A4-85B9-9217454C65E2}"/>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6 5" xfId="31867" xr:uid="{ACF92A0E-985B-41DD-BC15-4DDAD94F98B9}"/>
    <cellStyle name="Normal 7 6 3 3 6 6" xfId="32092" xr:uid="{322114E9-EE0F-4F86-8BAB-06C27442B021}"/>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7 7" xfId="31981" xr:uid="{8F3A3EFA-40F6-4219-A5AF-EC49E0730250}"/>
    <cellStyle name="Normal 7 6 3 3 7 8" xfId="32227" xr:uid="{5BE9D9D5-F9D8-4FB9-B537-A5F74DF2125C}"/>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2 4 5" xfId="31928" xr:uid="{94C5323D-F7B6-4ECB-AD1E-3416C18ADF9C}"/>
    <cellStyle name="Note 4 2 4 6" xfId="32174" xr:uid="{DBB2D37D-45B4-4E0A-A620-0C064D7FEBAF}"/>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4 5" xfId="31807" xr:uid="{64E24786-A0BE-4408-97F4-A4E6CCF6094A}"/>
    <cellStyle name="Note 4 4 6" xfId="32100" xr:uid="{6C7ECA26-7E2B-46A7-B7C1-C5BEBEDD5D7D}"/>
    <cellStyle name="Note 4 5" xfId="29583" xr:uid="{24FEBD0B-5ABA-49D8-AC25-4DA966B23BF8}"/>
    <cellStyle name="Note 4 5 2" xfId="31248" xr:uid="{179223E0-4C3A-4691-A628-3421C1D9764F}"/>
    <cellStyle name="Note 4 5 3" xfId="30548" xr:uid="{6CEC5488-D223-4DCD-BE4A-44A97B40BB66}"/>
    <cellStyle name="Note 4 6" xfId="32033" xr:uid="{71C755E8-AD41-474C-8D18-3B0929BAEEB9}"/>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2 2" xfId="31736" xr:uid="{F5D2602A-1CA8-4937-A75B-B7316868305F}"/>
    <cellStyle name="Percent 2 3" xfId="29585" xr:uid="{8FB87725-886D-4A62-BBA8-4FA9FB880D61}"/>
    <cellStyle name="Percent 2 4" xfId="31735" xr:uid="{81975A88-DC72-409E-895A-F94B1AF416FB}"/>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3 6" xfId="31734" xr:uid="{C296D834-E3A5-4FC0-BDC5-01EF2E3AC3B4}"/>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121">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91" formatCode=";;;"/>
    </dxf>
    <dxf>
      <numFmt numFmtId="191" formatCode=";;;"/>
    </dxf>
    <dxf>
      <numFmt numFmtId="191" formatCode=";;;"/>
    </dxf>
    <dxf>
      <numFmt numFmtId="191" formatCode=";;;"/>
    </dxf>
    <dxf>
      <numFmt numFmtId="191"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ont>
        <color rgb="FFFF0000"/>
      </font>
      <fill>
        <patternFill>
          <bgColor rgb="FFFFFFCC"/>
        </patternFill>
      </fill>
    </dxf>
    <dxf>
      <font>
        <color rgb="FF9C0006"/>
      </font>
      <fill>
        <patternFill>
          <bgColor rgb="FFFFC7CE"/>
        </patternFill>
      </fill>
    </dxf>
    <dxf>
      <font>
        <color rgb="FFFF0000"/>
      </font>
      <fill>
        <patternFill>
          <bgColor rgb="FFFFFFCC"/>
        </patternFill>
      </fill>
    </dxf>
    <dxf>
      <font>
        <color rgb="FFFF0000"/>
      </font>
      <fill>
        <patternFill>
          <bgColor rgb="FFFFFFCC"/>
        </patternFill>
      </fill>
    </dxf>
    <dxf>
      <font>
        <b/>
        <i val="0"/>
        <color rgb="FFFF0000"/>
      </font>
      <fill>
        <patternFill>
          <bgColor rgb="FFFFC7CE"/>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ont>
        <color rgb="FFFF0000"/>
      </font>
      <fill>
        <patternFill>
          <bgColor rgb="FFFFFFCC"/>
        </patternFill>
      </fill>
    </dxf>
    <dxf>
      <fill>
        <patternFill>
          <bgColor theme="5" tint="0.79998168889431442"/>
        </patternFill>
      </fill>
    </dxf>
    <dxf>
      <font>
        <b/>
        <i val="0"/>
      </font>
      <fill>
        <patternFill>
          <bgColor rgb="FFFDC7D6"/>
        </patternFill>
      </fill>
    </dxf>
    <dxf>
      <fill>
        <patternFill>
          <bgColor rgb="FFFFFFCC"/>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fill>
        <patternFill>
          <bgColor rgb="FFFFC7CE"/>
        </patternFill>
      </fill>
    </dxf>
    <dxf>
      <font>
        <color rgb="FF9C0006"/>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numFmt numFmtId="191"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20"/>
      <tableStyleElement type="headerRow" dxfId="119"/>
      <tableStyleElement type="firstRowStripe" dxfId="118"/>
    </tableStyle>
  </tableStyles>
  <colors>
    <mruColors>
      <color rgb="FF99FF66"/>
      <color rgb="FFFFFFCC"/>
      <color rgb="FFFFFFFF"/>
      <color rgb="FFFFC7CE"/>
      <color rgb="FFFFC4FF"/>
      <color rgb="FF0315BD"/>
      <color rgb="FFCCFF66"/>
      <color rgb="FFFDC7D6"/>
      <color rgb="FFFEE2EA"/>
      <color rgb="FFFDD7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  as a % of Expenditures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9.7797185706470544E-2"/>
          <c:y val="0.15667699698037926"/>
          <c:w val="0.87753647349015773"/>
          <c:h val="0.70688706795084866"/>
        </c:manualLayout>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948-4790-A7B9-1F8BA545F0C2}"/>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948-4790-A7B9-1F8BA545F0C2}"/>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1948-4790-A7B9-1F8BA545F0C2}"/>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2022</c:v>
                </c:pt>
                <c:pt idx="1">
                  <c:v>2023</c:v>
                </c:pt>
                <c:pt idx="2" formatCode="General">
                  <c:v>2024</c:v>
                </c:pt>
              </c:numCache>
            </c:numRef>
          </c:cat>
          <c:val>
            <c:numRef>
              <c:f>'Performance  Indicators Print'!$L$11:$N$11</c:f>
              <c:numCache>
                <c:formatCode>0.00%</c:formatCode>
                <c:ptCount val="3"/>
                <c:pt idx="0">
                  <c:v>#N/A</c:v>
                </c:pt>
                <c:pt idx="1">
                  <c:v>#N/A</c:v>
                </c:pt>
                <c:pt idx="2">
                  <c:v>0</c:v>
                </c:pt>
              </c:numCache>
            </c:numRef>
          </c:val>
          <c:extLst>
            <c:ext xmlns:c16="http://schemas.microsoft.com/office/drawing/2014/chart" uri="{C3380CC4-5D6E-409C-BE32-E72D297353CC}">
              <c16:uniqueId val="{00000000-A409-43D6-8C66-73522177D1BF}"/>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Ratio-Water and Sewer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820-4E4A-9E55-9678AD123E46}"/>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820-4E4A-9E55-9678AD123E46}"/>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8820-4E4A-9E55-9678AD123E46}"/>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2022</c:v>
                </c:pt>
                <c:pt idx="1">
                  <c:v>2023</c:v>
                </c:pt>
                <c:pt idx="2" formatCode="General">
                  <c:v>2024</c:v>
                </c:pt>
              </c:numCache>
            </c:numRef>
          </c:cat>
          <c:val>
            <c:numRef>
              <c:f>'Performance  Indicators Print'!$L$16:$N$16</c:f>
              <c:numCache>
                <c:formatCode>0.00</c:formatCode>
                <c:ptCount val="3"/>
                <c:pt idx="0">
                  <c:v>#N/A</c:v>
                </c:pt>
                <c:pt idx="1">
                  <c:v>#N/A</c:v>
                </c:pt>
                <c:pt idx="2">
                  <c:v>0</c:v>
                </c:pt>
              </c:numCache>
            </c:numRef>
          </c:val>
          <c:extLst>
            <c:ext xmlns:c16="http://schemas.microsoft.com/office/drawing/2014/chart" uri="{C3380CC4-5D6E-409C-BE32-E72D297353CC}">
              <c16:uniqueId val="{00000000-1CDB-4C76-BFFC-D1B465011A83}"/>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Ratio-Electric</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95-4FC6-84A4-7A5F1ECAFFDB}"/>
              </c:ext>
            </c:extLst>
          </c:dPt>
          <c:dPt>
            <c:idx val="1"/>
            <c:invertIfNegative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95-4FC6-84A4-7A5F1ECAFFDB}"/>
              </c:ext>
            </c:extLst>
          </c:dPt>
          <c:dPt>
            <c:idx val="2"/>
            <c:invertIfNegative val="0"/>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95-4FC6-84A4-7A5F1ECAFFDB}"/>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'Performance  Indicators Print'!$L$10:$N$10</c:f>
              <c:numCache>
                <c:formatCode>0</c:formatCode>
                <c:ptCount val="3"/>
                <c:pt idx="0" formatCode="General">
                  <c:v>2022</c:v>
                </c:pt>
                <c:pt idx="1">
                  <c:v>2023</c:v>
                </c:pt>
                <c:pt idx="2" formatCode="General">
                  <c:v>2024</c:v>
                </c:pt>
              </c:numCache>
            </c:numRef>
          </c:cat>
          <c:val>
            <c:numRef>
              <c:f>'Performance  Indicators Print'!$L$25:$N$25</c:f>
              <c:numCache>
                <c:formatCode>0.00</c:formatCode>
                <c:ptCount val="3"/>
                <c:pt idx="0">
                  <c:v>#N/A</c:v>
                </c:pt>
                <c:pt idx="1">
                  <c:v>#N/A</c:v>
                </c:pt>
                <c:pt idx="2">
                  <c:v>0</c:v>
                </c:pt>
              </c:numCache>
            </c:numRef>
          </c:val>
          <c:extLst>
            <c:ext xmlns:c16="http://schemas.microsoft.com/office/drawing/2014/chart" uri="{C3380CC4-5D6E-409C-BE32-E72D297353CC}">
              <c16:uniqueId val="{00000000-3BE2-4478-82F0-97834E674CDE}"/>
            </c:ext>
          </c:extLst>
        </c:ser>
        <c:dLbls>
          <c:dLblPos val="inEnd"/>
          <c:showLegendKey val="0"/>
          <c:showVal val="1"/>
          <c:showCatName val="0"/>
          <c:showSerName val="0"/>
          <c:showPercent val="0"/>
          <c:showBubbleSize val="0"/>
        </c:dLbls>
        <c:gapWidth val="75"/>
        <c:overlap val="40"/>
        <c:axId val="75334896"/>
        <c:axId val="216599104"/>
      </c:barChart>
      <c:catAx>
        <c:axId val="7533489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210638</xdr:colOff>
      <xdr:row>10</xdr:row>
      <xdr:rowOff>190500</xdr:rowOff>
    </xdr:from>
    <xdr:to>
      <xdr:col>4</xdr:col>
      <xdr:colOff>850991</xdr:colOff>
      <xdr:row>10</xdr:row>
      <xdr:rowOff>2908391</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197847</xdr:colOff>
      <xdr:row>15</xdr:row>
      <xdr:rowOff>66131</xdr:rowOff>
    </xdr:from>
    <xdr:to>
      <xdr:col>4</xdr:col>
      <xdr:colOff>856162</xdr:colOff>
      <xdr:row>15</xdr:row>
      <xdr:rowOff>2410369</xdr:rowOff>
    </xdr:to>
    <xdr:graphicFrame macro="">
      <xdr:nvGraphicFramePr>
        <xdr:cNvPr id="3" name="Chart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163287</xdr:colOff>
      <xdr:row>24</xdr:row>
      <xdr:rowOff>81643</xdr:rowOff>
    </xdr:from>
    <xdr:to>
      <xdr:col>4</xdr:col>
      <xdr:colOff>838201</xdr:colOff>
      <xdr:row>24</xdr:row>
      <xdr:rowOff>2449286</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251460</xdr:colOff>
          <xdr:row>7</xdr:row>
          <xdr:rowOff>83820</xdr:rowOff>
        </xdr:from>
        <xdr:to>
          <xdr:col>6</xdr:col>
          <xdr:colOff>1066800</xdr:colOff>
          <xdr:row>8</xdr:row>
          <xdr:rowOff>1524000</xdr:rowOff>
        </xdr:to>
        <xdr:sp macro="" textlink="">
          <xdr:nvSpPr>
            <xdr:cNvPr id="48129" name="Object 1" hidden="1">
              <a:extLst>
                <a:ext uri="{63B3BB69-23CF-44E3-9099-C40C66FF867C}">
                  <a14:compatExt spid="_x0000_s48129"/>
                </a:ext>
                <a:ext uri="{FF2B5EF4-FFF2-40B4-BE49-F238E27FC236}">
                  <a16:creationId xmlns:a16="http://schemas.microsoft.com/office/drawing/2014/main" id="{00000000-0008-0000-0300-000001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package" Target="../embeddings/Microsoft_Excel_Worksheet.xlsx"/></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C75D9-3D83-4324-B62D-17FE2ED83864}">
  <sheetPr codeName="Sheet1"/>
  <dimension ref="B1:N61"/>
  <sheetViews>
    <sheetView tabSelected="1" zoomScaleNormal="100" workbookViewId="0">
      <selection activeCell="B2" sqref="B2"/>
    </sheetView>
  </sheetViews>
  <sheetFormatPr defaultColWidth="9.109375" defaultRowHeight="14.4" x14ac:dyDescent="0.3"/>
  <cols>
    <col min="1" max="1" width="1.6640625" style="180" customWidth="1"/>
    <col min="2" max="2" width="187.109375" style="180" customWidth="1"/>
    <col min="3" max="4" width="9.109375" style="180" hidden="1" customWidth="1"/>
    <col min="5" max="5" width="2.33203125" style="180" customWidth="1"/>
    <col min="6" max="6" width="16.44140625" style="180" customWidth="1"/>
    <col min="7" max="16384" width="9.109375" style="180"/>
  </cols>
  <sheetData>
    <row r="1" spans="2:14" ht="9.6" customHeight="1" thickBot="1" x14ac:dyDescent="0.35">
      <c r="B1" s="162"/>
    </row>
    <row r="2" spans="2:14" ht="91.95" customHeight="1" thickBot="1" x14ac:dyDescent="0.35">
      <c r="B2" s="531" t="s">
        <v>1953</v>
      </c>
      <c r="E2"/>
    </row>
    <row r="3" spans="2:14" ht="76.2" customHeight="1" thickBot="1" x14ac:dyDescent="0.35">
      <c r="B3" s="974" t="s">
        <v>1913</v>
      </c>
      <c r="C3" s="173"/>
      <c r="D3" s="173"/>
      <c r="E3"/>
      <c r="F3"/>
    </row>
    <row r="4" spans="2:14" ht="58.95" customHeight="1" thickBot="1" x14ac:dyDescent="0.35">
      <c r="B4" s="974" t="s">
        <v>1914</v>
      </c>
      <c r="C4" s="173"/>
      <c r="D4" s="173"/>
    </row>
    <row r="5" spans="2:14" ht="61.2" customHeight="1" x14ac:dyDescent="0.3">
      <c r="B5" s="173" t="s">
        <v>1878</v>
      </c>
    </row>
    <row r="6" spans="2:14" ht="83.4" customHeight="1" x14ac:dyDescent="0.4">
      <c r="B6" s="173" t="s">
        <v>860</v>
      </c>
      <c r="F6" s="532"/>
      <c r="G6" s="532"/>
      <c r="H6" s="532"/>
      <c r="I6" s="532"/>
      <c r="J6" s="532"/>
      <c r="K6" s="532"/>
      <c r="L6" s="532"/>
      <c r="M6" s="532"/>
      <c r="N6" s="532"/>
    </row>
    <row r="7" spans="2:14" ht="58.2" customHeight="1" x14ac:dyDescent="0.3">
      <c r="B7" s="173" t="s">
        <v>861</v>
      </c>
    </row>
    <row r="8" spans="2:14" ht="117.6" customHeight="1" x14ac:dyDescent="0.3">
      <c r="B8" s="163" t="s">
        <v>862</v>
      </c>
    </row>
    <row r="9" spans="2:14" ht="25.95" customHeight="1" x14ac:dyDescent="0.3">
      <c r="B9" s="175" t="s">
        <v>452</v>
      </c>
    </row>
    <row r="10" spans="2:14" ht="49.2" customHeight="1" x14ac:dyDescent="0.3">
      <c r="B10" s="533" t="s">
        <v>863</v>
      </c>
    </row>
    <row r="11" spans="2:14" ht="42.6" customHeight="1" x14ac:dyDescent="0.3">
      <c r="B11" s="533" t="s">
        <v>453</v>
      </c>
    </row>
    <row r="12" spans="2:14" s="535" customFormat="1" ht="34.200000000000003" customHeight="1" x14ac:dyDescent="0.3">
      <c r="B12" s="534" t="s">
        <v>1924</v>
      </c>
    </row>
    <row r="13" spans="2:14" s="535" customFormat="1" ht="55.95" customHeight="1" x14ac:dyDescent="0.3">
      <c r="B13" s="536" t="s">
        <v>864</v>
      </c>
    </row>
    <row r="14" spans="2:14" ht="36" customHeight="1" x14ac:dyDescent="0.3">
      <c r="B14" s="536" t="s">
        <v>865</v>
      </c>
    </row>
    <row r="15" spans="2:14" ht="39" customHeight="1" x14ac:dyDescent="0.3">
      <c r="B15" s="537" t="s">
        <v>866</v>
      </c>
    </row>
    <row r="16" spans="2:14" ht="25.95" customHeight="1" x14ac:dyDescent="0.3">
      <c r="B16" s="175" t="s">
        <v>454</v>
      </c>
    </row>
    <row r="17" spans="2:2" x14ac:dyDescent="0.3">
      <c r="B17" s="162"/>
    </row>
    <row r="18" spans="2:2" x14ac:dyDescent="0.3">
      <c r="B18" s="538" t="s">
        <v>36</v>
      </c>
    </row>
    <row r="19" spans="2:2" ht="15.6" customHeight="1" x14ac:dyDescent="0.3">
      <c r="B19" s="539" t="s">
        <v>867</v>
      </c>
    </row>
    <row r="20" spans="2:2" x14ac:dyDescent="0.3">
      <c r="B20" s="540"/>
    </row>
    <row r="21" spans="2:2" x14ac:dyDescent="0.3">
      <c r="B21" s="538" t="s">
        <v>37</v>
      </c>
    </row>
    <row r="22" spans="2:2" ht="15.6" customHeight="1" x14ac:dyDescent="0.3">
      <c r="B22" s="541" t="s">
        <v>335</v>
      </c>
    </row>
    <row r="23" spans="2:2" ht="13.2" customHeight="1" x14ac:dyDescent="0.3">
      <c r="B23" s="162"/>
    </row>
    <row r="24" spans="2:2" ht="25.95" customHeight="1" x14ac:dyDescent="0.3">
      <c r="B24" s="175" t="s">
        <v>455</v>
      </c>
    </row>
    <row r="25" spans="2:2" s="535" customFormat="1" ht="72.599999999999994" customHeight="1" x14ac:dyDescent="0.3">
      <c r="B25" s="533" t="s">
        <v>1488</v>
      </c>
    </row>
    <row r="26" spans="2:2" s="535" customFormat="1" ht="84.6" customHeight="1" x14ac:dyDescent="0.3">
      <c r="B26" s="533" t="s">
        <v>868</v>
      </c>
    </row>
    <row r="27" spans="2:2" s="535" customFormat="1" ht="78.599999999999994" customHeight="1" x14ac:dyDescent="0.3">
      <c r="B27" s="533" t="s">
        <v>456</v>
      </c>
    </row>
    <row r="28" spans="2:2" ht="15" x14ac:dyDescent="0.3">
      <c r="B28" s="165" t="s">
        <v>869</v>
      </c>
    </row>
    <row r="29" spans="2:2" ht="8.4" customHeight="1" x14ac:dyDescent="0.3">
      <c r="B29" s="164"/>
    </row>
    <row r="30" spans="2:2" ht="25.95" customHeight="1" x14ac:dyDescent="0.3">
      <c r="B30" s="175" t="s">
        <v>870</v>
      </c>
    </row>
    <row r="31" spans="2:2" ht="28.95" customHeight="1" x14ac:dyDescent="0.3">
      <c r="B31" s="176" t="s">
        <v>1954</v>
      </c>
    </row>
    <row r="32" spans="2:2" ht="31.95" customHeight="1" x14ac:dyDescent="0.3">
      <c r="B32" s="176" t="s">
        <v>1955</v>
      </c>
    </row>
    <row r="33" spans="2:7" ht="30.6" customHeight="1" x14ac:dyDescent="0.3">
      <c r="B33" s="542" t="s">
        <v>1956</v>
      </c>
    </row>
    <row r="34" spans="2:7" ht="25.2" customHeight="1" x14ac:dyDescent="0.3">
      <c r="B34" s="542" t="s">
        <v>1957</v>
      </c>
    </row>
    <row r="35" spans="2:7" ht="27.6" customHeight="1" x14ac:dyDescent="0.3">
      <c r="B35" s="542" t="s">
        <v>1958</v>
      </c>
    </row>
    <row r="36" spans="2:7" ht="31.95" customHeight="1" x14ac:dyDescent="0.3">
      <c r="B36" s="543" t="s">
        <v>871</v>
      </c>
    </row>
    <row r="37" spans="2:7" ht="60" customHeight="1" x14ac:dyDescent="0.3">
      <c r="B37" s="176" t="s">
        <v>1963</v>
      </c>
    </row>
    <row r="38" spans="2:7" ht="60" customHeight="1" x14ac:dyDescent="0.3">
      <c r="B38" s="663" t="s">
        <v>1959</v>
      </c>
    </row>
    <row r="39" spans="2:7" ht="25.95" customHeight="1" x14ac:dyDescent="0.3">
      <c r="B39" s="176" t="s">
        <v>872</v>
      </c>
    </row>
    <row r="40" spans="2:7" ht="12" customHeight="1" x14ac:dyDescent="0.3">
      <c r="B40" s="176"/>
    </row>
    <row r="41" spans="2:7" ht="25.95" customHeight="1" x14ac:dyDescent="0.3">
      <c r="B41" s="175" t="s">
        <v>1960</v>
      </c>
    </row>
    <row r="42" spans="2:7" x14ac:dyDescent="0.3">
      <c r="B42" s="174"/>
      <c r="G42" s="544"/>
    </row>
    <row r="43" spans="2:7" ht="43.2" customHeight="1" x14ac:dyDescent="0.3">
      <c r="B43" s="545" t="s">
        <v>873</v>
      </c>
    </row>
    <row r="44" spans="2:7" ht="19.95" customHeight="1" x14ac:dyDescent="0.3">
      <c r="B44" s="546" t="s">
        <v>866</v>
      </c>
    </row>
    <row r="45" spans="2:7" ht="11.4" customHeight="1" x14ac:dyDescent="0.3">
      <c r="B45" s="177"/>
    </row>
    <row r="46" spans="2:7" ht="15" x14ac:dyDescent="0.3">
      <c r="B46" s="178"/>
    </row>
    <row r="47" spans="2:7" ht="7.2" customHeight="1" x14ac:dyDescent="0.3">
      <c r="B47" s="176"/>
    </row>
    <row r="48" spans="2:7" ht="25.95" customHeight="1" x14ac:dyDescent="0.3">
      <c r="B48" s="175" t="s">
        <v>1961</v>
      </c>
    </row>
    <row r="49" spans="2:2" ht="35.4" customHeight="1" x14ac:dyDescent="0.3">
      <c r="B49" s="545" t="s">
        <v>1962</v>
      </c>
    </row>
    <row r="50" spans="2:2" ht="15" x14ac:dyDescent="0.3">
      <c r="B50" s="178"/>
    </row>
    <row r="61" spans="2:2" ht="44.25" customHeight="1" x14ac:dyDescent="0.3"/>
  </sheetData>
  <sheetProtection algorithmName="SHA-512" hashValue="hnD9eeEePKppDrS539gAjyUFnscXcByN36Spr9Cuh19Tah2K8yMH3VS7dYkWTPQH3d2zsDaO5G5qJm3vi5y0Sw==" saltValue="jVHOz6tUybTyrV1dZ1v5bQ==" spinCount="100000" sheet="1" formatCells="0" formatColumns="0" formatRows="0"/>
  <hyperlinks>
    <hyperlink ref="B19" r:id="rId1" xr:uid="{C1F6514A-E8A6-43E5-A86A-05C7A391046B}"/>
    <hyperlink ref="B22" r:id="rId2" xr:uid="{B1541227-3D45-4870-904D-604AA0D245A4}"/>
    <hyperlink ref="B44" r:id="rId3" xr:uid="{4A9D302D-DF03-4083-B0C5-61ACF65C0239}"/>
    <hyperlink ref="B15" r:id="rId4" xr:uid="{C422E034-BC33-4433-9232-B9B4AB71E050}"/>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filterMode="1"/>
  <dimension ref="A1:M150"/>
  <sheetViews>
    <sheetView topLeftCell="A113" workbookViewId="0">
      <selection activeCell="N145" sqref="N145"/>
    </sheetView>
  </sheetViews>
  <sheetFormatPr defaultRowHeight="14.4" x14ac:dyDescent="0.3"/>
  <cols>
    <col min="1" max="1" width="20.6640625" style="609" customWidth="1"/>
    <col min="2" max="2" width="24.6640625" style="609" customWidth="1"/>
    <col min="3" max="3" width="11.33203125" style="793" customWidth="1"/>
    <col min="4" max="4" width="12.109375" style="610" customWidth="1"/>
    <col min="5" max="5" width="14.33203125" style="610" customWidth="1"/>
    <col min="6" max="6" width="3.44140625" style="609" customWidth="1"/>
    <col min="7" max="7" width="17.33203125" style="609" customWidth="1"/>
    <col min="8" max="8" width="2.109375" style="609" customWidth="1"/>
    <col min="9" max="9" width="7.5546875" style="793" customWidth="1"/>
    <col min="10" max="10" width="12.109375" style="610" customWidth="1"/>
    <col min="11" max="11" width="14.33203125" style="610" customWidth="1"/>
    <col min="12" max="251" width="8.88671875" style="609"/>
    <col min="252" max="252" width="15.88671875" style="609" customWidth="1"/>
    <col min="253" max="253" width="2.109375" style="609" customWidth="1"/>
    <col min="254" max="254" width="7.5546875" style="609" customWidth="1"/>
    <col min="255" max="255" width="12.109375" style="609" customWidth="1"/>
    <col min="256" max="256" width="14.33203125" style="609" customWidth="1"/>
    <col min="257" max="257" width="3.44140625" style="609" customWidth="1"/>
    <col min="258" max="258" width="17.33203125" style="609" customWidth="1"/>
    <col min="259" max="259" width="2.109375" style="609" customWidth="1"/>
    <col min="260" max="260" width="7.5546875" style="609" customWidth="1"/>
    <col min="261" max="261" width="12.109375" style="609" customWidth="1"/>
    <col min="262" max="262" width="14.33203125" style="609" customWidth="1"/>
    <col min="263" max="263" width="42.5546875" style="609" customWidth="1"/>
    <col min="264" max="507" width="8.88671875" style="609"/>
    <col min="508" max="508" width="15.88671875" style="609" customWidth="1"/>
    <col min="509" max="509" width="2.109375" style="609" customWidth="1"/>
    <col min="510" max="510" width="7.5546875" style="609" customWidth="1"/>
    <col min="511" max="511" width="12.109375" style="609" customWidth="1"/>
    <col min="512" max="512" width="14.33203125" style="609" customWidth="1"/>
    <col min="513" max="513" width="3.44140625" style="609" customWidth="1"/>
    <col min="514" max="514" width="17.33203125" style="609" customWidth="1"/>
    <col min="515" max="515" width="2.109375" style="609" customWidth="1"/>
    <col min="516" max="516" width="7.5546875" style="609" customWidth="1"/>
    <col min="517" max="517" width="12.109375" style="609" customWidth="1"/>
    <col min="518" max="518" width="14.33203125" style="609" customWidth="1"/>
    <col min="519" max="519" width="42.5546875" style="609" customWidth="1"/>
    <col min="520" max="763" width="8.88671875" style="609"/>
    <col min="764" max="764" width="15.88671875" style="609" customWidth="1"/>
    <col min="765" max="765" width="2.109375" style="609" customWidth="1"/>
    <col min="766" max="766" width="7.5546875" style="609" customWidth="1"/>
    <col min="767" max="767" width="12.109375" style="609" customWidth="1"/>
    <col min="768" max="768" width="14.33203125" style="609" customWidth="1"/>
    <col min="769" max="769" width="3.44140625" style="609" customWidth="1"/>
    <col min="770" max="770" width="17.33203125" style="609" customWidth="1"/>
    <col min="771" max="771" width="2.109375" style="609" customWidth="1"/>
    <col min="772" max="772" width="7.5546875" style="609" customWidth="1"/>
    <col min="773" max="773" width="12.109375" style="609" customWidth="1"/>
    <col min="774" max="774" width="14.33203125" style="609" customWidth="1"/>
    <col min="775" max="775" width="42.5546875" style="609" customWidth="1"/>
    <col min="776" max="1019" width="8.88671875" style="609"/>
    <col min="1020" max="1020" width="15.88671875" style="609" customWidth="1"/>
    <col min="1021" max="1021" width="2.109375" style="609" customWidth="1"/>
    <col min="1022" max="1022" width="7.5546875" style="609" customWidth="1"/>
    <col min="1023" max="1023" width="12.109375" style="609" customWidth="1"/>
    <col min="1024" max="1024" width="14.33203125" style="609" customWidth="1"/>
    <col min="1025" max="1025" width="3.44140625" style="609" customWidth="1"/>
    <col min="1026" max="1026" width="17.33203125" style="609" customWidth="1"/>
    <col min="1027" max="1027" width="2.109375" style="609" customWidth="1"/>
    <col min="1028" max="1028" width="7.5546875" style="609" customWidth="1"/>
    <col min="1029" max="1029" width="12.109375" style="609" customWidth="1"/>
    <col min="1030" max="1030" width="14.33203125" style="609" customWidth="1"/>
    <col min="1031" max="1031" width="42.5546875" style="609" customWidth="1"/>
    <col min="1032" max="1275" width="8.88671875" style="609"/>
    <col min="1276" max="1276" width="15.88671875" style="609" customWidth="1"/>
    <col min="1277" max="1277" width="2.109375" style="609" customWidth="1"/>
    <col min="1278" max="1278" width="7.5546875" style="609" customWidth="1"/>
    <col min="1279" max="1279" width="12.109375" style="609" customWidth="1"/>
    <col min="1280" max="1280" width="14.33203125" style="609" customWidth="1"/>
    <col min="1281" max="1281" width="3.44140625" style="609" customWidth="1"/>
    <col min="1282" max="1282" width="17.33203125" style="609" customWidth="1"/>
    <col min="1283" max="1283" width="2.109375" style="609" customWidth="1"/>
    <col min="1284" max="1284" width="7.5546875" style="609" customWidth="1"/>
    <col min="1285" max="1285" width="12.109375" style="609" customWidth="1"/>
    <col min="1286" max="1286" width="14.33203125" style="609" customWidth="1"/>
    <col min="1287" max="1287" width="42.5546875" style="609" customWidth="1"/>
    <col min="1288" max="1531" width="8.88671875" style="609"/>
    <col min="1532" max="1532" width="15.88671875" style="609" customWidth="1"/>
    <col min="1533" max="1533" width="2.109375" style="609" customWidth="1"/>
    <col min="1534" max="1534" width="7.5546875" style="609" customWidth="1"/>
    <col min="1535" max="1535" width="12.109375" style="609" customWidth="1"/>
    <col min="1536" max="1536" width="14.33203125" style="609" customWidth="1"/>
    <col min="1537" max="1537" width="3.44140625" style="609" customWidth="1"/>
    <col min="1538" max="1538" width="17.33203125" style="609" customWidth="1"/>
    <col min="1539" max="1539" width="2.109375" style="609" customWidth="1"/>
    <col min="1540" max="1540" width="7.5546875" style="609" customWidth="1"/>
    <col min="1541" max="1541" width="12.109375" style="609" customWidth="1"/>
    <col min="1542" max="1542" width="14.33203125" style="609" customWidth="1"/>
    <col min="1543" max="1543" width="42.5546875" style="609" customWidth="1"/>
    <col min="1544" max="1787" width="8.88671875" style="609"/>
    <col min="1788" max="1788" width="15.88671875" style="609" customWidth="1"/>
    <col min="1789" max="1789" width="2.109375" style="609" customWidth="1"/>
    <col min="1790" max="1790" width="7.5546875" style="609" customWidth="1"/>
    <col min="1791" max="1791" width="12.109375" style="609" customWidth="1"/>
    <col min="1792" max="1792" width="14.33203125" style="609" customWidth="1"/>
    <col min="1793" max="1793" width="3.44140625" style="609" customWidth="1"/>
    <col min="1794" max="1794" width="17.33203125" style="609" customWidth="1"/>
    <col min="1795" max="1795" width="2.109375" style="609" customWidth="1"/>
    <col min="1796" max="1796" width="7.5546875" style="609" customWidth="1"/>
    <col min="1797" max="1797" width="12.109375" style="609" customWidth="1"/>
    <col min="1798" max="1798" width="14.33203125" style="609" customWidth="1"/>
    <col min="1799" max="1799" width="42.5546875" style="609" customWidth="1"/>
    <col min="1800" max="2043" width="8.88671875" style="609"/>
    <col min="2044" max="2044" width="15.88671875" style="609" customWidth="1"/>
    <col min="2045" max="2045" width="2.109375" style="609" customWidth="1"/>
    <col min="2046" max="2046" width="7.5546875" style="609" customWidth="1"/>
    <col min="2047" max="2047" width="12.109375" style="609" customWidth="1"/>
    <col min="2048" max="2048" width="14.33203125" style="609" customWidth="1"/>
    <col min="2049" max="2049" width="3.44140625" style="609" customWidth="1"/>
    <col min="2050" max="2050" width="17.33203125" style="609" customWidth="1"/>
    <col min="2051" max="2051" width="2.109375" style="609" customWidth="1"/>
    <col min="2052" max="2052" width="7.5546875" style="609" customWidth="1"/>
    <col min="2053" max="2053" width="12.109375" style="609" customWidth="1"/>
    <col min="2054" max="2054" width="14.33203125" style="609" customWidth="1"/>
    <col min="2055" max="2055" width="42.5546875" style="609" customWidth="1"/>
    <col min="2056" max="2299" width="8.88671875" style="609"/>
    <col min="2300" max="2300" width="15.88671875" style="609" customWidth="1"/>
    <col min="2301" max="2301" width="2.109375" style="609" customWidth="1"/>
    <col min="2302" max="2302" width="7.5546875" style="609" customWidth="1"/>
    <col min="2303" max="2303" width="12.109375" style="609" customWidth="1"/>
    <col min="2304" max="2304" width="14.33203125" style="609" customWidth="1"/>
    <col min="2305" max="2305" width="3.44140625" style="609" customWidth="1"/>
    <col min="2306" max="2306" width="17.33203125" style="609" customWidth="1"/>
    <col min="2307" max="2307" width="2.109375" style="609" customWidth="1"/>
    <col min="2308" max="2308" width="7.5546875" style="609" customWidth="1"/>
    <col min="2309" max="2309" width="12.109375" style="609" customWidth="1"/>
    <col min="2310" max="2310" width="14.33203125" style="609" customWidth="1"/>
    <col min="2311" max="2311" width="42.5546875" style="609" customWidth="1"/>
    <col min="2312" max="2555" width="8.88671875" style="609"/>
    <col min="2556" max="2556" width="15.88671875" style="609" customWidth="1"/>
    <col min="2557" max="2557" width="2.109375" style="609" customWidth="1"/>
    <col min="2558" max="2558" width="7.5546875" style="609" customWidth="1"/>
    <col min="2559" max="2559" width="12.109375" style="609" customWidth="1"/>
    <col min="2560" max="2560" width="14.33203125" style="609" customWidth="1"/>
    <col min="2561" max="2561" width="3.44140625" style="609" customWidth="1"/>
    <col min="2562" max="2562" width="17.33203125" style="609" customWidth="1"/>
    <col min="2563" max="2563" width="2.109375" style="609" customWidth="1"/>
    <col min="2564" max="2564" width="7.5546875" style="609" customWidth="1"/>
    <col min="2565" max="2565" width="12.109375" style="609" customWidth="1"/>
    <col min="2566" max="2566" width="14.33203125" style="609" customWidth="1"/>
    <col min="2567" max="2567" width="42.5546875" style="609" customWidth="1"/>
    <col min="2568" max="2811" width="8.88671875" style="609"/>
    <col min="2812" max="2812" width="15.88671875" style="609" customWidth="1"/>
    <col min="2813" max="2813" width="2.109375" style="609" customWidth="1"/>
    <col min="2814" max="2814" width="7.5546875" style="609" customWidth="1"/>
    <col min="2815" max="2815" width="12.109375" style="609" customWidth="1"/>
    <col min="2816" max="2816" width="14.33203125" style="609" customWidth="1"/>
    <col min="2817" max="2817" width="3.44140625" style="609" customWidth="1"/>
    <col min="2818" max="2818" width="17.33203125" style="609" customWidth="1"/>
    <col min="2819" max="2819" width="2.109375" style="609" customWidth="1"/>
    <col min="2820" max="2820" width="7.5546875" style="609" customWidth="1"/>
    <col min="2821" max="2821" width="12.109375" style="609" customWidth="1"/>
    <col min="2822" max="2822" width="14.33203125" style="609" customWidth="1"/>
    <col min="2823" max="2823" width="42.5546875" style="609" customWidth="1"/>
    <col min="2824" max="3067" width="8.88671875" style="609"/>
    <col min="3068" max="3068" width="15.88671875" style="609" customWidth="1"/>
    <col min="3069" max="3069" width="2.109375" style="609" customWidth="1"/>
    <col min="3070" max="3070" width="7.5546875" style="609" customWidth="1"/>
    <col min="3071" max="3071" width="12.109375" style="609" customWidth="1"/>
    <col min="3072" max="3072" width="14.33203125" style="609" customWidth="1"/>
    <col min="3073" max="3073" width="3.44140625" style="609" customWidth="1"/>
    <col min="3074" max="3074" width="17.33203125" style="609" customWidth="1"/>
    <col min="3075" max="3075" width="2.109375" style="609" customWidth="1"/>
    <col min="3076" max="3076" width="7.5546875" style="609" customWidth="1"/>
    <col min="3077" max="3077" width="12.109375" style="609" customWidth="1"/>
    <col min="3078" max="3078" width="14.33203125" style="609" customWidth="1"/>
    <col min="3079" max="3079" width="42.5546875" style="609" customWidth="1"/>
    <col min="3080" max="3323" width="8.88671875" style="609"/>
    <col min="3324" max="3324" width="15.88671875" style="609" customWidth="1"/>
    <col min="3325" max="3325" width="2.109375" style="609" customWidth="1"/>
    <col min="3326" max="3326" width="7.5546875" style="609" customWidth="1"/>
    <col min="3327" max="3327" width="12.109375" style="609" customWidth="1"/>
    <col min="3328" max="3328" width="14.33203125" style="609" customWidth="1"/>
    <col min="3329" max="3329" width="3.44140625" style="609" customWidth="1"/>
    <col min="3330" max="3330" width="17.33203125" style="609" customWidth="1"/>
    <col min="3331" max="3331" width="2.109375" style="609" customWidth="1"/>
    <col min="3332" max="3332" width="7.5546875" style="609" customWidth="1"/>
    <col min="3333" max="3333" width="12.109375" style="609" customWidth="1"/>
    <col min="3334" max="3334" width="14.33203125" style="609" customWidth="1"/>
    <col min="3335" max="3335" width="42.5546875" style="609" customWidth="1"/>
    <col min="3336" max="3579" width="8.88671875" style="609"/>
    <col min="3580" max="3580" width="15.88671875" style="609" customWidth="1"/>
    <col min="3581" max="3581" width="2.109375" style="609" customWidth="1"/>
    <col min="3582" max="3582" width="7.5546875" style="609" customWidth="1"/>
    <col min="3583" max="3583" width="12.109375" style="609" customWidth="1"/>
    <col min="3584" max="3584" width="14.33203125" style="609" customWidth="1"/>
    <col min="3585" max="3585" width="3.44140625" style="609" customWidth="1"/>
    <col min="3586" max="3586" width="17.33203125" style="609" customWidth="1"/>
    <col min="3587" max="3587" width="2.109375" style="609" customWidth="1"/>
    <col min="3588" max="3588" width="7.5546875" style="609" customWidth="1"/>
    <col min="3589" max="3589" width="12.109375" style="609" customWidth="1"/>
    <col min="3590" max="3590" width="14.33203125" style="609" customWidth="1"/>
    <col min="3591" max="3591" width="42.5546875" style="609" customWidth="1"/>
    <col min="3592" max="3835" width="8.88671875" style="609"/>
    <col min="3836" max="3836" width="15.88671875" style="609" customWidth="1"/>
    <col min="3837" max="3837" width="2.109375" style="609" customWidth="1"/>
    <col min="3838" max="3838" width="7.5546875" style="609" customWidth="1"/>
    <col min="3839" max="3839" width="12.109375" style="609" customWidth="1"/>
    <col min="3840" max="3840" width="14.33203125" style="609" customWidth="1"/>
    <col min="3841" max="3841" width="3.44140625" style="609" customWidth="1"/>
    <col min="3842" max="3842" width="17.33203125" style="609" customWidth="1"/>
    <col min="3843" max="3843" width="2.109375" style="609" customWidth="1"/>
    <col min="3844" max="3844" width="7.5546875" style="609" customWidth="1"/>
    <col min="3845" max="3845" width="12.109375" style="609" customWidth="1"/>
    <col min="3846" max="3846" width="14.33203125" style="609" customWidth="1"/>
    <col min="3847" max="3847" width="42.5546875" style="609" customWidth="1"/>
    <col min="3848" max="4091" width="8.88671875" style="609"/>
    <col min="4092" max="4092" width="15.88671875" style="609" customWidth="1"/>
    <col min="4093" max="4093" width="2.109375" style="609" customWidth="1"/>
    <col min="4094" max="4094" width="7.5546875" style="609" customWidth="1"/>
    <col min="4095" max="4095" width="12.109375" style="609" customWidth="1"/>
    <col min="4096" max="4096" width="14.33203125" style="609" customWidth="1"/>
    <col min="4097" max="4097" width="3.44140625" style="609" customWidth="1"/>
    <col min="4098" max="4098" width="17.33203125" style="609" customWidth="1"/>
    <col min="4099" max="4099" width="2.109375" style="609" customWidth="1"/>
    <col min="4100" max="4100" width="7.5546875" style="609" customWidth="1"/>
    <col min="4101" max="4101" width="12.109375" style="609" customWidth="1"/>
    <col min="4102" max="4102" width="14.33203125" style="609" customWidth="1"/>
    <col min="4103" max="4103" width="42.5546875" style="609" customWidth="1"/>
    <col min="4104" max="4347" width="8.88671875" style="609"/>
    <col min="4348" max="4348" width="15.88671875" style="609" customWidth="1"/>
    <col min="4349" max="4349" width="2.109375" style="609" customWidth="1"/>
    <col min="4350" max="4350" width="7.5546875" style="609" customWidth="1"/>
    <col min="4351" max="4351" width="12.109375" style="609" customWidth="1"/>
    <col min="4352" max="4352" width="14.33203125" style="609" customWidth="1"/>
    <col min="4353" max="4353" width="3.44140625" style="609" customWidth="1"/>
    <col min="4354" max="4354" width="17.33203125" style="609" customWidth="1"/>
    <col min="4355" max="4355" width="2.109375" style="609" customWidth="1"/>
    <col min="4356" max="4356" width="7.5546875" style="609" customWidth="1"/>
    <col min="4357" max="4357" width="12.109375" style="609" customWidth="1"/>
    <col min="4358" max="4358" width="14.33203125" style="609" customWidth="1"/>
    <col min="4359" max="4359" width="42.5546875" style="609" customWidth="1"/>
    <col min="4360" max="4603" width="8.88671875" style="609"/>
    <col min="4604" max="4604" width="15.88671875" style="609" customWidth="1"/>
    <col min="4605" max="4605" width="2.109375" style="609" customWidth="1"/>
    <col min="4606" max="4606" width="7.5546875" style="609" customWidth="1"/>
    <col min="4607" max="4607" width="12.109375" style="609" customWidth="1"/>
    <col min="4608" max="4608" width="14.33203125" style="609" customWidth="1"/>
    <col min="4609" max="4609" width="3.44140625" style="609" customWidth="1"/>
    <col min="4610" max="4610" width="17.33203125" style="609" customWidth="1"/>
    <col min="4611" max="4611" width="2.109375" style="609" customWidth="1"/>
    <col min="4612" max="4612" width="7.5546875" style="609" customWidth="1"/>
    <col min="4613" max="4613" width="12.109375" style="609" customWidth="1"/>
    <col min="4614" max="4614" width="14.33203125" style="609" customWidth="1"/>
    <col min="4615" max="4615" width="42.5546875" style="609" customWidth="1"/>
    <col min="4616" max="4859" width="8.88671875" style="609"/>
    <col min="4860" max="4860" width="15.88671875" style="609" customWidth="1"/>
    <col min="4861" max="4861" width="2.109375" style="609" customWidth="1"/>
    <col min="4862" max="4862" width="7.5546875" style="609" customWidth="1"/>
    <col min="4863" max="4863" width="12.109375" style="609" customWidth="1"/>
    <col min="4864" max="4864" width="14.33203125" style="609" customWidth="1"/>
    <col min="4865" max="4865" width="3.44140625" style="609" customWidth="1"/>
    <col min="4866" max="4866" width="17.33203125" style="609" customWidth="1"/>
    <col min="4867" max="4867" width="2.109375" style="609" customWidth="1"/>
    <col min="4868" max="4868" width="7.5546875" style="609" customWidth="1"/>
    <col min="4869" max="4869" width="12.109375" style="609" customWidth="1"/>
    <col min="4870" max="4870" width="14.33203125" style="609" customWidth="1"/>
    <col min="4871" max="4871" width="42.5546875" style="609" customWidth="1"/>
    <col min="4872" max="5115" width="8.88671875" style="609"/>
    <col min="5116" max="5116" width="15.88671875" style="609" customWidth="1"/>
    <col min="5117" max="5117" width="2.109375" style="609" customWidth="1"/>
    <col min="5118" max="5118" width="7.5546875" style="609" customWidth="1"/>
    <col min="5119" max="5119" width="12.109375" style="609" customWidth="1"/>
    <col min="5120" max="5120" width="14.33203125" style="609" customWidth="1"/>
    <col min="5121" max="5121" width="3.44140625" style="609" customWidth="1"/>
    <col min="5122" max="5122" width="17.33203125" style="609" customWidth="1"/>
    <col min="5123" max="5123" width="2.109375" style="609" customWidth="1"/>
    <col min="5124" max="5124" width="7.5546875" style="609" customWidth="1"/>
    <col min="5125" max="5125" width="12.109375" style="609" customWidth="1"/>
    <col min="5126" max="5126" width="14.33203125" style="609" customWidth="1"/>
    <col min="5127" max="5127" width="42.5546875" style="609" customWidth="1"/>
    <col min="5128" max="5371" width="8.88671875" style="609"/>
    <col min="5372" max="5372" width="15.88671875" style="609" customWidth="1"/>
    <col min="5373" max="5373" width="2.109375" style="609" customWidth="1"/>
    <col min="5374" max="5374" width="7.5546875" style="609" customWidth="1"/>
    <col min="5375" max="5375" width="12.109375" style="609" customWidth="1"/>
    <col min="5376" max="5376" width="14.33203125" style="609" customWidth="1"/>
    <col min="5377" max="5377" width="3.44140625" style="609" customWidth="1"/>
    <col min="5378" max="5378" width="17.33203125" style="609" customWidth="1"/>
    <col min="5379" max="5379" width="2.109375" style="609" customWidth="1"/>
    <col min="5380" max="5380" width="7.5546875" style="609" customWidth="1"/>
    <col min="5381" max="5381" width="12.109375" style="609" customWidth="1"/>
    <col min="5382" max="5382" width="14.33203125" style="609" customWidth="1"/>
    <col min="5383" max="5383" width="42.5546875" style="609" customWidth="1"/>
    <col min="5384" max="5627" width="8.88671875" style="609"/>
    <col min="5628" max="5628" width="15.88671875" style="609" customWidth="1"/>
    <col min="5629" max="5629" width="2.109375" style="609" customWidth="1"/>
    <col min="5630" max="5630" width="7.5546875" style="609" customWidth="1"/>
    <col min="5631" max="5631" width="12.109375" style="609" customWidth="1"/>
    <col min="5632" max="5632" width="14.33203125" style="609" customWidth="1"/>
    <col min="5633" max="5633" width="3.44140625" style="609" customWidth="1"/>
    <col min="5634" max="5634" width="17.33203125" style="609" customWidth="1"/>
    <col min="5635" max="5635" width="2.109375" style="609" customWidth="1"/>
    <col min="5636" max="5636" width="7.5546875" style="609" customWidth="1"/>
    <col min="5637" max="5637" width="12.109375" style="609" customWidth="1"/>
    <col min="5638" max="5638" width="14.33203125" style="609" customWidth="1"/>
    <col min="5639" max="5639" width="42.5546875" style="609" customWidth="1"/>
    <col min="5640" max="5883" width="8.88671875" style="609"/>
    <col min="5884" max="5884" width="15.88671875" style="609" customWidth="1"/>
    <col min="5885" max="5885" width="2.109375" style="609" customWidth="1"/>
    <col min="5886" max="5886" width="7.5546875" style="609" customWidth="1"/>
    <col min="5887" max="5887" width="12.109375" style="609" customWidth="1"/>
    <col min="5888" max="5888" width="14.33203125" style="609" customWidth="1"/>
    <col min="5889" max="5889" width="3.44140625" style="609" customWidth="1"/>
    <col min="5890" max="5890" width="17.33203125" style="609" customWidth="1"/>
    <col min="5891" max="5891" width="2.109375" style="609" customWidth="1"/>
    <col min="5892" max="5892" width="7.5546875" style="609" customWidth="1"/>
    <col min="5893" max="5893" width="12.109375" style="609" customWidth="1"/>
    <col min="5894" max="5894" width="14.33203125" style="609" customWidth="1"/>
    <col min="5895" max="5895" width="42.5546875" style="609" customWidth="1"/>
    <col min="5896" max="6139" width="8.88671875" style="609"/>
    <col min="6140" max="6140" width="15.88671875" style="609" customWidth="1"/>
    <col min="6141" max="6141" width="2.109375" style="609" customWidth="1"/>
    <col min="6142" max="6142" width="7.5546875" style="609" customWidth="1"/>
    <col min="6143" max="6143" width="12.109375" style="609" customWidth="1"/>
    <col min="6144" max="6144" width="14.33203125" style="609" customWidth="1"/>
    <col min="6145" max="6145" width="3.44140625" style="609" customWidth="1"/>
    <col min="6146" max="6146" width="17.33203125" style="609" customWidth="1"/>
    <col min="6147" max="6147" width="2.109375" style="609" customWidth="1"/>
    <col min="6148" max="6148" width="7.5546875" style="609" customWidth="1"/>
    <col min="6149" max="6149" width="12.109375" style="609" customWidth="1"/>
    <col min="6150" max="6150" width="14.33203125" style="609" customWidth="1"/>
    <col min="6151" max="6151" width="42.5546875" style="609" customWidth="1"/>
    <col min="6152" max="6395" width="8.88671875" style="609"/>
    <col min="6396" max="6396" width="15.88671875" style="609" customWidth="1"/>
    <col min="6397" max="6397" width="2.109375" style="609" customWidth="1"/>
    <col min="6398" max="6398" width="7.5546875" style="609" customWidth="1"/>
    <col min="6399" max="6399" width="12.109375" style="609" customWidth="1"/>
    <col min="6400" max="6400" width="14.33203125" style="609" customWidth="1"/>
    <col min="6401" max="6401" width="3.44140625" style="609" customWidth="1"/>
    <col min="6402" max="6402" width="17.33203125" style="609" customWidth="1"/>
    <col min="6403" max="6403" width="2.109375" style="609" customWidth="1"/>
    <col min="6404" max="6404" width="7.5546875" style="609" customWidth="1"/>
    <col min="6405" max="6405" width="12.109375" style="609" customWidth="1"/>
    <col min="6406" max="6406" width="14.33203125" style="609" customWidth="1"/>
    <col min="6407" max="6407" width="42.5546875" style="609" customWidth="1"/>
    <col min="6408" max="6651" width="8.88671875" style="609"/>
    <col min="6652" max="6652" width="15.88671875" style="609" customWidth="1"/>
    <col min="6653" max="6653" width="2.109375" style="609" customWidth="1"/>
    <col min="6654" max="6654" width="7.5546875" style="609" customWidth="1"/>
    <col min="6655" max="6655" width="12.109375" style="609" customWidth="1"/>
    <col min="6656" max="6656" width="14.33203125" style="609" customWidth="1"/>
    <col min="6657" max="6657" width="3.44140625" style="609" customWidth="1"/>
    <col min="6658" max="6658" width="17.33203125" style="609" customWidth="1"/>
    <col min="6659" max="6659" width="2.109375" style="609" customWidth="1"/>
    <col min="6660" max="6660" width="7.5546875" style="609" customWidth="1"/>
    <col min="6661" max="6661" width="12.109375" style="609" customWidth="1"/>
    <col min="6662" max="6662" width="14.33203125" style="609" customWidth="1"/>
    <col min="6663" max="6663" width="42.5546875" style="609" customWidth="1"/>
    <col min="6664" max="6907" width="8.88671875" style="609"/>
    <col min="6908" max="6908" width="15.88671875" style="609" customWidth="1"/>
    <col min="6909" max="6909" width="2.109375" style="609" customWidth="1"/>
    <col min="6910" max="6910" width="7.5546875" style="609" customWidth="1"/>
    <col min="6911" max="6911" width="12.109375" style="609" customWidth="1"/>
    <col min="6912" max="6912" width="14.33203125" style="609" customWidth="1"/>
    <col min="6913" max="6913" width="3.44140625" style="609" customWidth="1"/>
    <col min="6914" max="6914" width="17.33203125" style="609" customWidth="1"/>
    <col min="6915" max="6915" width="2.109375" style="609" customWidth="1"/>
    <col min="6916" max="6916" width="7.5546875" style="609" customWidth="1"/>
    <col min="6917" max="6917" width="12.109375" style="609" customWidth="1"/>
    <col min="6918" max="6918" width="14.33203125" style="609" customWidth="1"/>
    <col min="6919" max="6919" width="42.5546875" style="609" customWidth="1"/>
    <col min="6920" max="7163" width="8.88671875" style="609"/>
    <col min="7164" max="7164" width="15.88671875" style="609" customWidth="1"/>
    <col min="7165" max="7165" width="2.109375" style="609" customWidth="1"/>
    <col min="7166" max="7166" width="7.5546875" style="609" customWidth="1"/>
    <col min="7167" max="7167" width="12.109375" style="609" customWidth="1"/>
    <col min="7168" max="7168" width="14.33203125" style="609" customWidth="1"/>
    <col min="7169" max="7169" width="3.44140625" style="609" customWidth="1"/>
    <col min="7170" max="7170" width="17.33203125" style="609" customWidth="1"/>
    <col min="7171" max="7171" width="2.109375" style="609" customWidth="1"/>
    <col min="7172" max="7172" width="7.5546875" style="609" customWidth="1"/>
    <col min="7173" max="7173" width="12.109375" style="609" customWidth="1"/>
    <col min="7174" max="7174" width="14.33203125" style="609" customWidth="1"/>
    <col min="7175" max="7175" width="42.5546875" style="609" customWidth="1"/>
    <col min="7176" max="7419" width="8.88671875" style="609"/>
    <col min="7420" max="7420" width="15.88671875" style="609" customWidth="1"/>
    <col min="7421" max="7421" width="2.109375" style="609" customWidth="1"/>
    <col min="7422" max="7422" width="7.5546875" style="609" customWidth="1"/>
    <col min="7423" max="7423" width="12.109375" style="609" customWidth="1"/>
    <col min="7424" max="7424" width="14.33203125" style="609" customWidth="1"/>
    <col min="7425" max="7425" width="3.44140625" style="609" customWidth="1"/>
    <col min="7426" max="7426" width="17.33203125" style="609" customWidth="1"/>
    <col min="7427" max="7427" width="2.109375" style="609" customWidth="1"/>
    <col min="7428" max="7428" width="7.5546875" style="609" customWidth="1"/>
    <col min="7429" max="7429" width="12.109375" style="609" customWidth="1"/>
    <col min="7430" max="7430" width="14.33203125" style="609" customWidth="1"/>
    <col min="7431" max="7431" width="42.5546875" style="609" customWidth="1"/>
    <col min="7432" max="7675" width="8.88671875" style="609"/>
    <col min="7676" max="7676" width="15.88671875" style="609" customWidth="1"/>
    <col min="7677" max="7677" width="2.109375" style="609" customWidth="1"/>
    <col min="7678" max="7678" width="7.5546875" style="609" customWidth="1"/>
    <col min="7679" max="7679" width="12.109375" style="609" customWidth="1"/>
    <col min="7680" max="7680" width="14.33203125" style="609" customWidth="1"/>
    <col min="7681" max="7681" width="3.44140625" style="609" customWidth="1"/>
    <col min="7682" max="7682" width="17.33203125" style="609" customWidth="1"/>
    <col min="7683" max="7683" width="2.109375" style="609" customWidth="1"/>
    <col min="7684" max="7684" width="7.5546875" style="609" customWidth="1"/>
    <col min="7685" max="7685" width="12.109375" style="609" customWidth="1"/>
    <col min="7686" max="7686" width="14.33203125" style="609" customWidth="1"/>
    <col min="7687" max="7687" width="42.5546875" style="609" customWidth="1"/>
    <col min="7688" max="7931" width="8.88671875" style="609"/>
    <col min="7932" max="7932" width="15.88671875" style="609" customWidth="1"/>
    <col min="7933" max="7933" width="2.109375" style="609" customWidth="1"/>
    <col min="7934" max="7934" width="7.5546875" style="609" customWidth="1"/>
    <col min="7935" max="7935" width="12.109375" style="609" customWidth="1"/>
    <col min="7936" max="7936" width="14.33203125" style="609" customWidth="1"/>
    <col min="7937" max="7937" width="3.44140625" style="609" customWidth="1"/>
    <col min="7938" max="7938" width="17.33203125" style="609" customWidth="1"/>
    <col min="7939" max="7939" width="2.109375" style="609" customWidth="1"/>
    <col min="7940" max="7940" width="7.5546875" style="609" customWidth="1"/>
    <col min="7941" max="7941" width="12.109375" style="609" customWidth="1"/>
    <col min="7942" max="7942" width="14.33203125" style="609" customWidth="1"/>
    <col min="7943" max="7943" width="42.5546875" style="609" customWidth="1"/>
    <col min="7944" max="8187" width="8.88671875" style="609"/>
    <col min="8188" max="8188" width="15.88671875" style="609" customWidth="1"/>
    <col min="8189" max="8189" width="2.109375" style="609" customWidth="1"/>
    <col min="8190" max="8190" width="7.5546875" style="609" customWidth="1"/>
    <col min="8191" max="8191" width="12.109375" style="609" customWidth="1"/>
    <col min="8192" max="8192" width="14.33203125" style="609" customWidth="1"/>
    <col min="8193" max="8193" width="3.44140625" style="609" customWidth="1"/>
    <col min="8194" max="8194" width="17.33203125" style="609" customWidth="1"/>
    <col min="8195" max="8195" width="2.109375" style="609" customWidth="1"/>
    <col min="8196" max="8196" width="7.5546875" style="609" customWidth="1"/>
    <col min="8197" max="8197" width="12.109375" style="609" customWidth="1"/>
    <col min="8198" max="8198" width="14.33203125" style="609" customWidth="1"/>
    <col min="8199" max="8199" width="42.5546875" style="609" customWidth="1"/>
    <col min="8200" max="8443" width="8.88671875" style="609"/>
    <col min="8444" max="8444" width="15.88671875" style="609" customWidth="1"/>
    <col min="8445" max="8445" width="2.109375" style="609" customWidth="1"/>
    <col min="8446" max="8446" width="7.5546875" style="609" customWidth="1"/>
    <col min="8447" max="8447" width="12.109375" style="609" customWidth="1"/>
    <col min="8448" max="8448" width="14.33203125" style="609" customWidth="1"/>
    <col min="8449" max="8449" width="3.44140625" style="609" customWidth="1"/>
    <col min="8450" max="8450" width="17.33203125" style="609" customWidth="1"/>
    <col min="8451" max="8451" width="2.109375" style="609" customWidth="1"/>
    <col min="8452" max="8452" width="7.5546875" style="609" customWidth="1"/>
    <col min="8453" max="8453" width="12.109375" style="609" customWidth="1"/>
    <col min="8454" max="8454" width="14.33203125" style="609" customWidth="1"/>
    <col min="8455" max="8455" width="42.5546875" style="609" customWidth="1"/>
    <col min="8456" max="8699" width="8.88671875" style="609"/>
    <col min="8700" max="8700" width="15.88671875" style="609" customWidth="1"/>
    <col min="8701" max="8701" width="2.109375" style="609" customWidth="1"/>
    <col min="8702" max="8702" width="7.5546875" style="609" customWidth="1"/>
    <col min="8703" max="8703" width="12.109375" style="609" customWidth="1"/>
    <col min="8704" max="8704" width="14.33203125" style="609" customWidth="1"/>
    <col min="8705" max="8705" width="3.44140625" style="609" customWidth="1"/>
    <col min="8706" max="8706" width="17.33203125" style="609" customWidth="1"/>
    <col min="8707" max="8707" width="2.109375" style="609" customWidth="1"/>
    <col min="8708" max="8708" width="7.5546875" style="609" customWidth="1"/>
    <col min="8709" max="8709" width="12.109375" style="609" customWidth="1"/>
    <col min="8710" max="8710" width="14.33203125" style="609" customWidth="1"/>
    <col min="8711" max="8711" width="42.5546875" style="609" customWidth="1"/>
    <col min="8712" max="8955" width="8.88671875" style="609"/>
    <col min="8956" max="8956" width="15.88671875" style="609" customWidth="1"/>
    <col min="8957" max="8957" width="2.109375" style="609" customWidth="1"/>
    <col min="8958" max="8958" width="7.5546875" style="609" customWidth="1"/>
    <col min="8959" max="8959" width="12.109375" style="609" customWidth="1"/>
    <col min="8960" max="8960" width="14.33203125" style="609" customWidth="1"/>
    <col min="8961" max="8961" width="3.44140625" style="609" customWidth="1"/>
    <col min="8962" max="8962" width="17.33203125" style="609" customWidth="1"/>
    <col min="8963" max="8963" width="2.109375" style="609" customWidth="1"/>
    <col min="8964" max="8964" width="7.5546875" style="609" customWidth="1"/>
    <col min="8965" max="8965" width="12.109375" style="609" customWidth="1"/>
    <col min="8966" max="8966" width="14.33203125" style="609" customWidth="1"/>
    <col min="8967" max="8967" width="42.5546875" style="609" customWidth="1"/>
    <col min="8968" max="9211" width="8.88671875" style="609"/>
    <col min="9212" max="9212" width="15.88671875" style="609" customWidth="1"/>
    <col min="9213" max="9213" width="2.109375" style="609" customWidth="1"/>
    <col min="9214" max="9214" width="7.5546875" style="609" customWidth="1"/>
    <col min="9215" max="9215" width="12.109375" style="609" customWidth="1"/>
    <col min="9216" max="9216" width="14.33203125" style="609" customWidth="1"/>
    <col min="9217" max="9217" width="3.44140625" style="609" customWidth="1"/>
    <col min="9218" max="9218" width="17.33203125" style="609" customWidth="1"/>
    <col min="9219" max="9219" width="2.109375" style="609" customWidth="1"/>
    <col min="9220" max="9220" width="7.5546875" style="609" customWidth="1"/>
    <col min="9221" max="9221" width="12.109375" style="609" customWidth="1"/>
    <col min="9222" max="9222" width="14.33203125" style="609" customWidth="1"/>
    <col min="9223" max="9223" width="42.5546875" style="609" customWidth="1"/>
    <col min="9224" max="9467" width="8.88671875" style="609"/>
    <col min="9468" max="9468" width="15.88671875" style="609" customWidth="1"/>
    <col min="9469" max="9469" width="2.109375" style="609" customWidth="1"/>
    <col min="9470" max="9470" width="7.5546875" style="609" customWidth="1"/>
    <col min="9471" max="9471" width="12.109375" style="609" customWidth="1"/>
    <col min="9472" max="9472" width="14.33203125" style="609" customWidth="1"/>
    <col min="9473" max="9473" width="3.44140625" style="609" customWidth="1"/>
    <col min="9474" max="9474" width="17.33203125" style="609" customWidth="1"/>
    <col min="9475" max="9475" width="2.109375" style="609" customWidth="1"/>
    <col min="9476" max="9476" width="7.5546875" style="609" customWidth="1"/>
    <col min="9477" max="9477" width="12.109375" style="609" customWidth="1"/>
    <col min="9478" max="9478" width="14.33203125" style="609" customWidth="1"/>
    <col min="9479" max="9479" width="42.5546875" style="609" customWidth="1"/>
    <col min="9480" max="9723" width="8.88671875" style="609"/>
    <col min="9724" max="9724" width="15.88671875" style="609" customWidth="1"/>
    <col min="9725" max="9725" width="2.109375" style="609" customWidth="1"/>
    <col min="9726" max="9726" width="7.5546875" style="609" customWidth="1"/>
    <col min="9727" max="9727" width="12.109375" style="609" customWidth="1"/>
    <col min="9728" max="9728" width="14.33203125" style="609" customWidth="1"/>
    <col min="9729" max="9729" width="3.44140625" style="609" customWidth="1"/>
    <col min="9730" max="9730" width="17.33203125" style="609" customWidth="1"/>
    <col min="9731" max="9731" width="2.109375" style="609" customWidth="1"/>
    <col min="9732" max="9732" width="7.5546875" style="609" customWidth="1"/>
    <col min="9733" max="9733" width="12.109375" style="609" customWidth="1"/>
    <col min="9734" max="9734" width="14.33203125" style="609" customWidth="1"/>
    <col min="9735" max="9735" width="42.5546875" style="609" customWidth="1"/>
    <col min="9736" max="9979" width="8.88671875" style="609"/>
    <col min="9980" max="9980" width="15.88671875" style="609" customWidth="1"/>
    <col min="9981" max="9981" width="2.109375" style="609" customWidth="1"/>
    <col min="9982" max="9982" width="7.5546875" style="609" customWidth="1"/>
    <col min="9983" max="9983" width="12.109375" style="609" customWidth="1"/>
    <col min="9984" max="9984" width="14.33203125" style="609" customWidth="1"/>
    <col min="9985" max="9985" width="3.44140625" style="609" customWidth="1"/>
    <col min="9986" max="9986" width="17.33203125" style="609" customWidth="1"/>
    <col min="9987" max="9987" width="2.109375" style="609" customWidth="1"/>
    <col min="9988" max="9988" width="7.5546875" style="609" customWidth="1"/>
    <col min="9989" max="9989" width="12.109375" style="609" customWidth="1"/>
    <col min="9990" max="9990" width="14.33203125" style="609" customWidth="1"/>
    <col min="9991" max="9991" width="42.5546875" style="609" customWidth="1"/>
    <col min="9992" max="10235" width="8.88671875" style="609"/>
    <col min="10236" max="10236" width="15.88671875" style="609" customWidth="1"/>
    <col min="10237" max="10237" width="2.109375" style="609" customWidth="1"/>
    <col min="10238" max="10238" width="7.5546875" style="609" customWidth="1"/>
    <col min="10239" max="10239" width="12.109375" style="609" customWidth="1"/>
    <col min="10240" max="10240" width="14.33203125" style="609" customWidth="1"/>
    <col min="10241" max="10241" width="3.44140625" style="609" customWidth="1"/>
    <col min="10242" max="10242" width="17.33203125" style="609" customWidth="1"/>
    <col min="10243" max="10243" width="2.109375" style="609" customWidth="1"/>
    <col min="10244" max="10244" width="7.5546875" style="609" customWidth="1"/>
    <col min="10245" max="10245" width="12.109375" style="609" customWidth="1"/>
    <col min="10246" max="10246" width="14.33203125" style="609" customWidth="1"/>
    <col min="10247" max="10247" width="42.5546875" style="609" customWidth="1"/>
    <col min="10248" max="10491" width="8.88671875" style="609"/>
    <col min="10492" max="10492" width="15.88671875" style="609" customWidth="1"/>
    <col min="10493" max="10493" width="2.109375" style="609" customWidth="1"/>
    <col min="10494" max="10494" width="7.5546875" style="609" customWidth="1"/>
    <col min="10495" max="10495" width="12.109375" style="609" customWidth="1"/>
    <col min="10496" max="10496" width="14.33203125" style="609" customWidth="1"/>
    <col min="10497" max="10497" width="3.44140625" style="609" customWidth="1"/>
    <col min="10498" max="10498" width="17.33203125" style="609" customWidth="1"/>
    <col min="10499" max="10499" width="2.109375" style="609" customWidth="1"/>
    <col min="10500" max="10500" width="7.5546875" style="609" customWidth="1"/>
    <col min="10501" max="10501" width="12.109375" style="609" customWidth="1"/>
    <col min="10502" max="10502" width="14.33203125" style="609" customWidth="1"/>
    <col min="10503" max="10503" width="42.5546875" style="609" customWidth="1"/>
    <col min="10504" max="10747" width="8.88671875" style="609"/>
    <col min="10748" max="10748" width="15.88671875" style="609" customWidth="1"/>
    <col min="10749" max="10749" width="2.109375" style="609" customWidth="1"/>
    <col min="10750" max="10750" width="7.5546875" style="609" customWidth="1"/>
    <col min="10751" max="10751" width="12.109375" style="609" customWidth="1"/>
    <col min="10752" max="10752" width="14.33203125" style="609" customWidth="1"/>
    <col min="10753" max="10753" width="3.44140625" style="609" customWidth="1"/>
    <col min="10754" max="10754" width="17.33203125" style="609" customWidth="1"/>
    <col min="10755" max="10755" width="2.109375" style="609" customWidth="1"/>
    <col min="10756" max="10756" width="7.5546875" style="609" customWidth="1"/>
    <col min="10757" max="10757" width="12.109375" style="609" customWidth="1"/>
    <col min="10758" max="10758" width="14.33203125" style="609" customWidth="1"/>
    <col min="10759" max="10759" width="42.5546875" style="609" customWidth="1"/>
    <col min="10760" max="11003" width="8.88671875" style="609"/>
    <col min="11004" max="11004" width="15.88671875" style="609" customWidth="1"/>
    <col min="11005" max="11005" width="2.109375" style="609" customWidth="1"/>
    <col min="11006" max="11006" width="7.5546875" style="609" customWidth="1"/>
    <col min="11007" max="11007" width="12.109375" style="609" customWidth="1"/>
    <col min="11008" max="11008" width="14.33203125" style="609" customWidth="1"/>
    <col min="11009" max="11009" width="3.44140625" style="609" customWidth="1"/>
    <col min="11010" max="11010" width="17.33203125" style="609" customWidth="1"/>
    <col min="11011" max="11011" width="2.109375" style="609" customWidth="1"/>
    <col min="11012" max="11012" width="7.5546875" style="609" customWidth="1"/>
    <col min="11013" max="11013" width="12.109375" style="609" customWidth="1"/>
    <col min="11014" max="11014" width="14.33203125" style="609" customWidth="1"/>
    <col min="11015" max="11015" width="42.5546875" style="609" customWidth="1"/>
    <col min="11016" max="11259" width="8.88671875" style="609"/>
    <col min="11260" max="11260" width="15.88671875" style="609" customWidth="1"/>
    <col min="11261" max="11261" width="2.109375" style="609" customWidth="1"/>
    <col min="11262" max="11262" width="7.5546875" style="609" customWidth="1"/>
    <col min="11263" max="11263" width="12.109375" style="609" customWidth="1"/>
    <col min="11264" max="11264" width="14.33203125" style="609" customWidth="1"/>
    <col min="11265" max="11265" width="3.44140625" style="609" customWidth="1"/>
    <col min="11266" max="11266" width="17.33203125" style="609" customWidth="1"/>
    <col min="11267" max="11267" width="2.109375" style="609" customWidth="1"/>
    <col min="11268" max="11268" width="7.5546875" style="609" customWidth="1"/>
    <col min="11269" max="11269" width="12.109375" style="609" customWidth="1"/>
    <col min="11270" max="11270" width="14.33203125" style="609" customWidth="1"/>
    <col min="11271" max="11271" width="42.5546875" style="609" customWidth="1"/>
    <col min="11272" max="11515" width="8.88671875" style="609"/>
    <col min="11516" max="11516" width="15.88671875" style="609" customWidth="1"/>
    <col min="11517" max="11517" width="2.109375" style="609" customWidth="1"/>
    <col min="11518" max="11518" width="7.5546875" style="609" customWidth="1"/>
    <col min="11519" max="11519" width="12.109375" style="609" customWidth="1"/>
    <col min="11520" max="11520" width="14.33203125" style="609" customWidth="1"/>
    <col min="11521" max="11521" width="3.44140625" style="609" customWidth="1"/>
    <col min="11522" max="11522" width="17.33203125" style="609" customWidth="1"/>
    <col min="11523" max="11523" width="2.109375" style="609" customWidth="1"/>
    <col min="11524" max="11524" width="7.5546875" style="609" customWidth="1"/>
    <col min="11525" max="11525" width="12.109375" style="609" customWidth="1"/>
    <col min="11526" max="11526" width="14.33203125" style="609" customWidth="1"/>
    <col min="11527" max="11527" width="42.5546875" style="609" customWidth="1"/>
    <col min="11528" max="11771" width="8.88671875" style="609"/>
    <col min="11772" max="11772" width="15.88671875" style="609" customWidth="1"/>
    <col min="11773" max="11773" width="2.109375" style="609" customWidth="1"/>
    <col min="11774" max="11774" width="7.5546875" style="609" customWidth="1"/>
    <col min="11775" max="11775" width="12.109375" style="609" customWidth="1"/>
    <col min="11776" max="11776" width="14.33203125" style="609" customWidth="1"/>
    <col min="11777" max="11777" width="3.44140625" style="609" customWidth="1"/>
    <col min="11778" max="11778" width="17.33203125" style="609" customWidth="1"/>
    <col min="11779" max="11779" width="2.109375" style="609" customWidth="1"/>
    <col min="11780" max="11780" width="7.5546875" style="609" customWidth="1"/>
    <col min="11781" max="11781" width="12.109375" style="609" customWidth="1"/>
    <col min="11782" max="11782" width="14.33203125" style="609" customWidth="1"/>
    <col min="11783" max="11783" width="42.5546875" style="609" customWidth="1"/>
    <col min="11784" max="12027" width="8.88671875" style="609"/>
    <col min="12028" max="12028" width="15.88671875" style="609" customWidth="1"/>
    <col min="12029" max="12029" width="2.109375" style="609" customWidth="1"/>
    <col min="12030" max="12030" width="7.5546875" style="609" customWidth="1"/>
    <col min="12031" max="12031" width="12.109375" style="609" customWidth="1"/>
    <col min="12032" max="12032" width="14.33203125" style="609" customWidth="1"/>
    <col min="12033" max="12033" width="3.44140625" style="609" customWidth="1"/>
    <col min="12034" max="12034" width="17.33203125" style="609" customWidth="1"/>
    <col min="12035" max="12035" width="2.109375" style="609" customWidth="1"/>
    <col min="12036" max="12036" width="7.5546875" style="609" customWidth="1"/>
    <col min="12037" max="12037" width="12.109375" style="609" customWidth="1"/>
    <col min="12038" max="12038" width="14.33203125" style="609" customWidth="1"/>
    <col min="12039" max="12039" width="42.5546875" style="609" customWidth="1"/>
    <col min="12040" max="12283" width="8.88671875" style="609"/>
    <col min="12284" max="12284" width="15.88671875" style="609" customWidth="1"/>
    <col min="12285" max="12285" width="2.109375" style="609" customWidth="1"/>
    <col min="12286" max="12286" width="7.5546875" style="609" customWidth="1"/>
    <col min="12287" max="12287" width="12.109375" style="609" customWidth="1"/>
    <col min="12288" max="12288" width="14.33203125" style="609" customWidth="1"/>
    <col min="12289" max="12289" width="3.44140625" style="609" customWidth="1"/>
    <col min="12290" max="12290" width="17.33203125" style="609" customWidth="1"/>
    <col min="12291" max="12291" width="2.109375" style="609" customWidth="1"/>
    <col min="12292" max="12292" width="7.5546875" style="609" customWidth="1"/>
    <col min="12293" max="12293" width="12.109375" style="609" customWidth="1"/>
    <col min="12294" max="12294" width="14.33203125" style="609" customWidth="1"/>
    <col min="12295" max="12295" width="42.5546875" style="609" customWidth="1"/>
    <col min="12296" max="12539" width="8.88671875" style="609"/>
    <col min="12540" max="12540" width="15.88671875" style="609" customWidth="1"/>
    <col min="12541" max="12541" width="2.109375" style="609" customWidth="1"/>
    <col min="12542" max="12542" width="7.5546875" style="609" customWidth="1"/>
    <col min="12543" max="12543" width="12.109375" style="609" customWidth="1"/>
    <col min="12544" max="12544" width="14.33203125" style="609" customWidth="1"/>
    <col min="12545" max="12545" width="3.44140625" style="609" customWidth="1"/>
    <col min="12546" max="12546" width="17.33203125" style="609" customWidth="1"/>
    <col min="12547" max="12547" width="2.109375" style="609" customWidth="1"/>
    <col min="12548" max="12548" width="7.5546875" style="609" customWidth="1"/>
    <col min="12549" max="12549" width="12.109375" style="609" customWidth="1"/>
    <col min="12550" max="12550" width="14.33203125" style="609" customWidth="1"/>
    <col min="12551" max="12551" width="42.5546875" style="609" customWidth="1"/>
    <col min="12552" max="12795" width="8.88671875" style="609"/>
    <col min="12796" max="12796" width="15.88671875" style="609" customWidth="1"/>
    <col min="12797" max="12797" width="2.109375" style="609" customWidth="1"/>
    <col min="12798" max="12798" width="7.5546875" style="609" customWidth="1"/>
    <col min="12799" max="12799" width="12.109375" style="609" customWidth="1"/>
    <col min="12800" max="12800" width="14.33203125" style="609" customWidth="1"/>
    <col min="12801" max="12801" width="3.44140625" style="609" customWidth="1"/>
    <col min="12802" max="12802" width="17.33203125" style="609" customWidth="1"/>
    <col min="12803" max="12803" width="2.109375" style="609" customWidth="1"/>
    <col min="12804" max="12804" width="7.5546875" style="609" customWidth="1"/>
    <col min="12805" max="12805" width="12.109375" style="609" customWidth="1"/>
    <col min="12806" max="12806" width="14.33203125" style="609" customWidth="1"/>
    <col min="12807" max="12807" width="42.5546875" style="609" customWidth="1"/>
    <col min="12808" max="13051" width="8.88671875" style="609"/>
    <col min="13052" max="13052" width="15.88671875" style="609" customWidth="1"/>
    <col min="13053" max="13053" width="2.109375" style="609" customWidth="1"/>
    <col min="13054" max="13054" width="7.5546875" style="609" customWidth="1"/>
    <col min="13055" max="13055" width="12.109375" style="609" customWidth="1"/>
    <col min="13056" max="13056" width="14.33203125" style="609" customWidth="1"/>
    <col min="13057" max="13057" width="3.44140625" style="609" customWidth="1"/>
    <col min="13058" max="13058" width="17.33203125" style="609" customWidth="1"/>
    <col min="13059" max="13059" width="2.109375" style="609" customWidth="1"/>
    <col min="13060" max="13060" width="7.5546875" style="609" customWidth="1"/>
    <col min="13061" max="13061" width="12.109375" style="609" customWidth="1"/>
    <col min="13062" max="13062" width="14.33203125" style="609" customWidth="1"/>
    <col min="13063" max="13063" width="42.5546875" style="609" customWidth="1"/>
    <col min="13064" max="13307" width="8.88671875" style="609"/>
    <col min="13308" max="13308" width="15.88671875" style="609" customWidth="1"/>
    <col min="13309" max="13309" width="2.109375" style="609" customWidth="1"/>
    <col min="13310" max="13310" width="7.5546875" style="609" customWidth="1"/>
    <col min="13311" max="13311" width="12.109375" style="609" customWidth="1"/>
    <col min="13312" max="13312" width="14.33203125" style="609" customWidth="1"/>
    <col min="13313" max="13313" width="3.44140625" style="609" customWidth="1"/>
    <col min="13314" max="13314" width="17.33203125" style="609" customWidth="1"/>
    <col min="13315" max="13315" width="2.109375" style="609" customWidth="1"/>
    <col min="13316" max="13316" width="7.5546875" style="609" customWidth="1"/>
    <col min="13317" max="13317" width="12.109375" style="609" customWidth="1"/>
    <col min="13318" max="13318" width="14.33203125" style="609" customWidth="1"/>
    <col min="13319" max="13319" width="42.5546875" style="609" customWidth="1"/>
    <col min="13320" max="13563" width="8.88671875" style="609"/>
    <col min="13564" max="13564" width="15.88671875" style="609" customWidth="1"/>
    <col min="13565" max="13565" width="2.109375" style="609" customWidth="1"/>
    <col min="13566" max="13566" width="7.5546875" style="609" customWidth="1"/>
    <col min="13567" max="13567" width="12.109375" style="609" customWidth="1"/>
    <col min="13568" max="13568" width="14.33203125" style="609" customWidth="1"/>
    <col min="13569" max="13569" width="3.44140625" style="609" customWidth="1"/>
    <col min="13570" max="13570" width="17.33203125" style="609" customWidth="1"/>
    <col min="13571" max="13571" width="2.109375" style="609" customWidth="1"/>
    <col min="13572" max="13572" width="7.5546875" style="609" customWidth="1"/>
    <col min="13573" max="13573" width="12.109375" style="609" customWidth="1"/>
    <col min="13574" max="13574" width="14.33203125" style="609" customWidth="1"/>
    <col min="13575" max="13575" width="42.5546875" style="609" customWidth="1"/>
    <col min="13576" max="13819" width="8.88671875" style="609"/>
    <col min="13820" max="13820" width="15.88671875" style="609" customWidth="1"/>
    <col min="13821" max="13821" width="2.109375" style="609" customWidth="1"/>
    <col min="13822" max="13822" width="7.5546875" style="609" customWidth="1"/>
    <col min="13823" max="13823" width="12.109375" style="609" customWidth="1"/>
    <col min="13824" max="13824" width="14.33203125" style="609" customWidth="1"/>
    <col min="13825" max="13825" width="3.44140625" style="609" customWidth="1"/>
    <col min="13826" max="13826" width="17.33203125" style="609" customWidth="1"/>
    <col min="13827" max="13827" width="2.109375" style="609" customWidth="1"/>
    <col min="13828" max="13828" width="7.5546875" style="609" customWidth="1"/>
    <col min="13829" max="13829" width="12.109375" style="609" customWidth="1"/>
    <col min="13830" max="13830" width="14.33203125" style="609" customWidth="1"/>
    <col min="13831" max="13831" width="42.5546875" style="609" customWidth="1"/>
    <col min="13832" max="14075" width="8.88671875" style="609"/>
    <col min="14076" max="14076" width="15.88671875" style="609" customWidth="1"/>
    <col min="14077" max="14077" width="2.109375" style="609" customWidth="1"/>
    <col min="14078" max="14078" width="7.5546875" style="609" customWidth="1"/>
    <col min="14079" max="14079" width="12.109375" style="609" customWidth="1"/>
    <col min="14080" max="14080" width="14.33203125" style="609" customWidth="1"/>
    <col min="14081" max="14081" width="3.44140625" style="609" customWidth="1"/>
    <col min="14082" max="14082" width="17.33203125" style="609" customWidth="1"/>
    <col min="14083" max="14083" width="2.109375" style="609" customWidth="1"/>
    <col min="14084" max="14084" width="7.5546875" style="609" customWidth="1"/>
    <col min="14085" max="14085" width="12.109375" style="609" customWidth="1"/>
    <col min="14086" max="14086" width="14.33203125" style="609" customWidth="1"/>
    <col min="14087" max="14087" width="42.5546875" style="609" customWidth="1"/>
    <col min="14088" max="14331" width="8.88671875" style="609"/>
    <col min="14332" max="14332" width="15.88671875" style="609" customWidth="1"/>
    <col min="14333" max="14333" width="2.109375" style="609" customWidth="1"/>
    <col min="14334" max="14334" width="7.5546875" style="609" customWidth="1"/>
    <col min="14335" max="14335" width="12.109375" style="609" customWidth="1"/>
    <col min="14336" max="14336" width="14.33203125" style="609" customWidth="1"/>
    <col min="14337" max="14337" width="3.44140625" style="609" customWidth="1"/>
    <col min="14338" max="14338" width="17.33203125" style="609" customWidth="1"/>
    <col min="14339" max="14339" width="2.109375" style="609" customWidth="1"/>
    <col min="14340" max="14340" width="7.5546875" style="609" customWidth="1"/>
    <col min="14341" max="14341" width="12.109375" style="609" customWidth="1"/>
    <col min="14342" max="14342" width="14.33203125" style="609" customWidth="1"/>
    <col min="14343" max="14343" width="42.5546875" style="609" customWidth="1"/>
    <col min="14344" max="14587" width="8.88671875" style="609"/>
    <col min="14588" max="14588" width="15.88671875" style="609" customWidth="1"/>
    <col min="14589" max="14589" width="2.109375" style="609" customWidth="1"/>
    <col min="14590" max="14590" width="7.5546875" style="609" customWidth="1"/>
    <col min="14591" max="14591" width="12.109375" style="609" customWidth="1"/>
    <col min="14592" max="14592" width="14.33203125" style="609" customWidth="1"/>
    <col min="14593" max="14593" width="3.44140625" style="609" customWidth="1"/>
    <col min="14594" max="14594" width="17.33203125" style="609" customWidth="1"/>
    <col min="14595" max="14595" width="2.109375" style="609" customWidth="1"/>
    <col min="14596" max="14596" width="7.5546875" style="609" customWidth="1"/>
    <col min="14597" max="14597" width="12.109375" style="609" customWidth="1"/>
    <col min="14598" max="14598" width="14.33203125" style="609" customWidth="1"/>
    <col min="14599" max="14599" width="42.5546875" style="609" customWidth="1"/>
    <col min="14600" max="14843" width="8.88671875" style="609"/>
    <col min="14844" max="14844" width="15.88671875" style="609" customWidth="1"/>
    <col min="14845" max="14845" width="2.109375" style="609" customWidth="1"/>
    <col min="14846" max="14846" width="7.5546875" style="609" customWidth="1"/>
    <col min="14847" max="14847" width="12.109375" style="609" customWidth="1"/>
    <col min="14848" max="14848" width="14.33203125" style="609" customWidth="1"/>
    <col min="14849" max="14849" width="3.44140625" style="609" customWidth="1"/>
    <col min="14850" max="14850" width="17.33203125" style="609" customWidth="1"/>
    <col min="14851" max="14851" width="2.109375" style="609" customWidth="1"/>
    <col min="14852" max="14852" width="7.5546875" style="609" customWidth="1"/>
    <col min="14853" max="14853" width="12.109375" style="609" customWidth="1"/>
    <col min="14854" max="14854" width="14.33203125" style="609" customWidth="1"/>
    <col min="14855" max="14855" width="42.5546875" style="609" customWidth="1"/>
    <col min="14856" max="15099" width="8.88671875" style="609"/>
    <col min="15100" max="15100" width="15.88671875" style="609" customWidth="1"/>
    <col min="15101" max="15101" width="2.109375" style="609" customWidth="1"/>
    <col min="15102" max="15102" width="7.5546875" style="609" customWidth="1"/>
    <col min="15103" max="15103" width="12.109375" style="609" customWidth="1"/>
    <col min="15104" max="15104" width="14.33203125" style="609" customWidth="1"/>
    <col min="15105" max="15105" width="3.44140625" style="609" customWidth="1"/>
    <col min="15106" max="15106" width="17.33203125" style="609" customWidth="1"/>
    <col min="15107" max="15107" width="2.109375" style="609" customWidth="1"/>
    <col min="15108" max="15108" width="7.5546875" style="609" customWidth="1"/>
    <col min="15109" max="15109" width="12.109375" style="609" customWidth="1"/>
    <col min="15110" max="15110" width="14.33203125" style="609" customWidth="1"/>
    <col min="15111" max="15111" width="42.5546875" style="609" customWidth="1"/>
    <col min="15112" max="15355" width="8.88671875" style="609"/>
    <col min="15356" max="15356" width="15.88671875" style="609" customWidth="1"/>
    <col min="15357" max="15357" width="2.109375" style="609" customWidth="1"/>
    <col min="15358" max="15358" width="7.5546875" style="609" customWidth="1"/>
    <col min="15359" max="15359" width="12.109375" style="609" customWidth="1"/>
    <col min="15360" max="15360" width="14.33203125" style="609" customWidth="1"/>
    <col min="15361" max="15361" width="3.44140625" style="609" customWidth="1"/>
    <col min="15362" max="15362" width="17.33203125" style="609" customWidth="1"/>
    <col min="15363" max="15363" width="2.109375" style="609" customWidth="1"/>
    <col min="15364" max="15364" width="7.5546875" style="609" customWidth="1"/>
    <col min="15365" max="15365" width="12.109375" style="609" customWidth="1"/>
    <col min="15366" max="15366" width="14.33203125" style="609" customWidth="1"/>
    <col min="15367" max="15367" width="42.5546875" style="609" customWidth="1"/>
    <col min="15368" max="15611" width="8.88671875" style="609"/>
    <col min="15612" max="15612" width="15.88671875" style="609" customWidth="1"/>
    <col min="15613" max="15613" width="2.109375" style="609" customWidth="1"/>
    <col min="15614" max="15614" width="7.5546875" style="609" customWidth="1"/>
    <col min="15615" max="15615" width="12.109375" style="609" customWidth="1"/>
    <col min="15616" max="15616" width="14.33203125" style="609" customWidth="1"/>
    <col min="15617" max="15617" width="3.44140625" style="609" customWidth="1"/>
    <col min="15618" max="15618" width="17.33203125" style="609" customWidth="1"/>
    <col min="15619" max="15619" width="2.109375" style="609" customWidth="1"/>
    <col min="15620" max="15620" width="7.5546875" style="609" customWidth="1"/>
    <col min="15621" max="15621" width="12.109375" style="609" customWidth="1"/>
    <col min="15622" max="15622" width="14.33203125" style="609" customWidth="1"/>
    <col min="15623" max="15623" width="42.5546875" style="609" customWidth="1"/>
    <col min="15624" max="15867" width="8.88671875" style="609"/>
    <col min="15868" max="15868" width="15.88671875" style="609" customWidth="1"/>
    <col min="15869" max="15869" width="2.109375" style="609" customWidth="1"/>
    <col min="15870" max="15870" width="7.5546875" style="609" customWidth="1"/>
    <col min="15871" max="15871" width="12.109375" style="609" customWidth="1"/>
    <col min="15872" max="15872" width="14.33203125" style="609" customWidth="1"/>
    <col min="15873" max="15873" width="3.44140625" style="609" customWidth="1"/>
    <col min="15874" max="15874" width="17.33203125" style="609" customWidth="1"/>
    <col min="15875" max="15875" width="2.109375" style="609" customWidth="1"/>
    <col min="15876" max="15876" width="7.5546875" style="609" customWidth="1"/>
    <col min="15877" max="15877" width="12.109375" style="609" customWidth="1"/>
    <col min="15878" max="15878" width="14.33203125" style="609" customWidth="1"/>
    <col min="15879" max="15879" width="42.5546875" style="609" customWidth="1"/>
    <col min="15880" max="16123" width="8.88671875" style="609"/>
    <col min="16124" max="16124" width="15.88671875" style="609" customWidth="1"/>
    <col min="16125" max="16125" width="2.109375" style="609" customWidth="1"/>
    <col min="16126" max="16126" width="7.5546875" style="609" customWidth="1"/>
    <col min="16127" max="16127" width="12.109375" style="609" customWidth="1"/>
    <col min="16128" max="16128" width="14.33203125" style="609" customWidth="1"/>
    <col min="16129" max="16129" width="3.44140625" style="609" customWidth="1"/>
    <col min="16130" max="16130" width="17.33203125" style="609" customWidth="1"/>
    <col min="16131" max="16131" width="2.109375" style="609" customWidth="1"/>
    <col min="16132" max="16132" width="7.5546875" style="609" customWidth="1"/>
    <col min="16133" max="16133" width="12.109375" style="609" customWidth="1"/>
    <col min="16134" max="16134" width="14.33203125" style="609" customWidth="1"/>
    <col min="16135" max="16135" width="42.5546875" style="609" customWidth="1"/>
    <col min="16136" max="16384" width="8.88671875" style="609"/>
  </cols>
  <sheetData>
    <row r="1" spans="1:13" x14ac:dyDescent="0.3">
      <c r="A1" s="789" t="s">
        <v>1673</v>
      </c>
      <c r="B1" s="789"/>
      <c r="C1" s="789"/>
      <c r="D1" s="789"/>
      <c r="E1" s="789"/>
      <c r="F1" s="789"/>
      <c r="G1" s="789"/>
      <c r="H1" s="789"/>
      <c r="I1" s="789"/>
      <c r="J1" s="1047" t="s">
        <v>1970</v>
      </c>
      <c r="K1" s="1047"/>
      <c r="L1" s="789"/>
      <c r="M1" s="789"/>
    </row>
    <row r="2" spans="1:13" x14ac:dyDescent="0.3">
      <c r="A2" s="789" t="s">
        <v>604</v>
      </c>
      <c r="B2" s="789"/>
      <c r="C2" s="789"/>
      <c r="D2" s="789"/>
      <c r="E2" s="789"/>
      <c r="F2" s="789"/>
      <c r="G2" s="789"/>
      <c r="H2" s="789"/>
      <c r="I2" s="789"/>
      <c r="J2" s="789"/>
      <c r="K2" s="789"/>
      <c r="L2" s="789"/>
      <c r="M2" s="789"/>
    </row>
    <row r="3" spans="1:13" x14ac:dyDescent="0.3">
      <c r="A3" s="789" t="s">
        <v>605</v>
      </c>
      <c r="B3" s="789"/>
      <c r="C3" s="789"/>
      <c r="D3" s="789"/>
      <c r="E3" s="789"/>
      <c r="F3" s="789"/>
      <c r="G3" s="789"/>
      <c r="H3" s="789"/>
      <c r="I3" s="789"/>
      <c r="J3" s="789"/>
      <c r="K3" s="789"/>
      <c r="L3" s="789"/>
    </row>
    <row r="4" spans="1:13" x14ac:dyDescent="0.3">
      <c r="A4" s="789"/>
      <c r="B4" s="789"/>
      <c r="C4" s="790"/>
      <c r="D4" s="791"/>
      <c r="E4" s="791"/>
      <c r="F4" s="789"/>
      <c r="G4" s="180"/>
      <c r="H4" s="180"/>
      <c r="I4" s="180"/>
      <c r="J4" s="180"/>
      <c r="K4" s="180"/>
      <c r="L4" s="180"/>
    </row>
    <row r="5" spans="1:13" x14ac:dyDescent="0.3">
      <c r="A5" s="789"/>
      <c r="B5" s="789"/>
      <c r="C5" s="790"/>
      <c r="D5" s="791" t="s">
        <v>606</v>
      </c>
      <c r="E5" s="791" t="s">
        <v>607</v>
      </c>
      <c r="F5" s="789"/>
      <c r="G5" s="180"/>
      <c r="H5" s="180"/>
      <c r="I5" s="180"/>
      <c r="J5" s="180"/>
      <c r="K5" s="180"/>
      <c r="L5" s="180"/>
      <c r="M5" s="789"/>
    </row>
    <row r="6" spans="1:13" x14ac:dyDescent="0.3">
      <c r="A6" s="789"/>
      <c r="B6" s="789"/>
      <c r="C6" s="790" t="s">
        <v>608</v>
      </c>
      <c r="D6" s="791" t="s">
        <v>609</v>
      </c>
      <c r="E6" s="791" t="s">
        <v>610</v>
      </c>
      <c r="F6" s="789"/>
      <c r="G6" s="180"/>
      <c r="H6" s="180"/>
      <c r="I6" s="180"/>
      <c r="J6" s="180"/>
      <c r="K6" s="180"/>
      <c r="L6" s="180"/>
      <c r="M6" s="789"/>
    </row>
    <row r="7" spans="1:13" x14ac:dyDescent="0.3">
      <c r="A7" s="789" t="s">
        <v>611</v>
      </c>
      <c r="B7" s="789"/>
      <c r="C7" s="790" t="s">
        <v>612</v>
      </c>
      <c r="D7" s="791" t="s">
        <v>613</v>
      </c>
      <c r="E7" s="791" t="s">
        <v>613</v>
      </c>
      <c r="F7" s="789"/>
      <c r="G7" s="180"/>
      <c r="H7" s="180"/>
      <c r="I7" s="180"/>
      <c r="J7" s="180"/>
      <c r="K7" s="180"/>
      <c r="L7" s="180"/>
      <c r="M7" s="789"/>
    </row>
    <row r="8" spans="1:13" hidden="1" x14ac:dyDescent="0.3">
      <c r="A8" s="789" t="s">
        <v>1703</v>
      </c>
      <c r="B8" s="789" t="s">
        <v>1704</v>
      </c>
      <c r="C8" s="792">
        <v>0.66</v>
      </c>
      <c r="D8" s="791">
        <v>2017</v>
      </c>
      <c r="E8" s="791">
        <v>2023</v>
      </c>
      <c r="F8" s="789"/>
      <c r="G8" s="180"/>
      <c r="H8" s="180"/>
      <c r="I8" s="180"/>
      <c r="J8" s="180"/>
      <c r="K8" s="180"/>
      <c r="L8" s="180"/>
    </row>
    <row r="9" spans="1:13" hidden="1" x14ac:dyDescent="0.3">
      <c r="A9" s="789" t="s">
        <v>1705</v>
      </c>
      <c r="B9" s="789" t="s">
        <v>1706</v>
      </c>
      <c r="C9" s="792">
        <v>0.79</v>
      </c>
      <c r="D9" s="791">
        <v>2015</v>
      </c>
      <c r="E9" s="791">
        <v>2023</v>
      </c>
      <c r="F9" s="789"/>
      <c r="G9" s="180"/>
      <c r="H9" s="180"/>
      <c r="I9" s="180"/>
      <c r="J9" s="180"/>
      <c r="K9" s="180"/>
      <c r="L9" s="180"/>
    </row>
    <row r="10" spans="1:13" hidden="1" x14ac:dyDescent="0.3">
      <c r="A10" s="789" t="s">
        <v>1707</v>
      </c>
      <c r="B10" s="789" t="s">
        <v>1708</v>
      </c>
      <c r="C10" s="792">
        <v>0.59699999999999998</v>
      </c>
      <c r="D10" s="791">
        <v>2021</v>
      </c>
      <c r="E10" s="791">
        <v>2027</v>
      </c>
      <c r="F10" s="789"/>
      <c r="G10" s="180"/>
      <c r="H10" s="180"/>
      <c r="I10" s="180"/>
      <c r="J10" s="180"/>
      <c r="K10" s="180"/>
      <c r="L10" s="180"/>
      <c r="M10" s="789"/>
    </row>
    <row r="11" spans="1:13" hidden="1" x14ac:dyDescent="0.3">
      <c r="A11" s="789" t="s">
        <v>1709</v>
      </c>
      <c r="B11" s="789" t="s">
        <v>472</v>
      </c>
      <c r="C11" s="792">
        <v>0.77700000000000002</v>
      </c>
      <c r="D11" s="791">
        <v>2018</v>
      </c>
      <c r="E11" s="791">
        <v>2026</v>
      </c>
      <c r="F11" s="789"/>
      <c r="G11" s="180"/>
      <c r="H11" s="180"/>
      <c r="I11" s="180"/>
      <c r="J11" s="180"/>
      <c r="K11" s="180"/>
      <c r="L11" s="180"/>
      <c r="M11" s="789"/>
    </row>
    <row r="12" spans="1:13" hidden="1" x14ac:dyDescent="0.3">
      <c r="A12" s="789" t="s">
        <v>1710</v>
      </c>
      <c r="B12" s="789" t="s">
        <v>1711</v>
      </c>
      <c r="C12" s="792">
        <v>0.51</v>
      </c>
      <c r="D12" s="791">
        <v>2019</v>
      </c>
      <c r="E12" s="791">
        <v>2023</v>
      </c>
      <c r="F12" s="789"/>
      <c r="G12" s="180"/>
      <c r="H12" s="180"/>
      <c r="I12" s="180"/>
      <c r="J12" s="180"/>
      <c r="K12" s="180"/>
      <c r="L12" s="180"/>
      <c r="M12" s="789"/>
    </row>
    <row r="13" spans="1:13" hidden="1" x14ac:dyDescent="0.3">
      <c r="A13" s="789" t="s">
        <v>1712</v>
      </c>
      <c r="B13" s="789" t="s">
        <v>1713</v>
      </c>
      <c r="C13" s="792">
        <v>0.55000000000000004</v>
      </c>
      <c r="D13" s="791">
        <v>2018</v>
      </c>
      <c r="E13" s="791">
        <v>2022</v>
      </c>
      <c r="F13" s="789"/>
      <c r="G13" s="180"/>
      <c r="H13" s="180"/>
      <c r="I13" s="180"/>
      <c r="J13" s="180"/>
      <c r="K13" s="180"/>
      <c r="L13" s="180"/>
      <c r="M13" s="789"/>
    </row>
    <row r="14" spans="1:13" hidden="1" x14ac:dyDescent="0.3">
      <c r="A14" s="789" t="s">
        <v>1714</v>
      </c>
      <c r="B14" s="789" t="s">
        <v>1715</v>
      </c>
      <c r="C14" s="792">
        <v>0.625</v>
      </c>
      <c r="D14" s="791">
        <v>2018</v>
      </c>
      <c r="E14" s="791">
        <v>2026</v>
      </c>
      <c r="F14" s="789"/>
      <c r="G14" s="180"/>
      <c r="H14" s="180"/>
      <c r="I14" s="180"/>
      <c r="J14" s="180"/>
      <c r="K14" s="180"/>
      <c r="L14" s="180"/>
      <c r="M14" s="789"/>
    </row>
    <row r="15" spans="1:13" hidden="1" x14ac:dyDescent="0.3">
      <c r="A15" s="789" t="s">
        <v>1716</v>
      </c>
      <c r="B15" s="789" t="s">
        <v>478</v>
      </c>
      <c r="C15" s="792">
        <v>0.86499999999999999</v>
      </c>
      <c r="D15" s="791">
        <v>2020</v>
      </c>
      <c r="E15" s="791">
        <v>2028</v>
      </c>
      <c r="F15" s="789"/>
      <c r="G15" s="180"/>
      <c r="H15" s="180"/>
      <c r="I15" s="180"/>
      <c r="J15" s="180"/>
      <c r="K15" s="180"/>
      <c r="L15" s="180"/>
      <c r="M15" s="789"/>
    </row>
    <row r="16" spans="1:13" hidden="1" x14ac:dyDescent="0.3">
      <c r="A16" s="789" t="s">
        <v>1717</v>
      </c>
      <c r="B16" s="789" t="s">
        <v>1718</v>
      </c>
      <c r="C16" s="792">
        <v>0.82</v>
      </c>
      <c r="D16" s="791">
        <v>2015</v>
      </c>
      <c r="E16" s="791">
        <v>2022</v>
      </c>
      <c r="F16" s="789"/>
      <c r="G16" s="180"/>
      <c r="H16" s="180"/>
      <c r="I16" s="180"/>
      <c r="J16" s="180"/>
      <c r="K16" s="180"/>
      <c r="L16" s="180"/>
      <c r="M16" s="789"/>
    </row>
    <row r="17" spans="1:13" hidden="1" x14ac:dyDescent="0.3">
      <c r="A17" s="789" t="s">
        <v>1719</v>
      </c>
      <c r="B17" s="789" t="s">
        <v>1720</v>
      </c>
      <c r="C17" s="792">
        <v>0.48499999999999999</v>
      </c>
      <c r="D17" s="791">
        <v>2019</v>
      </c>
      <c r="E17" s="791">
        <v>2023</v>
      </c>
      <c r="F17" s="789"/>
      <c r="G17" s="180"/>
      <c r="H17" s="180"/>
      <c r="I17" s="180"/>
      <c r="J17" s="180"/>
      <c r="K17" s="180"/>
      <c r="L17" s="180"/>
      <c r="M17" s="789"/>
    </row>
    <row r="18" spans="1:13" x14ac:dyDescent="0.3">
      <c r="A18" s="789" t="s">
        <v>1721</v>
      </c>
      <c r="B18" s="789" t="s">
        <v>1722</v>
      </c>
      <c r="C18" s="792">
        <v>0.48799999999999999</v>
      </c>
      <c r="D18" s="791">
        <v>2021</v>
      </c>
      <c r="E18" s="791">
        <v>2025</v>
      </c>
      <c r="F18" s="789"/>
      <c r="G18" s="180"/>
      <c r="H18" s="180"/>
      <c r="I18" s="180"/>
      <c r="J18" s="180"/>
      <c r="K18" s="180"/>
      <c r="L18" s="180"/>
      <c r="M18" s="789"/>
    </row>
    <row r="19" spans="1:13" hidden="1" x14ac:dyDescent="0.3">
      <c r="A19" s="789" t="s">
        <v>1723</v>
      </c>
      <c r="B19" s="789" t="s">
        <v>1724</v>
      </c>
      <c r="C19" s="792">
        <v>0.69499999999999995</v>
      </c>
      <c r="D19" s="791">
        <v>2019</v>
      </c>
      <c r="E19" s="791">
        <v>2023</v>
      </c>
      <c r="F19" s="789"/>
      <c r="G19" s="180"/>
      <c r="H19" s="180"/>
      <c r="I19" s="180"/>
      <c r="J19" s="180"/>
      <c r="K19" s="180"/>
      <c r="L19" s="180"/>
      <c r="M19" s="789"/>
    </row>
    <row r="20" spans="1:13" hidden="1" x14ac:dyDescent="0.3">
      <c r="A20" s="789" t="s">
        <v>1674</v>
      </c>
      <c r="B20" s="789" t="s">
        <v>1675</v>
      </c>
      <c r="C20" s="792">
        <v>0.74</v>
      </c>
      <c r="D20" s="791">
        <v>2020</v>
      </c>
      <c r="E20" s="791">
        <v>2024</v>
      </c>
      <c r="F20" s="789"/>
      <c r="G20" s="180"/>
      <c r="H20" s="180"/>
      <c r="I20" s="180"/>
      <c r="J20" s="180"/>
      <c r="K20" s="180"/>
      <c r="L20" s="180"/>
      <c r="M20" s="789"/>
    </row>
    <row r="21" spans="1:13" hidden="1" x14ac:dyDescent="0.3">
      <c r="A21" s="789" t="s">
        <v>1725</v>
      </c>
      <c r="B21" s="789" t="s">
        <v>1726</v>
      </c>
      <c r="C21" s="792">
        <v>0.63</v>
      </c>
      <c r="D21" s="791">
        <v>2021</v>
      </c>
      <c r="E21" s="791">
        <v>2029</v>
      </c>
      <c r="F21" s="789"/>
      <c r="G21" s="180"/>
      <c r="H21" s="180"/>
      <c r="I21" s="180"/>
      <c r="J21" s="180"/>
      <c r="K21" s="180"/>
      <c r="L21" s="180"/>
      <c r="M21" s="789"/>
    </row>
    <row r="22" spans="1:13" hidden="1" x14ac:dyDescent="0.3">
      <c r="A22" s="789" t="s">
        <v>1727</v>
      </c>
      <c r="B22" s="789" t="s">
        <v>1728</v>
      </c>
      <c r="C22" s="792">
        <v>0.87</v>
      </c>
      <c r="D22" s="791">
        <v>2015</v>
      </c>
      <c r="E22" s="791">
        <v>2023</v>
      </c>
      <c r="F22" s="789"/>
      <c r="G22" s="180"/>
      <c r="H22" s="180"/>
      <c r="I22" s="180"/>
      <c r="J22" s="180"/>
      <c r="K22" s="180"/>
      <c r="L22" s="180"/>
      <c r="M22" s="789"/>
    </row>
    <row r="23" spans="1:13" hidden="1" x14ac:dyDescent="0.3">
      <c r="A23" s="789" t="s">
        <v>1676</v>
      </c>
      <c r="B23" s="789" t="s">
        <v>1677</v>
      </c>
      <c r="C23" s="792">
        <v>0.33</v>
      </c>
      <c r="D23" s="791">
        <v>2020</v>
      </c>
      <c r="E23" s="791">
        <v>2024</v>
      </c>
      <c r="F23" s="789"/>
      <c r="G23" s="180"/>
      <c r="H23" s="180"/>
      <c r="I23" s="180"/>
      <c r="J23" s="180"/>
      <c r="K23" s="180"/>
      <c r="L23" s="180"/>
      <c r="M23" s="789"/>
    </row>
    <row r="24" spans="1:13" hidden="1" x14ac:dyDescent="0.3">
      <c r="A24" s="789" t="s">
        <v>1729</v>
      </c>
      <c r="B24" s="789" t="s">
        <v>842</v>
      </c>
      <c r="C24" s="792">
        <v>0.73499999999999999</v>
      </c>
      <c r="D24" s="791">
        <v>2016</v>
      </c>
      <c r="E24" s="791">
        <v>2023</v>
      </c>
      <c r="F24" s="789"/>
      <c r="G24" s="180"/>
      <c r="H24" s="180"/>
      <c r="I24" s="180"/>
      <c r="J24" s="180"/>
      <c r="K24" s="180"/>
      <c r="L24" s="180"/>
      <c r="M24" s="789"/>
    </row>
    <row r="25" spans="1:13" hidden="1" x14ac:dyDescent="0.3">
      <c r="A25" s="789" t="s">
        <v>1730</v>
      </c>
      <c r="B25" s="789" t="s">
        <v>1731</v>
      </c>
      <c r="C25" s="792">
        <v>0.57499999999999996</v>
      </c>
      <c r="D25" s="791">
        <v>2019</v>
      </c>
      <c r="E25" s="791">
        <v>2023</v>
      </c>
      <c r="F25" s="789"/>
      <c r="G25" s="180"/>
      <c r="H25" s="180"/>
      <c r="I25" s="180"/>
      <c r="J25" s="180"/>
      <c r="K25" s="180"/>
      <c r="L25" s="180"/>
      <c r="M25" s="789"/>
    </row>
    <row r="26" spans="1:13" x14ac:dyDescent="0.3">
      <c r="A26" s="789" t="s">
        <v>1732</v>
      </c>
      <c r="B26" s="789" t="s">
        <v>1733</v>
      </c>
      <c r="C26" s="792">
        <v>0.66500000000000004</v>
      </c>
      <c r="D26" s="791">
        <v>2021</v>
      </c>
      <c r="E26" s="791">
        <v>2025</v>
      </c>
      <c r="F26" s="789"/>
      <c r="G26" s="180"/>
      <c r="H26" s="180"/>
      <c r="I26" s="180"/>
      <c r="J26" s="180"/>
      <c r="K26" s="180"/>
      <c r="L26" s="180"/>
      <c r="M26" s="789"/>
    </row>
    <row r="27" spans="1:13" hidden="1" x14ac:dyDescent="0.3">
      <c r="A27" s="789" t="s">
        <v>1734</v>
      </c>
      <c r="B27" s="789" t="s">
        <v>843</v>
      </c>
      <c r="C27" s="792">
        <v>0.5</v>
      </c>
      <c r="D27" s="791">
        <v>2020</v>
      </c>
      <c r="E27" s="791">
        <v>2028</v>
      </c>
      <c r="F27" s="789"/>
      <c r="G27" s="180"/>
      <c r="H27" s="180"/>
      <c r="I27" s="180"/>
      <c r="J27" s="180"/>
      <c r="K27" s="180"/>
      <c r="L27" s="180"/>
      <c r="M27" s="789"/>
    </row>
    <row r="28" spans="1:13" hidden="1" x14ac:dyDescent="0.3">
      <c r="A28" s="789" t="s">
        <v>1735</v>
      </c>
      <c r="B28" s="789" t="s">
        <v>1736</v>
      </c>
      <c r="C28" s="792">
        <v>0.755</v>
      </c>
      <c r="D28" s="791">
        <v>2014</v>
      </c>
      <c r="E28" s="791">
        <v>2022</v>
      </c>
      <c r="G28" s="180"/>
      <c r="H28" s="180"/>
      <c r="I28" s="180"/>
      <c r="J28" s="180"/>
      <c r="K28" s="180"/>
      <c r="L28" s="180"/>
      <c r="M28" s="789"/>
    </row>
    <row r="29" spans="1:13" hidden="1" x14ac:dyDescent="0.3">
      <c r="A29" s="789" t="s">
        <v>1737</v>
      </c>
      <c r="B29" s="789" t="s">
        <v>1738</v>
      </c>
      <c r="C29" s="792">
        <v>0.43</v>
      </c>
      <c r="D29" s="791">
        <v>2018</v>
      </c>
      <c r="E29" s="791">
        <v>2026</v>
      </c>
      <c r="G29" s="180"/>
      <c r="H29" s="180"/>
      <c r="I29" s="180"/>
      <c r="J29" s="180"/>
      <c r="K29" s="180"/>
      <c r="L29" s="180"/>
      <c r="M29" s="789"/>
    </row>
    <row r="30" spans="1:13" x14ac:dyDescent="0.3">
      <c r="A30" s="789" t="s">
        <v>1739</v>
      </c>
      <c r="B30" s="789" t="s">
        <v>1740</v>
      </c>
      <c r="C30" s="792">
        <v>0.6875</v>
      </c>
      <c r="D30" s="791">
        <v>2021</v>
      </c>
      <c r="E30" s="791">
        <v>2025</v>
      </c>
      <c r="F30" s="789"/>
      <c r="G30" s="180"/>
      <c r="H30" s="180"/>
      <c r="I30" s="180"/>
      <c r="J30" s="180"/>
      <c r="K30" s="180"/>
      <c r="L30" s="180"/>
      <c r="M30" s="789"/>
    </row>
    <row r="31" spans="1:13" hidden="1" x14ac:dyDescent="0.3">
      <c r="A31" s="789" t="s">
        <v>1741</v>
      </c>
      <c r="B31" s="789" t="s">
        <v>844</v>
      </c>
      <c r="C31" s="792">
        <v>0.80500000000000005</v>
      </c>
      <c r="D31" s="791">
        <v>2021</v>
      </c>
      <c r="E31" s="791">
        <v>2029</v>
      </c>
      <c r="F31" s="789"/>
      <c r="G31" s="180"/>
      <c r="H31" s="180"/>
      <c r="I31" s="180"/>
      <c r="J31" s="180"/>
      <c r="K31" s="180"/>
      <c r="L31" s="180"/>
      <c r="M31" s="789"/>
    </row>
    <row r="32" spans="1:13" hidden="1" x14ac:dyDescent="0.3">
      <c r="A32" s="789" t="s">
        <v>1742</v>
      </c>
      <c r="B32" s="789" t="s">
        <v>1743</v>
      </c>
      <c r="C32" s="792">
        <v>0.56000000000000005</v>
      </c>
      <c r="D32" s="791">
        <v>2016</v>
      </c>
      <c r="E32" s="791">
        <v>2023</v>
      </c>
      <c r="F32" s="789"/>
      <c r="G32" s="180"/>
      <c r="H32" s="180"/>
      <c r="I32" s="180"/>
      <c r="J32" s="180"/>
      <c r="K32" s="180"/>
      <c r="L32" s="180"/>
      <c r="M32" s="789"/>
    </row>
    <row r="33" spans="1:13" x14ac:dyDescent="0.3">
      <c r="A33" s="789" t="s">
        <v>1744</v>
      </c>
      <c r="B33" s="789" t="s">
        <v>1745</v>
      </c>
      <c r="C33" s="792">
        <v>0.79900000000000004</v>
      </c>
      <c r="D33" s="791">
        <v>2017</v>
      </c>
      <c r="E33" s="791">
        <v>2025</v>
      </c>
      <c r="F33" s="789"/>
      <c r="G33" s="180"/>
      <c r="H33" s="180"/>
      <c r="I33" s="180"/>
      <c r="J33" s="180"/>
      <c r="K33" s="180"/>
      <c r="L33" s="180"/>
      <c r="M33" s="789"/>
    </row>
    <row r="34" spans="1:13" hidden="1" x14ac:dyDescent="0.3">
      <c r="A34" s="789" t="s">
        <v>1746</v>
      </c>
      <c r="B34" s="789" t="s">
        <v>1747</v>
      </c>
      <c r="C34" s="792">
        <v>0.46</v>
      </c>
      <c r="D34" s="791">
        <v>2021</v>
      </c>
      <c r="E34" s="791">
        <v>2029</v>
      </c>
      <c r="F34" s="789"/>
      <c r="G34" s="180"/>
      <c r="H34" s="180"/>
      <c r="I34" s="180"/>
      <c r="J34" s="180"/>
      <c r="K34" s="180"/>
      <c r="L34" s="180"/>
      <c r="M34" s="789"/>
    </row>
    <row r="35" spans="1:13" x14ac:dyDescent="0.3">
      <c r="A35" s="789" t="s">
        <v>1748</v>
      </c>
      <c r="B35" s="789" t="s">
        <v>1749</v>
      </c>
      <c r="C35" s="792">
        <v>0.40050000000000002</v>
      </c>
      <c r="D35" s="791">
        <v>2020</v>
      </c>
      <c r="E35" s="791">
        <v>2025</v>
      </c>
      <c r="F35" s="789"/>
      <c r="G35" s="180"/>
      <c r="H35" s="180"/>
      <c r="I35" s="180"/>
      <c r="J35" s="180"/>
      <c r="K35" s="180"/>
      <c r="L35" s="180"/>
      <c r="M35" s="789"/>
    </row>
    <row r="36" spans="1:13" hidden="1" x14ac:dyDescent="0.3">
      <c r="A36" s="789" t="s">
        <v>1750</v>
      </c>
      <c r="B36" s="789" t="s">
        <v>1751</v>
      </c>
      <c r="C36" s="792">
        <v>0.54</v>
      </c>
      <c r="D36" s="791">
        <v>2021</v>
      </c>
      <c r="E36" s="791">
        <v>2027</v>
      </c>
      <c r="F36" s="789"/>
      <c r="G36" s="180"/>
      <c r="H36" s="180"/>
      <c r="I36" s="180"/>
      <c r="J36" s="180"/>
      <c r="K36" s="180"/>
      <c r="L36" s="180"/>
      <c r="M36" s="789"/>
    </row>
    <row r="37" spans="1:13" x14ac:dyDescent="0.3">
      <c r="A37" s="789" t="s">
        <v>1752</v>
      </c>
      <c r="B37" s="789" t="s">
        <v>1753</v>
      </c>
      <c r="C37" s="792">
        <v>0.73299999999999998</v>
      </c>
      <c r="D37" s="791">
        <v>2021</v>
      </c>
      <c r="E37" s="791">
        <v>2025</v>
      </c>
      <c r="F37" s="789"/>
      <c r="G37" s="180"/>
      <c r="H37" s="180"/>
      <c r="I37" s="180"/>
      <c r="J37" s="180"/>
      <c r="K37" s="180"/>
      <c r="L37" s="180"/>
      <c r="M37" s="789"/>
    </row>
    <row r="38" spans="1:13" hidden="1" x14ac:dyDescent="0.3">
      <c r="A38" s="789" t="s">
        <v>1754</v>
      </c>
      <c r="B38" s="789" t="s">
        <v>1755</v>
      </c>
      <c r="C38" s="792">
        <v>0.73499999999999999</v>
      </c>
      <c r="D38" s="791">
        <v>2017</v>
      </c>
      <c r="E38" s="791">
        <v>2022</v>
      </c>
      <c r="F38" s="789"/>
      <c r="G38" s="180"/>
      <c r="H38" s="180"/>
      <c r="I38" s="180"/>
      <c r="J38" s="180"/>
      <c r="K38" s="180"/>
      <c r="L38" s="180"/>
      <c r="M38" s="789"/>
    </row>
    <row r="39" spans="1:13" hidden="1" x14ac:dyDescent="0.3">
      <c r="A39" s="789" t="s">
        <v>1756</v>
      </c>
      <c r="B39" s="789" t="s">
        <v>1757</v>
      </c>
      <c r="C39" s="792">
        <v>0.72219999999999995</v>
      </c>
      <c r="D39" s="791">
        <v>2019</v>
      </c>
      <c r="E39" s="791">
        <v>2026</v>
      </c>
      <c r="F39" s="789"/>
      <c r="G39" s="180"/>
      <c r="H39" s="180"/>
      <c r="I39" s="180"/>
      <c r="J39" s="180"/>
      <c r="K39" s="180"/>
      <c r="L39" s="180"/>
      <c r="M39" s="789"/>
    </row>
    <row r="40" spans="1:13" hidden="1" x14ac:dyDescent="0.3">
      <c r="A40" s="789" t="s">
        <v>1678</v>
      </c>
      <c r="B40" s="789" t="s">
        <v>494</v>
      </c>
      <c r="C40" s="792">
        <v>0.95</v>
      </c>
      <c r="D40" s="791">
        <v>2017</v>
      </c>
      <c r="E40" s="791">
        <v>2024</v>
      </c>
      <c r="F40" s="789"/>
      <c r="G40" s="180"/>
      <c r="H40" s="180"/>
      <c r="I40" s="180"/>
      <c r="J40" s="180"/>
      <c r="K40" s="180"/>
      <c r="L40" s="180"/>
      <c r="M40" s="789"/>
    </row>
    <row r="41" spans="1:13" x14ac:dyDescent="0.3">
      <c r="A41" s="789" t="s">
        <v>1758</v>
      </c>
      <c r="B41" s="789" t="s">
        <v>1759</v>
      </c>
      <c r="C41" s="792">
        <v>0.67779999999999996</v>
      </c>
      <c r="D41" s="791">
        <v>2021</v>
      </c>
      <c r="E41" s="791">
        <v>2025</v>
      </c>
      <c r="F41" s="789"/>
      <c r="G41" s="180"/>
      <c r="H41" s="180"/>
      <c r="I41" s="180"/>
      <c r="J41" s="180"/>
      <c r="K41" s="180"/>
      <c r="L41" s="180"/>
      <c r="M41" s="789"/>
    </row>
    <row r="42" spans="1:13" hidden="1" x14ac:dyDescent="0.3">
      <c r="A42" s="789" t="s">
        <v>1679</v>
      </c>
      <c r="B42" s="789" t="s">
        <v>1680</v>
      </c>
      <c r="C42" s="792">
        <v>0.79500000000000004</v>
      </c>
      <c r="D42" s="791">
        <v>2018</v>
      </c>
      <c r="E42" s="791">
        <v>2024</v>
      </c>
      <c r="F42" s="789"/>
      <c r="G42" s="180"/>
      <c r="H42" s="180"/>
      <c r="I42" s="180"/>
      <c r="J42" s="180"/>
      <c r="K42" s="180"/>
      <c r="L42" s="180"/>
      <c r="M42" s="789"/>
    </row>
    <row r="43" spans="1:13" hidden="1" x14ac:dyDescent="0.3">
      <c r="A43" s="789" t="s">
        <v>1760</v>
      </c>
      <c r="B43" s="789" t="s">
        <v>1761</v>
      </c>
      <c r="C43" s="792">
        <v>0.83</v>
      </c>
      <c r="D43" s="791">
        <v>2019</v>
      </c>
      <c r="E43" s="791">
        <v>2023</v>
      </c>
      <c r="F43" s="789"/>
      <c r="G43" s="180"/>
      <c r="H43" s="180"/>
      <c r="I43" s="180"/>
      <c r="J43" s="180"/>
      <c r="K43" s="180"/>
      <c r="L43" s="180"/>
      <c r="M43" s="789"/>
    </row>
    <row r="44" spans="1:13" x14ac:dyDescent="0.3">
      <c r="A44" s="789" t="s">
        <v>1762</v>
      </c>
      <c r="B44" s="789" t="s">
        <v>1763</v>
      </c>
      <c r="C44" s="792">
        <v>0.79</v>
      </c>
      <c r="D44" s="791">
        <v>2017</v>
      </c>
      <c r="E44" s="791">
        <v>2025</v>
      </c>
      <c r="F44" s="789"/>
      <c r="G44" s="180"/>
      <c r="H44" s="180"/>
      <c r="I44" s="180"/>
      <c r="J44" s="180"/>
      <c r="K44" s="180"/>
      <c r="L44" s="180"/>
      <c r="M44" s="789"/>
    </row>
    <row r="45" spans="1:13" hidden="1" x14ac:dyDescent="0.3">
      <c r="A45" s="789" t="s">
        <v>1764</v>
      </c>
      <c r="B45" s="789" t="s">
        <v>1765</v>
      </c>
      <c r="C45" s="792">
        <v>0.65</v>
      </c>
      <c r="D45" s="791">
        <v>2019</v>
      </c>
      <c r="E45" s="791">
        <v>2023</v>
      </c>
      <c r="F45" s="789"/>
      <c r="G45" s="180"/>
      <c r="H45" s="180"/>
      <c r="I45" s="180"/>
      <c r="J45" s="180"/>
      <c r="K45" s="180"/>
      <c r="L45" s="180"/>
      <c r="M45" s="789"/>
    </row>
    <row r="46" spans="1:13" hidden="1" x14ac:dyDescent="0.3">
      <c r="A46" s="789" t="s">
        <v>1681</v>
      </c>
      <c r="B46" s="789" t="s">
        <v>1682</v>
      </c>
      <c r="C46" s="792">
        <v>0.84</v>
      </c>
      <c r="D46" s="791">
        <v>2018</v>
      </c>
      <c r="E46" s="791">
        <v>2024</v>
      </c>
      <c r="F46" s="789"/>
      <c r="G46" s="180"/>
      <c r="H46" s="180"/>
      <c r="I46" s="180"/>
      <c r="J46" s="180"/>
      <c r="K46" s="180"/>
      <c r="L46" s="180"/>
      <c r="M46" s="789"/>
    </row>
    <row r="47" spans="1:13" hidden="1" x14ac:dyDescent="0.3">
      <c r="A47" s="789" t="s">
        <v>1766</v>
      </c>
      <c r="B47" s="789" t="s">
        <v>1767</v>
      </c>
      <c r="C47" s="792">
        <v>0.78600000000000003</v>
      </c>
      <c r="D47" s="791">
        <v>2021</v>
      </c>
      <c r="E47" s="791">
        <v>2029</v>
      </c>
      <c r="F47" s="789"/>
      <c r="G47" s="180"/>
      <c r="H47" s="180"/>
      <c r="I47" s="180"/>
      <c r="J47" s="180"/>
      <c r="K47" s="180"/>
      <c r="L47" s="180"/>
      <c r="M47" s="789"/>
    </row>
    <row r="48" spans="1:13" hidden="1" x14ac:dyDescent="0.3">
      <c r="A48" s="789" t="s">
        <v>1768</v>
      </c>
      <c r="B48" s="789" t="s">
        <v>1769</v>
      </c>
      <c r="C48" s="792">
        <v>0.73050000000000004</v>
      </c>
      <c r="D48" s="791">
        <v>2017</v>
      </c>
      <c r="E48" s="791">
        <v>2022</v>
      </c>
      <c r="F48" s="789"/>
      <c r="G48" s="180"/>
      <c r="H48" s="180"/>
      <c r="I48" s="180"/>
      <c r="J48" s="180"/>
      <c r="K48" s="180"/>
      <c r="L48" s="180"/>
      <c r="M48" s="789"/>
    </row>
    <row r="49" spans="1:13" hidden="1" x14ac:dyDescent="0.3">
      <c r="A49" s="789" t="s">
        <v>1683</v>
      </c>
      <c r="B49" s="789" t="s">
        <v>1684</v>
      </c>
      <c r="C49" s="792">
        <v>0.76</v>
      </c>
      <c r="D49" s="791">
        <v>2020</v>
      </c>
      <c r="E49" s="791">
        <v>2024</v>
      </c>
      <c r="F49" s="789"/>
      <c r="G49" s="180"/>
      <c r="H49" s="180"/>
      <c r="I49" s="180"/>
      <c r="J49" s="180"/>
      <c r="K49" s="180"/>
      <c r="L49" s="180"/>
      <c r="M49" s="789"/>
    </row>
    <row r="50" spans="1:13" hidden="1" x14ac:dyDescent="0.3">
      <c r="A50" s="789" t="s">
        <v>1770</v>
      </c>
      <c r="B50" s="789" t="s">
        <v>1771</v>
      </c>
      <c r="C50" s="792">
        <v>0.75</v>
      </c>
      <c r="D50" s="791">
        <v>2017</v>
      </c>
      <c r="E50" s="791">
        <v>2022</v>
      </c>
      <c r="F50" s="789"/>
      <c r="G50" s="180"/>
      <c r="H50" s="180"/>
      <c r="I50" s="180"/>
      <c r="J50" s="180"/>
      <c r="K50" s="180"/>
      <c r="L50" s="180"/>
      <c r="M50" s="789"/>
    </row>
    <row r="51" spans="1:13" x14ac:dyDescent="0.3">
      <c r="A51" s="789" t="s">
        <v>1772</v>
      </c>
      <c r="B51" s="789" t="s">
        <v>1773</v>
      </c>
      <c r="C51" s="792">
        <v>0.53500000000000003</v>
      </c>
      <c r="D51" s="791">
        <v>2021</v>
      </c>
      <c r="E51" s="791">
        <v>2025</v>
      </c>
      <c r="F51" s="789"/>
      <c r="G51" s="180"/>
      <c r="H51" s="180"/>
      <c r="I51" s="180"/>
      <c r="J51" s="180"/>
      <c r="K51" s="180"/>
      <c r="L51" s="180"/>
      <c r="M51" s="789"/>
    </row>
    <row r="52" spans="1:13" hidden="1" x14ac:dyDescent="0.3">
      <c r="A52" s="789" t="s">
        <v>1774</v>
      </c>
      <c r="B52" s="789" t="s">
        <v>1775</v>
      </c>
      <c r="C52" s="792">
        <v>0.56100000000000005</v>
      </c>
      <c r="D52" s="791">
        <v>2019</v>
      </c>
      <c r="E52" s="791">
        <v>2023</v>
      </c>
      <c r="F52" s="789"/>
      <c r="G52" s="180"/>
      <c r="H52" s="180"/>
      <c r="I52" s="180"/>
      <c r="J52" s="180"/>
      <c r="K52" s="180"/>
      <c r="L52" s="180"/>
      <c r="M52" s="789"/>
    </row>
    <row r="53" spans="1:13" hidden="1" x14ac:dyDescent="0.3">
      <c r="A53" s="789" t="s">
        <v>1776</v>
      </c>
      <c r="B53" s="789" t="s">
        <v>1777</v>
      </c>
      <c r="C53" s="792">
        <v>0.84</v>
      </c>
      <c r="D53" s="791">
        <v>2019</v>
      </c>
      <c r="E53" s="791">
        <v>2027</v>
      </c>
      <c r="F53" s="789"/>
      <c r="G53" s="180"/>
      <c r="H53" s="180"/>
      <c r="I53" s="180"/>
      <c r="J53" s="180"/>
      <c r="K53" s="180"/>
      <c r="L53" s="180"/>
      <c r="M53" s="789"/>
    </row>
    <row r="54" spans="1:13" hidden="1" x14ac:dyDescent="0.3">
      <c r="A54" s="789" t="s">
        <v>1778</v>
      </c>
      <c r="B54" s="789" t="s">
        <v>1779</v>
      </c>
      <c r="C54" s="792">
        <v>0.75</v>
      </c>
      <c r="D54" s="791">
        <v>2014</v>
      </c>
      <c r="E54" s="791">
        <v>2022</v>
      </c>
      <c r="F54" s="789"/>
      <c r="G54" s="180"/>
      <c r="H54" s="180"/>
      <c r="I54" s="180"/>
      <c r="J54" s="180"/>
      <c r="K54" s="180"/>
      <c r="L54" s="180"/>
      <c r="M54" s="789"/>
    </row>
    <row r="55" spans="1:13" hidden="1" x14ac:dyDescent="0.3">
      <c r="A55" s="789" t="s">
        <v>1780</v>
      </c>
      <c r="B55" s="789" t="s">
        <v>515</v>
      </c>
      <c r="C55" s="792">
        <v>0.79500000000000004</v>
      </c>
      <c r="D55" s="791">
        <v>2017</v>
      </c>
      <c r="E55" s="791">
        <v>2023</v>
      </c>
      <c r="F55" s="789"/>
      <c r="G55" s="180"/>
      <c r="H55" s="180"/>
      <c r="I55" s="180"/>
      <c r="J55" s="180"/>
      <c r="K55" s="180"/>
      <c r="L55" s="180"/>
      <c r="M55" s="789"/>
    </row>
    <row r="56" spans="1:13" hidden="1" x14ac:dyDescent="0.3">
      <c r="A56" s="789" t="s">
        <v>1781</v>
      </c>
      <c r="B56" s="789" t="s">
        <v>1782</v>
      </c>
      <c r="C56" s="792">
        <v>0.53749999999999998</v>
      </c>
      <c r="D56" s="791">
        <v>2019</v>
      </c>
      <c r="E56" s="791">
        <v>2023</v>
      </c>
      <c r="F56" s="789"/>
      <c r="G56" s="180"/>
      <c r="H56" s="180"/>
      <c r="I56" s="180"/>
      <c r="J56" s="180"/>
      <c r="K56" s="180"/>
      <c r="L56" s="180"/>
      <c r="M56" s="789"/>
    </row>
    <row r="57" spans="1:13" x14ac:dyDescent="0.3">
      <c r="A57" s="789" t="s">
        <v>1783</v>
      </c>
      <c r="B57" s="789" t="s">
        <v>1784</v>
      </c>
      <c r="C57" s="792">
        <v>0.36</v>
      </c>
      <c r="D57" s="791">
        <v>2021</v>
      </c>
      <c r="E57" s="791">
        <v>2025</v>
      </c>
      <c r="F57" s="789"/>
      <c r="G57" s="180"/>
      <c r="H57" s="180"/>
      <c r="I57" s="180"/>
      <c r="J57" s="180"/>
      <c r="K57" s="180"/>
      <c r="L57" s="180"/>
      <c r="M57" s="789"/>
    </row>
    <row r="58" spans="1:13" x14ac:dyDescent="0.3">
      <c r="A58" s="789" t="s">
        <v>1785</v>
      </c>
      <c r="B58" s="789" t="s">
        <v>1786</v>
      </c>
      <c r="C58" s="790">
        <v>0.73</v>
      </c>
      <c r="D58" s="791">
        <v>2019</v>
      </c>
      <c r="E58" s="791">
        <v>2025</v>
      </c>
      <c r="F58" s="789"/>
      <c r="G58" s="180"/>
      <c r="H58" s="180"/>
      <c r="I58" s="180"/>
      <c r="J58" s="180"/>
      <c r="K58" s="180"/>
      <c r="L58" s="180"/>
      <c r="M58" s="789"/>
    </row>
    <row r="59" spans="1:13" hidden="1" x14ac:dyDescent="0.3">
      <c r="A59" s="789" t="s">
        <v>1787</v>
      </c>
      <c r="B59" s="789" t="s">
        <v>1788</v>
      </c>
      <c r="C59" s="790">
        <v>0.75</v>
      </c>
      <c r="D59" s="791">
        <v>2014</v>
      </c>
      <c r="E59" s="791">
        <v>2022</v>
      </c>
      <c r="F59" s="789"/>
      <c r="G59" s="180"/>
      <c r="H59" s="180"/>
      <c r="I59" s="180"/>
      <c r="J59" s="180"/>
      <c r="K59" s="180"/>
      <c r="L59" s="180"/>
      <c r="M59" s="789"/>
    </row>
    <row r="60" spans="1:13" hidden="1" x14ac:dyDescent="0.3">
      <c r="A60" s="789" t="s">
        <v>1789</v>
      </c>
      <c r="B60" s="789" t="s">
        <v>1790</v>
      </c>
      <c r="C60" s="790">
        <v>0.76</v>
      </c>
      <c r="D60" s="791">
        <v>2019</v>
      </c>
      <c r="E60" s="791">
        <v>2023</v>
      </c>
      <c r="F60" s="789"/>
      <c r="G60" s="180"/>
      <c r="H60" s="180"/>
      <c r="I60" s="180"/>
      <c r="J60" s="180"/>
      <c r="K60" s="180"/>
      <c r="L60" s="180"/>
      <c r="M60" s="789"/>
    </row>
    <row r="61" spans="1:13" x14ac:dyDescent="0.3">
      <c r="A61" s="789" t="s">
        <v>1791</v>
      </c>
      <c r="B61" s="789" t="s">
        <v>1792</v>
      </c>
      <c r="C61" s="790">
        <v>0.84499999999999997</v>
      </c>
      <c r="D61" s="791">
        <v>2017</v>
      </c>
      <c r="E61" s="791">
        <v>2025</v>
      </c>
      <c r="F61" s="789"/>
      <c r="G61" s="180"/>
      <c r="H61" s="180"/>
      <c r="I61" s="180"/>
      <c r="J61" s="180"/>
      <c r="K61" s="180"/>
      <c r="L61" s="180"/>
      <c r="M61" s="789"/>
    </row>
    <row r="62" spans="1:13" hidden="1" x14ac:dyDescent="0.3">
      <c r="A62" s="789" t="s">
        <v>1793</v>
      </c>
      <c r="B62" s="789" t="s">
        <v>1794</v>
      </c>
      <c r="C62" s="790">
        <v>0.61899999999999999</v>
      </c>
      <c r="D62" s="791">
        <v>2019</v>
      </c>
      <c r="E62" s="791">
        <v>2023</v>
      </c>
      <c r="F62" s="789"/>
      <c r="G62" s="180"/>
      <c r="H62" s="180"/>
      <c r="I62" s="180"/>
      <c r="J62" s="180"/>
      <c r="K62" s="180"/>
      <c r="L62" s="180"/>
      <c r="M62" s="789"/>
    </row>
    <row r="63" spans="1:13" hidden="1" x14ac:dyDescent="0.3">
      <c r="A63" s="789" t="s">
        <v>1795</v>
      </c>
      <c r="B63" s="789" t="s">
        <v>1796</v>
      </c>
      <c r="C63" s="790">
        <v>0.4</v>
      </c>
      <c r="D63" s="791">
        <v>2019</v>
      </c>
      <c r="E63" s="791">
        <v>2023</v>
      </c>
      <c r="F63" s="789"/>
      <c r="G63" s="180"/>
      <c r="H63" s="180"/>
      <c r="I63" s="180"/>
      <c r="J63" s="180"/>
      <c r="K63" s="180"/>
      <c r="L63" s="180"/>
      <c r="M63" s="789"/>
    </row>
    <row r="64" spans="1:13" hidden="1" x14ac:dyDescent="0.3">
      <c r="A64" s="789" t="s">
        <v>1797</v>
      </c>
      <c r="B64" s="789" t="s">
        <v>1798</v>
      </c>
      <c r="C64" s="790">
        <v>0.5</v>
      </c>
      <c r="D64" s="791">
        <v>2020</v>
      </c>
      <c r="E64" s="791">
        <v>2028</v>
      </c>
      <c r="F64" s="789"/>
      <c r="G64" s="180"/>
      <c r="H64" s="180"/>
      <c r="I64" s="180"/>
      <c r="J64" s="180"/>
      <c r="K64" s="180"/>
      <c r="L64" s="180"/>
      <c r="M64" s="789"/>
    </row>
    <row r="65" spans="1:13" x14ac:dyDescent="0.3">
      <c r="A65" s="789" t="s">
        <v>1799</v>
      </c>
      <c r="B65" s="789" t="s">
        <v>845</v>
      </c>
      <c r="C65" s="790">
        <v>0.81</v>
      </c>
      <c r="D65" s="791">
        <v>2017</v>
      </c>
      <c r="E65" s="791">
        <v>2025</v>
      </c>
      <c r="F65" s="789"/>
      <c r="G65" s="180"/>
      <c r="H65" s="180"/>
      <c r="I65" s="180"/>
      <c r="J65" s="180"/>
      <c r="K65" s="180"/>
      <c r="L65" s="180"/>
      <c r="M65" s="789"/>
    </row>
    <row r="66" spans="1:13" hidden="1" x14ac:dyDescent="0.3">
      <c r="A66" s="789" t="s">
        <v>1800</v>
      </c>
      <c r="B66" s="789" t="s">
        <v>1801</v>
      </c>
      <c r="C66" s="790">
        <v>0.57750000000000001</v>
      </c>
      <c r="D66" s="791">
        <v>2019</v>
      </c>
      <c r="E66" s="791">
        <v>2023</v>
      </c>
      <c r="F66" s="789"/>
      <c r="G66" s="180"/>
      <c r="H66" s="180"/>
      <c r="I66" s="180"/>
      <c r="J66" s="180"/>
      <c r="K66" s="180"/>
      <c r="L66" s="180"/>
      <c r="M66" s="789"/>
    </row>
    <row r="67" spans="1:13" hidden="1" x14ac:dyDescent="0.3">
      <c r="A67" s="789" t="s">
        <v>1802</v>
      </c>
      <c r="B67" s="789" t="s">
        <v>1803</v>
      </c>
      <c r="C67" s="790">
        <v>0.6169</v>
      </c>
      <c r="D67" s="791">
        <v>2019</v>
      </c>
      <c r="E67" s="791">
        <v>2023</v>
      </c>
      <c r="F67" s="789"/>
      <c r="G67" s="180"/>
      <c r="H67" s="180"/>
      <c r="I67" s="180"/>
      <c r="J67" s="180"/>
      <c r="K67" s="180"/>
      <c r="L67" s="180"/>
      <c r="M67" s="789"/>
    </row>
    <row r="68" spans="1:13" hidden="1" x14ac:dyDescent="0.3">
      <c r="A68" s="789" t="s">
        <v>1804</v>
      </c>
      <c r="B68" s="789" t="s">
        <v>1805</v>
      </c>
      <c r="C68" s="790">
        <v>0.57999999999999996</v>
      </c>
      <c r="D68" s="791">
        <v>2018</v>
      </c>
      <c r="E68" s="791">
        <v>2022</v>
      </c>
      <c r="F68" s="789"/>
      <c r="G68" s="180"/>
      <c r="H68" s="180"/>
      <c r="I68" s="180"/>
      <c r="J68" s="180"/>
      <c r="K68" s="180"/>
      <c r="L68" s="180"/>
      <c r="M68" s="789"/>
    </row>
    <row r="69" spans="1:13" hidden="1" x14ac:dyDescent="0.3">
      <c r="A69" s="789" t="s">
        <v>1806</v>
      </c>
      <c r="B69" s="789" t="s">
        <v>1807</v>
      </c>
      <c r="C69" s="790">
        <v>0.61499999999999999</v>
      </c>
      <c r="D69" s="791">
        <v>2020</v>
      </c>
      <c r="E69" s="791">
        <v>2028</v>
      </c>
      <c r="F69" s="789"/>
      <c r="G69" s="180"/>
      <c r="H69" s="180"/>
      <c r="I69" s="180"/>
      <c r="J69" s="180"/>
      <c r="K69" s="180"/>
      <c r="L69" s="180"/>
      <c r="M69" s="789"/>
    </row>
    <row r="70" spans="1:13" hidden="1" x14ac:dyDescent="0.3">
      <c r="A70" s="789" t="s">
        <v>1808</v>
      </c>
      <c r="B70" s="789" t="s">
        <v>1809</v>
      </c>
      <c r="C70" s="790">
        <v>0.51</v>
      </c>
      <c r="D70" s="791">
        <v>2019</v>
      </c>
      <c r="E70" s="791">
        <v>2023</v>
      </c>
      <c r="F70" s="789"/>
      <c r="G70" s="180"/>
      <c r="H70" s="180"/>
      <c r="I70" s="180"/>
      <c r="J70" s="180"/>
      <c r="K70" s="180"/>
      <c r="L70" s="180"/>
      <c r="M70" s="789"/>
    </row>
    <row r="71" spans="1:13" hidden="1" x14ac:dyDescent="0.3">
      <c r="A71" s="789" t="s">
        <v>1685</v>
      </c>
      <c r="B71" s="789" t="s">
        <v>1686</v>
      </c>
      <c r="C71" s="790">
        <v>0.67</v>
      </c>
      <c r="D71" s="791">
        <v>2017</v>
      </c>
      <c r="E71" s="791">
        <v>2024</v>
      </c>
      <c r="F71" s="789"/>
      <c r="G71" s="180"/>
      <c r="H71" s="180"/>
      <c r="I71" s="180"/>
      <c r="J71" s="180"/>
      <c r="K71" s="180"/>
      <c r="L71" s="180"/>
      <c r="M71" s="789"/>
    </row>
    <row r="72" spans="1:13" x14ac:dyDescent="0.3">
      <c r="A72" s="789" t="s">
        <v>1810</v>
      </c>
      <c r="B72" s="789" t="s">
        <v>1811</v>
      </c>
      <c r="C72" s="790">
        <v>0.47499999999999998</v>
      </c>
      <c r="D72" s="791">
        <v>2021</v>
      </c>
      <c r="E72" s="791">
        <v>2025</v>
      </c>
      <c r="F72" s="789"/>
      <c r="G72" s="180"/>
      <c r="H72" s="180"/>
      <c r="I72" s="180"/>
      <c r="J72" s="180"/>
      <c r="K72" s="180"/>
      <c r="L72" s="180"/>
      <c r="M72" s="789"/>
    </row>
    <row r="73" spans="1:13" hidden="1" x14ac:dyDescent="0.3">
      <c r="A73" s="609" t="s">
        <v>1812</v>
      </c>
      <c r="B73" s="609" t="s">
        <v>524</v>
      </c>
      <c r="C73" s="793">
        <v>0.90500000000000003</v>
      </c>
      <c r="D73" s="610">
        <v>2015</v>
      </c>
      <c r="E73" s="610">
        <v>2023</v>
      </c>
      <c r="G73" s="180"/>
      <c r="H73" s="180"/>
      <c r="I73" s="180"/>
      <c r="J73" s="180"/>
      <c r="K73" s="180"/>
      <c r="L73" s="180"/>
    </row>
    <row r="74" spans="1:13" hidden="1" x14ac:dyDescent="0.3">
      <c r="A74" s="609" t="s">
        <v>1813</v>
      </c>
      <c r="B74" s="609" t="s">
        <v>1814</v>
      </c>
      <c r="C74" s="793">
        <v>0.70499999999999996</v>
      </c>
      <c r="D74" s="610">
        <v>2018</v>
      </c>
      <c r="E74" s="610">
        <v>2022</v>
      </c>
      <c r="G74" s="180"/>
      <c r="H74" s="180"/>
      <c r="I74" s="180"/>
      <c r="J74" s="180"/>
      <c r="K74" s="180"/>
      <c r="L74" s="180"/>
    </row>
    <row r="75" spans="1:13" x14ac:dyDescent="0.3">
      <c r="A75" s="609" t="s">
        <v>1815</v>
      </c>
      <c r="B75" s="609" t="s">
        <v>1816</v>
      </c>
      <c r="C75" s="793">
        <v>0.81869999999999998</v>
      </c>
      <c r="D75" s="610">
        <v>2021</v>
      </c>
      <c r="E75" s="610">
        <v>2025</v>
      </c>
      <c r="G75" s="180"/>
      <c r="H75" s="180"/>
      <c r="I75" s="180"/>
      <c r="J75" s="180"/>
      <c r="K75" s="180"/>
      <c r="L75" s="180"/>
    </row>
    <row r="76" spans="1:13" hidden="1" x14ac:dyDescent="0.3">
      <c r="A76" s="609" t="s">
        <v>1817</v>
      </c>
      <c r="B76" s="609" t="s">
        <v>1818</v>
      </c>
      <c r="C76" s="793">
        <v>0.625</v>
      </c>
      <c r="D76" s="610">
        <v>2020</v>
      </c>
      <c r="E76" s="610">
        <v>2028</v>
      </c>
      <c r="G76" s="180"/>
      <c r="H76" s="180"/>
      <c r="I76" s="180"/>
      <c r="J76" s="180"/>
      <c r="K76" s="180"/>
      <c r="L76" s="180"/>
    </row>
    <row r="77" spans="1:13" hidden="1" x14ac:dyDescent="0.3">
      <c r="A77" s="609" t="s">
        <v>1819</v>
      </c>
      <c r="B77" s="609" t="s">
        <v>1820</v>
      </c>
      <c r="C77" s="793">
        <v>0.77</v>
      </c>
      <c r="D77" s="610">
        <v>2014</v>
      </c>
      <c r="E77" s="610">
        <v>2022</v>
      </c>
      <c r="G77" s="180"/>
      <c r="H77" s="180"/>
      <c r="I77" s="180"/>
      <c r="J77" s="180"/>
      <c r="K77" s="180"/>
      <c r="L77" s="180"/>
    </row>
    <row r="78" spans="1:13" hidden="1" x14ac:dyDescent="0.3">
      <c r="A78" s="609" t="s">
        <v>1821</v>
      </c>
      <c r="B78" s="609" t="s">
        <v>527</v>
      </c>
      <c r="C78" s="793">
        <v>0.64500000000000002</v>
      </c>
      <c r="D78" s="610">
        <v>2019</v>
      </c>
      <c r="E78" s="610">
        <v>2027</v>
      </c>
      <c r="G78" s="180"/>
      <c r="H78" s="180"/>
      <c r="I78" s="180"/>
      <c r="J78" s="180"/>
      <c r="K78" s="180"/>
      <c r="L78" s="180"/>
    </row>
    <row r="79" spans="1:13" hidden="1" x14ac:dyDescent="0.3">
      <c r="A79" s="609" t="s">
        <v>1687</v>
      </c>
      <c r="B79" s="609" t="s">
        <v>1688</v>
      </c>
      <c r="C79" s="793">
        <v>0.61</v>
      </c>
      <c r="D79" s="610">
        <v>2016</v>
      </c>
      <c r="E79" s="610">
        <v>2024</v>
      </c>
      <c r="G79" s="180"/>
      <c r="H79" s="180"/>
      <c r="I79" s="180"/>
      <c r="J79" s="180"/>
      <c r="K79" s="180"/>
      <c r="L79" s="180"/>
    </row>
    <row r="80" spans="1:13" x14ac:dyDescent="0.3">
      <c r="A80" s="609" t="s">
        <v>1822</v>
      </c>
      <c r="B80" s="609" t="s">
        <v>1823</v>
      </c>
      <c r="C80" s="793">
        <v>0.72</v>
      </c>
      <c r="D80" s="610">
        <v>2021</v>
      </c>
      <c r="E80" s="610">
        <v>2025</v>
      </c>
      <c r="G80" s="180"/>
      <c r="H80" s="180"/>
      <c r="I80" s="180"/>
      <c r="J80" s="180"/>
      <c r="K80" s="180"/>
      <c r="L80" s="180"/>
    </row>
    <row r="81" spans="1:12" hidden="1" x14ac:dyDescent="0.3">
      <c r="A81" s="609" t="s">
        <v>1689</v>
      </c>
      <c r="B81" s="609" t="s">
        <v>1690</v>
      </c>
      <c r="C81" s="793">
        <v>0.68410000000000004</v>
      </c>
      <c r="D81" s="610">
        <v>2020</v>
      </c>
      <c r="E81" s="610">
        <v>2024</v>
      </c>
      <c r="G81" s="180"/>
      <c r="H81" s="180"/>
      <c r="I81" s="180"/>
      <c r="J81" s="180"/>
      <c r="K81" s="180"/>
      <c r="L81" s="180"/>
    </row>
    <row r="82" spans="1:12" x14ac:dyDescent="0.3">
      <c r="A82" s="609" t="s">
        <v>1824</v>
      </c>
      <c r="B82" s="609" t="s">
        <v>1825</v>
      </c>
      <c r="C82" s="793">
        <v>0.51429999999999998</v>
      </c>
      <c r="D82" s="610">
        <v>2021</v>
      </c>
      <c r="E82" s="610">
        <v>2025</v>
      </c>
      <c r="G82" s="180"/>
      <c r="H82" s="180"/>
      <c r="I82" s="180"/>
      <c r="J82" s="180"/>
      <c r="K82" s="180"/>
      <c r="L82" s="180"/>
    </row>
    <row r="83" spans="1:12" hidden="1" x14ac:dyDescent="0.3">
      <c r="A83" s="609" t="s">
        <v>1826</v>
      </c>
      <c r="B83" s="609" t="s">
        <v>1827</v>
      </c>
      <c r="C83" s="793">
        <v>0.63270000000000004</v>
      </c>
      <c r="D83" s="610">
        <v>2019</v>
      </c>
      <c r="E83" s="610">
        <v>2023</v>
      </c>
      <c r="G83" s="180"/>
      <c r="H83" s="180"/>
      <c r="I83" s="180"/>
      <c r="J83" s="180"/>
      <c r="K83" s="180"/>
      <c r="L83" s="180"/>
    </row>
    <row r="84" spans="1:12" hidden="1" x14ac:dyDescent="0.3">
      <c r="A84" s="609" t="s">
        <v>1691</v>
      </c>
      <c r="B84" s="609" t="s">
        <v>1692</v>
      </c>
      <c r="C84" s="793">
        <v>0.83</v>
      </c>
      <c r="D84" s="610">
        <v>2016</v>
      </c>
      <c r="E84" s="610">
        <v>2024</v>
      </c>
      <c r="G84" s="180"/>
      <c r="H84" s="180"/>
      <c r="I84" s="180"/>
      <c r="J84" s="180"/>
      <c r="K84" s="180"/>
      <c r="L84" s="180"/>
    </row>
    <row r="85" spans="1:12" hidden="1" x14ac:dyDescent="0.3">
      <c r="A85" s="609" t="s">
        <v>1693</v>
      </c>
      <c r="B85" s="609" t="s">
        <v>1694</v>
      </c>
      <c r="C85" s="793">
        <v>0.77</v>
      </c>
      <c r="D85" s="610">
        <v>2018</v>
      </c>
      <c r="E85" s="610">
        <v>2024</v>
      </c>
      <c r="G85" s="180"/>
      <c r="H85" s="180"/>
      <c r="I85" s="180"/>
      <c r="J85" s="180"/>
      <c r="K85" s="180"/>
      <c r="L85" s="180"/>
    </row>
    <row r="86" spans="1:12" hidden="1" x14ac:dyDescent="0.3">
      <c r="A86" s="609" t="s">
        <v>1695</v>
      </c>
      <c r="B86" s="609" t="s">
        <v>1696</v>
      </c>
      <c r="C86" s="793">
        <v>0.69499999999999995</v>
      </c>
      <c r="D86" s="610">
        <v>2019</v>
      </c>
      <c r="E86" s="610">
        <v>2024</v>
      </c>
      <c r="G86" s="180"/>
      <c r="H86" s="180"/>
      <c r="I86" s="180"/>
      <c r="J86" s="180"/>
      <c r="K86" s="180"/>
      <c r="L86" s="180"/>
    </row>
    <row r="87" spans="1:12" hidden="1" x14ac:dyDescent="0.3">
      <c r="A87" s="609" t="s">
        <v>1828</v>
      </c>
      <c r="B87" s="609" t="s">
        <v>1829</v>
      </c>
      <c r="C87" s="793">
        <v>0.65749999999999997</v>
      </c>
      <c r="D87" s="610">
        <v>2019</v>
      </c>
      <c r="E87" s="610">
        <v>2023</v>
      </c>
      <c r="G87" s="180"/>
      <c r="H87" s="180"/>
      <c r="I87" s="180"/>
      <c r="J87" s="180"/>
      <c r="K87" s="180"/>
      <c r="L87" s="180"/>
    </row>
    <row r="88" spans="1:12" hidden="1" x14ac:dyDescent="0.3">
      <c r="A88" s="609" t="s">
        <v>1830</v>
      </c>
      <c r="B88" s="609" t="s">
        <v>1831</v>
      </c>
      <c r="C88" s="793">
        <v>0.59699999999999998</v>
      </c>
      <c r="D88" s="610">
        <v>2019</v>
      </c>
      <c r="E88" s="610">
        <v>2023</v>
      </c>
      <c r="G88" s="180"/>
      <c r="H88" s="180"/>
      <c r="I88" s="180"/>
      <c r="J88" s="180"/>
      <c r="K88" s="180"/>
      <c r="L88" s="180"/>
    </row>
    <row r="89" spans="1:12" hidden="1" x14ac:dyDescent="0.3">
      <c r="A89" s="609" t="s">
        <v>1832</v>
      </c>
      <c r="B89" s="609" t="s">
        <v>1833</v>
      </c>
      <c r="C89" s="793">
        <v>0.82499999999999996</v>
      </c>
      <c r="D89" s="610">
        <v>2019</v>
      </c>
      <c r="E89" s="610">
        <v>2027</v>
      </c>
      <c r="G89" s="180"/>
      <c r="H89" s="180"/>
      <c r="I89" s="180"/>
      <c r="J89" s="180"/>
      <c r="K89" s="180"/>
      <c r="L89" s="180"/>
    </row>
    <row r="90" spans="1:12" hidden="1" x14ac:dyDescent="0.3">
      <c r="A90" s="609" t="s">
        <v>1834</v>
      </c>
      <c r="B90" s="609" t="s">
        <v>541</v>
      </c>
      <c r="C90" s="793">
        <v>1</v>
      </c>
      <c r="D90" s="610">
        <v>2019</v>
      </c>
      <c r="E90" s="610">
        <v>2027</v>
      </c>
      <c r="G90" s="180"/>
      <c r="H90" s="180"/>
      <c r="I90" s="180"/>
      <c r="J90" s="180"/>
      <c r="K90" s="180"/>
      <c r="L90" s="180"/>
    </row>
    <row r="91" spans="1:12" x14ac:dyDescent="0.3">
      <c r="A91" s="609" t="s">
        <v>1835</v>
      </c>
      <c r="B91" s="609" t="s">
        <v>1836</v>
      </c>
      <c r="C91" s="793">
        <v>0.61</v>
      </c>
      <c r="D91" s="610">
        <v>2021</v>
      </c>
      <c r="E91" s="610">
        <v>2025</v>
      </c>
      <c r="G91" s="180"/>
      <c r="H91" s="180"/>
      <c r="I91" s="180"/>
      <c r="J91" s="180"/>
      <c r="K91" s="180"/>
      <c r="L91" s="180"/>
    </row>
    <row r="92" spans="1:12" x14ac:dyDescent="0.3">
      <c r="A92" s="609" t="s">
        <v>1837</v>
      </c>
      <c r="B92" s="609" t="s">
        <v>1838</v>
      </c>
      <c r="C92" s="793">
        <v>0.66</v>
      </c>
      <c r="D92" s="610">
        <v>2021</v>
      </c>
      <c r="E92" s="610">
        <v>2025</v>
      </c>
      <c r="G92" s="180"/>
      <c r="H92" s="180"/>
      <c r="I92" s="180"/>
      <c r="J92" s="180"/>
      <c r="K92" s="180"/>
      <c r="L92" s="180"/>
    </row>
    <row r="93" spans="1:12" x14ac:dyDescent="0.3">
      <c r="A93" s="609" t="s">
        <v>1839</v>
      </c>
      <c r="B93" s="609" t="s">
        <v>1840</v>
      </c>
      <c r="C93" s="793">
        <v>0.55200000000000005</v>
      </c>
      <c r="D93" s="610">
        <v>2021</v>
      </c>
      <c r="E93" s="610">
        <v>2025</v>
      </c>
      <c r="G93" s="180"/>
      <c r="H93" s="180"/>
      <c r="I93" s="180"/>
      <c r="J93" s="180"/>
      <c r="K93" s="180"/>
      <c r="L93" s="180"/>
    </row>
    <row r="94" spans="1:12" hidden="1" x14ac:dyDescent="0.3">
      <c r="A94" s="609" t="s">
        <v>1841</v>
      </c>
      <c r="B94" s="609" t="s">
        <v>1842</v>
      </c>
      <c r="C94" s="793">
        <v>0.36</v>
      </c>
      <c r="D94" s="610">
        <v>2021</v>
      </c>
      <c r="E94" s="610">
        <v>2029</v>
      </c>
      <c r="G94" s="180"/>
      <c r="H94" s="180"/>
      <c r="I94" s="180"/>
      <c r="J94" s="180"/>
      <c r="K94" s="180"/>
      <c r="L94" s="180"/>
    </row>
    <row r="95" spans="1:12" x14ac:dyDescent="0.3">
      <c r="A95" s="609" t="s">
        <v>1843</v>
      </c>
      <c r="B95" s="609" t="s">
        <v>1844</v>
      </c>
      <c r="C95" s="793">
        <v>0.60329999999999995</v>
      </c>
      <c r="D95" s="610">
        <v>2021</v>
      </c>
      <c r="E95" s="610">
        <v>2025</v>
      </c>
      <c r="G95" s="180"/>
      <c r="H95" s="180"/>
      <c r="I95" s="180"/>
      <c r="J95" s="180"/>
      <c r="K95" s="180"/>
      <c r="L95" s="180"/>
    </row>
    <row r="96" spans="1:12" x14ac:dyDescent="0.3">
      <c r="A96" s="609" t="s">
        <v>1845</v>
      </c>
      <c r="B96" s="609" t="s">
        <v>550</v>
      </c>
      <c r="C96" s="793">
        <v>0.95</v>
      </c>
      <c r="D96" s="610">
        <v>2017</v>
      </c>
      <c r="E96" s="610">
        <v>2025</v>
      </c>
      <c r="G96" s="180"/>
      <c r="H96" s="180"/>
      <c r="I96" s="180"/>
      <c r="J96" s="180"/>
      <c r="K96" s="180"/>
      <c r="L96" s="180"/>
    </row>
    <row r="97" spans="1:12" x14ac:dyDescent="0.3">
      <c r="A97" s="609" t="s">
        <v>1846</v>
      </c>
      <c r="B97" s="609" t="s">
        <v>1847</v>
      </c>
      <c r="C97" s="793">
        <v>0.58799999999999997</v>
      </c>
      <c r="D97" s="610">
        <v>2021</v>
      </c>
      <c r="E97" s="610">
        <v>2025</v>
      </c>
      <c r="G97" s="180"/>
      <c r="H97" s="180"/>
      <c r="I97" s="180"/>
      <c r="J97" s="180"/>
      <c r="K97" s="180"/>
      <c r="L97" s="180"/>
    </row>
    <row r="98" spans="1:12" hidden="1" x14ac:dyDescent="0.3">
      <c r="A98" s="609" t="s">
        <v>1697</v>
      </c>
      <c r="B98" s="609" t="s">
        <v>1698</v>
      </c>
      <c r="C98" s="793">
        <v>0.89</v>
      </c>
      <c r="D98" s="610">
        <v>2016</v>
      </c>
      <c r="E98" s="610">
        <v>2024</v>
      </c>
    </row>
    <row r="99" spans="1:12" hidden="1" x14ac:dyDescent="0.3">
      <c r="A99" s="609" t="s">
        <v>1699</v>
      </c>
      <c r="B99" s="609" t="s">
        <v>1700</v>
      </c>
      <c r="C99" s="793">
        <v>0.6</v>
      </c>
      <c r="D99" s="610">
        <v>2020</v>
      </c>
      <c r="E99" s="610">
        <v>2024</v>
      </c>
    </row>
    <row r="100" spans="1:12" x14ac:dyDescent="0.3">
      <c r="A100" s="609" t="s">
        <v>1848</v>
      </c>
      <c r="B100" s="609" t="s">
        <v>1849</v>
      </c>
      <c r="C100" s="793">
        <v>0.81</v>
      </c>
      <c r="D100" s="610">
        <v>2017</v>
      </c>
      <c r="E100" s="610">
        <v>2025</v>
      </c>
    </row>
    <row r="101" spans="1:12" hidden="1" x14ac:dyDescent="0.3">
      <c r="A101" s="609" t="s">
        <v>1850</v>
      </c>
      <c r="B101" s="609" t="s">
        <v>1851</v>
      </c>
      <c r="C101" s="793">
        <v>0.85</v>
      </c>
      <c r="D101" s="610">
        <v>2021</v>
      </c>
      <c r="E101" s="610">
        <v>2029</v>
      </c>
    </row>
    <row r="102" spans="1:12" hidden="1" x14ac:dyDescent="0.3">
      <c r="A102" s="609" t="s">
        <v>1852</v>
      </c>
      <c r="B102" s="609" t="s">
        <v>1853</v>
      </c>
      <c r="C102" s="793">
        <v>0.40300000000000002</v>
      </c>
      <c r="D102" s="610">
        <v>2014</v>
      </c>
      <c r="E102" s="610">
        <v>2022</v>
      </c>
    </row>
    <row r="103" spans="1:12" hidden="1" x14ac:dyDescent="0.3">
      <c r="A103" s="609" t="s">
        <v>1854</v>
      </c>
      <c r="B103" s="609" t="s">
        <v>1855</v>
      </c>
      <c r="C103" s="793">
        <v>0.70750000000000002</v>
      </c>
      <c r="D103" s="610">
        <v>2019</v>
      </c>
      <c r="E103" s="610">
        <v>2027</v>
      </c>
    </row>
    <row r="104" spans="1:12" hidden="1" x14ac:dyDescent="0.3">
      <c r="A104" s="609" t="s">
        <v>1856</v>
      </c>
      <c r="B104" s="609" t="s">
        <v>1857</v>
      </c>
      <c r="C104" s="793">
        <v>0.66</v>
      </c>
      <c r="D104" s="610">
        <v>2019</v>
      </c>
      <c r="E104" s="610">
        <v>2023</v>
      </c>
    </row>
    <row r="105" spans="1:12" hidden="1" x14ac:dyDescent="0.3">
      <c r="A105" s="609" t="s">
        <v>1701</v>
      </c>
      <c r="B105" s="609" t="s">
        <v>1702</v>
      </c>
      <c r="C105" s="793">
        <v>0.73</v>
      </c>
      <c r="D105" s="610">
        <v>2016</v>
      </c>
      <c r="E105" s="610">
        <v>2024</v>
      </c>
    </row>
    <row r="106" spans="1:12" hidden="1" x14ac:dyDescent="0.3">
      <c r="A106" s="609" t="s">
        <v>1858</v>
      </c>
      <c r="B106" s="609" t="s">
        <v>1859</v>
      </c>
      <c r="C106" s="793">
        <v>0.66</v>
      </c>
      <c r="D106" s="610">
        <v>2017</v>
      </c>
      <c r="E106" s="610">
        <v>2023</v>
      </c>
    </row>
    <row r="107" spans="1:12" hidden="1" x14ac:dyDescent="0.3">
      <c r="A107" s="609" t="s">
        <v>1860</v>
      </c>
      <c r="B107" s="609" t="s">
        <v>1861</v>
      </c>
      <c r="C107" s="793">
        <v>0.6</v>
      </c>
      <c r="D107" s="610">
        <v>2016</v>
      </c>
      <c r="E107" s="610">
        <v>2024</v>
      </c>
    </row>
    <row r="109" spans="1:12" x14ac:dyDescent="0.3">
      <c r="C109" s="793">
        <f>SUM(C8:C108)</f>
        <v>67.168499999999995</v>
      </c>
    </row>
    <row r="113" spans="1:4" x14ac:dyDescent="0.3">
      <c r="A113" s="609" t="s">
        <v>1967</v>
      </c>
    </row>
    <row r="114" spans="1:4" x14ac:dyDescent="0.3">
      <c r="A114" s="609" t="s">
        <v>1969</v>
      </c>
    </row>
    <row r="115" spans="1:4" x14ac:dyDescent="0.3">
      <c r="A115" s="609" t="s">
        <v>605</v>
      </c>
    </row>
    <row r="117" spans="1:4" x14ac:dyDescent="0.3">
      <c r="C117" s="793" t="s">
        <v>606</v>
      </c>
      <c r="D117" s="610" t="s">
        <v>607</v>
      </c>
    </row>
    <row r="118" spans="1:4" x14ac:dyDescent="0.3">
      <c r="B118" s="609" t="s">
        <v>608</v>
      </c>
      <c r="C118" s="793" t="s">
        <v>609</v>
      </c>
      <c r="D118" s="610" t="s">
        <v>610</v>
      </c>
    </row>
    <row r="119" spans="1:4" x14ac:dyDescent="0.3">
      <c r="A119" s="609" t="s">
        <v>611</v>
      </c>
      <c r="B119" s="609" t="s">
        <v>612</v>
      </c>
      <c r="C119" s="793" t="s">
        <v>1968</v>
      </c>
      <c r="D119" s="610" t="s">
        <v>1968</v>
      </c>
    </row>
    <row r="120" spans="1:4" x14ac:dyDescent="0.3">
      <c r="A120" s="609" t="s">
        <v>1714</v>
      </c>
      <c r="B120" s="609">
        <v>0.625</v>
      </c>
      <c r="C120" s="1046">
        <v>2018</v>
      </c>
      <c r="D120" s="610">
        <v>2025</v>
      </c>
    </row>
    <row r="121" spans="1:4" x14ac:dyDescent="0.3">
      <c r="A121" s="609" t="s">
        <v>1721</v>
      </c>
      <c r="B121" s="609">
        <v>0.51759999999999995</v>
      </c>
      <c r="C121" s="1046">
        <v>2021</v>
      </c>
      <c r="D121" s="610">
        <v>2025</v>
      </c>
    </row>
    <row r="122" spans="1:4" x14ac:dyDescent="0.3">
      <c r="A122" s="609" t="s">
        <v>1725</v>
      </c>
      <c r="B122" s="609">
        <v>0.63</v>
      </c>
      <c r="C122" s="1046">
        <v>2021</v>
      </c>
      <c r="D122" s="610">
        <v>2025</v>
      </c>
    </row>
    <row r="123" spans="1:4" x14ac:dyDescent="0.3">
      <c r="A123" s="609" t="s">
        <v>1676</v>
      </c>
      <c r="B123" s="609">
        <v>0.34</v>
      </c>
      <c r="C123" s="1046">
        <v>2020</v>
      </c>
      <c r="D123" s="610">
        <v>2025</v>
      </c>
    </row>
    <row r="124" spans="1:4" x14ac:dyDescent="0.3">
      <c r="A124" s="609" t="s">
        <v>1732</v>
      </c>
      <c r="B124" s="609">
        <v>0.72499999999999998</v>
      </c>
      <c r="C124" s="1046">
        <v>2021</v>
      </c>
      <c r="D124" s="610">
        <v>2025</v>
      </c>
    </row>
    <row r="125" spans="1:4" x14ac:dyDescent="0.3">
      <c r="A125" s="609" t="s">
        <v>1739</v>
      </c>
      <c r="B125" s="609">
        <v>0.6875</v>
      </c>
      <c r="C125" s="1046">
        <v>2021</v>
      </c>
      <c r="D125" s="610">
        <v>2025</v>
      </c>
    </row>
    <row r="126" spans="1:4" x14ac:dyDescent="0.3">
      <c r="A126" s="609" t="s">
        <v>1744</v>
      </c>
      <c r="B126" s="609">
        <v>0.79900000000000004</v>
      </c>
      <c r="C126" s="1046">
        <v>2017</v>
      </c>
      <c r="D126" s="610">
        <v>2025</v>
      </c>
    </row>
    <row r="127" spans="1:4" x14ac:dyDescent="0.3">
      <c r="A127" s="609" t="s">
        <v>1748</v>
      </c>
      <c r="B127" s="609">
        <v>0.40050000000000002</v>
      </c>
      <c r="C127" s="1046">
        <v>2020</v>
      </c>
      <c r="D127" s="610">
        <v>2025</v>
      </c>
    </row>
    <row r="128" spans="1:4" x14ac:dyDescent="0.3">
      <c r="A128" s="609" t="s">
        <v>1752</v>
      </c>
      <c r="B128" s="609">
        <v>0.73299999999999998</v>
      </c>
      <c r="C128" s="1046">
        <v>2021</v>
      </c>
      <c r="D128" s="610">
        <v>2025</v>
      </c>
    </row>
    <row r="129" spans="1:4" x14ac:dyDescent="0.3">
      <c r="A129" s="609" t="s">
        <v>1754</v>
      </c>
      <c r="B129" s="609">
        <v>0.73499999999999999</v>
      </c>
      <c r="C129" s="1046">
        <v>2017</v>
      </c>
      <c r="D129" s="610">
        <v>2025</v>
      </c>
    </row>
    <row r="130" spans="1:4" x14ac:dyDescent="0.3">
      <c r="A130" s="609" t="s">
        <v>1756</v>
      </c>
      <c r="B130" s="609">
        <v>0.79869999999999997</v>
      </c>
      <c r="C130" s="1046">
        <v>2019</v>
      </c>
      <c r="D130" s="610">
        <v>2025</v>
      </c>
    </row>
    <row r="131" spans="1:4" x14ac:dyDescent="0.3">
      <c r="A131" s="609" t="s">
        <v>1758</v>
      </c>
      <c r="B131" s="609">
        <v>0.67779999999999996</v>
      </c>
      <c r="C131" s="1046">
        <v>2021</v>
      </c>
      <c r="D131" s="610">
        <v>2025</v>
      </c>
    </row>
    <row r="132" spans="1:4" x14ac:dyDescent="0.3">
      <c r="A132" s="609" t="s">
        <v>1762</v>
      </c>
      <c r="B132" s="609">
        <v>0.84</v>
      </c>
      <c r="C132" s="1046">
        <v>2017</v>
      </c>
      <c r="D132" s="610">
        <v>2025</v>
      </c>
    </row>
    <row r="133" spans="1:4" x14ac:dyDescent="0.3">
      <c r="A133" s="609" t="s">
        <v>1772</v>
      </c>
      <c r="B133" s="609">
        <v>0.55000000000000004</v>
      </c>
      <c r="C133" s="1046">
        <v>2021</v>
      </c>
      <c r="D133" s="610">
        <v>2025</v>
      </c>
    </row>
    <row r="134" spans="1:4" x14ac:dyDescent="0.3">
      <c r="A134" s="609" t="s">
        <v>1783</v>
      </c>
      <c r="B134" s="609">
        <v>0.38</v>
      </c>
      <c r="C134" s="1046">
        <v>2021</v>
      </c>
      <c r="D134" s="610">
        <v>2025</v>
      </c>
    </row>
    <row r="135" spans="1:4" x14ac:dyDescent="0.3">
      <c r="A135" s="609" t="s">
        <v>1785</v>
      </c>
      <c r="B135" s="609">
        <v>0.67</v>
      </c>
      <c r="C135" s="1046">
        <v>2019</v>
      </c>
      <c r="D135" s="610">
        <v>2025</v>
      </c>
    </row>
    <row r="136" spans="1:4" x14ac:dyDescent="0.3">
      <c r="A136" s="609" t="s">
        <v>1791</v>
      </c>
      <c r="B136" s="609">
        <v>0.84499999999999997</v>
      </c>
      <c r="C136" s="1046">
        <v>2017</v>
      </c>
      <c r="D136" s="610">
        <v>2025</v>
      </c>
    </row>
    <row r="137" spans="1:4" x14ac:dyDescent="0.3">
      <c r="A137" s="609" t="s">
        <v>1799</v>
      </c>
      <c r="B137" s="609">
        <v>0.81</v>
      </c>
      <c r="C137" s="1046">
        <v>2017</v>
      </c>
      <c r="D137" s="610">
        <v>2025</v>
      </c>
    </row>
    <row r="138" spans="1:4" x14ac:dyDescent="0.3">
      <c r="A138" s="609" t="s">
        <v>1810</v>
      </c>
      <c r="B138" s="609">
        <v>0.45</v>
      </c>
      <c r="C138" s="1046">
        <v>2021</v>
      </c>
      <c r="D138" s="610">
        <v>2025</v>
      </c>
    </row>
    <row r="139" spans="1:4" x14ac:dyDescent="0.3">
      <c r="A139" s="609" t="s">
        <v>1815</v>
      </c>
      <c r="B139" s="609">
        <v>0.8629</v>
      </c>
      <c r="C139" s="1046">
        <v>2021</v>
      </c>
      <c r="D139" s="610">
        <v>2025</v>
      </c>
    </row>
    <row r="140" spans="1:4" x14ac:dyDescent="0.3">
      <c r="A140" s="609" t="s">
        <v>1822</v>
      </c>
      <c r="B140" s="609">
        <v>0.72250000000000003</v>
      </c>
      <c r="C140" s="1046">
        <v>2021</v>
      </c>
      <c r="D140" s="610">
        <v>2025</v>
      </c>
    </row>
    <row r="141" spans="1:4" x14ac:dyDescent="0.3">
      <c r="A141" s="609" t="s">
        <v>1824</v>
      </c>
      <c r="B141" s="609">
        <v>0.5343</v>
      </c>
      <c r="C141" s="1046">
        <v>2021</v>
      </c>
      <c r="D141" s="610">
        <v>2025</v>
      </c>
    </row>
    <row r="142" spans="1:4" x14ac:dyDescent="0.3">
      <c r="A142" s="609" t="s">
        <v>1835</v>
      </c>
      <c r="B142" s="609">
        <v>0.61</v>
      </c>
      <c r="C142" s="1046">
        <v>2021</v>
      </c>
      <c r="D142" s="610">
        <v>2025</v>
      </c>
    </row>
    <row r="143" spans="1:4" x14ac:dyDescent="0.3">
      <c r="A143" s="609" t="s">
        <v>1837</v>
      </c>
      <c r="B143" s="609">
        <v>0.71</v>
      </c>
      <c r="C143" s="1046">
        <v>2021</v>
      </c>
      <c r="D143" s="610">
        <v>2025</v>
      </c>
    </row>
    <row r="144" spans="1:4" x14ac:dyDescent="0.3">
      <c r="A144" s="609" t="s">
        <v>1839</v>
      </c>
      <c r="B144" s="609">
        <v>0.55200000000000005</v>
      </c>
      <c r="C144" s="1046">
        <v>2021</v>
      </c>
      <c r="D144" s="610">
        <v>2025</v>
      </c>
    </row>
    <row r="145" spans="1:4" x14ac:dyDescent="0.3">
      <c r="A145" s="609" t="s">
        <v>1843</v>
      </c>
      <c r="B145" s="609">
        <v>0.60329999999999995</v>
      </c>
      <c r="C145" s="1046">
        <v>2021</v>
      </c>
      <c r="D145" s="610">
        <v>2025</v>
      </c>
    </row>
    <row r="146" spans="1:4" x14ac:dyDescent="0.3">
      <c r="A146" s="609" t="s">
        <v>1845</v>
      </c>
      <c r="B146" s="609">
        <v>0.95</v>
      </c>
      <c r="C146" s="1046">
        <v>2017</v>
      </c>
      <c r="D146" s="610">
        <v>2025</v>
      </c>
    </row>
    <row r="147" spans="1:4" x14ac:dyDescent="0.3">
      <c r="A147" s="609" t="s">
        <v>1846</v>
      </c>
      <c r="B147" s="609">
        <v>0.58799999999999997</v>
      </c>
      <c r="C147" s="1046">
        <v>2021</v>
      </c>
      <c r="D147" s="610">
        <v>2025</v>
      </c>
    </row>
    <row r="148" spans="1:4" x14ac:dyDescent="0.3">
      <c r="A148" s="609" t="s">
        <v>1848</v>
      </c>
      <c r="B148" s="609">
        <v>0.81</v>
      </c>
      <c r="C148" s="1046">
        <v>2017</v>
      </c>
      <c r="D148" s="610">
        <v>2025</v>
      </c>
    </row>
    <row r="149" spans="1:4" x14ac:dyDescent="0.3">
      <c r="A149" s="609" t="s">
        <v>1854</v>
      </c>
      <c r="B149" s="609">
        <v>0.76749999999999996</v>
      </c>
      <c r="C149" s="1046">
        <v>2019</v>
      </c>
      <c r="D149" s="610">
        <v>2025</v>
      </c>
    </row>
    <row r="150" spans="1:4" x14ac:dyDescent="0.3">
      <c r="A150" s="609" t="s">
        <v>1856</v>
      </c>
      <c r="B150" s="609">
        <v>0.66</v>
      </c>
      <c r="C150" s="1046">
        <v>2019</v>
      </c>
      <c r="D150" s="610">
        <v>2025</v>
      </c>
    </row>
  </sheetData>
  <sheetProtection algorithmName="SHA-512" hashValue="fgKPUUAOchgb39nd76BHFh2ziikiOIVsPaiDAxA5RIzx3z/UCX9l2d3ywmrRRqH5uz14xHcxDhRqR1WhR8xQTg==" saltValue="hl2DBt3v3Ta4K0jJLAM0JA==" spinCount="100000" sheet="1" objects="1" scenarios="1"/>
  <autoFilter ref="A7:E107" xr:uid="{C4C859C7-D101-4FF8-B13C-F4FADB068718}">
    <filterColumn colId="4">
      <filters>
        <filter val="2025"/>
      </filters>
    </filterColumn>
  </autoFilter>
  <sortState xmlns:xlrd2="http://schemas.microsoft.com/office/spreadsheetml/2017/richdata2" ref="A7:D106">
    <sortCondition ref="D7:D106"/>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61AA-1F33-41CA-842B-46C9999153DA}">
  <sheetPr codeName="Sheet17"/>
  <dimension ref="A1:CZ367"/>
  <sheetViews>
    <sheetView workbookViewId="0">
      <pane xSplit="3" ySplit="2" topLeftCell="D3" activePane="bottomRight" state="frozen"/>
      <selection pane="topRight" activeCell="D1" sqref="D1"/>
      <selection pane="bottomLeft" activeCell="A3" sqref="A3"/>
      <selection pane="bottomRight" activeCell="CD2" sqref="CD2"/>
    </sheetView>
  </sheetViews>
  <sheetFormatPr defaultRowHeight="14.4" x14ac:dyDescent="0.3"/>
  <cols>
    <col min="1" max="1" width="29.33203125" style="155" customWidth="1"/>
    <col min="2" max="2" width="80.44140625" customWidth="1"/>
    <col min="3" max="3" width="39.44140625" customWidth="1"/>
    <col min="4" max="97" width="20.6640625" customWidth="1"/>
    <col min="98" max="104" width="16.109375" customWidth="1"/>
  </cols>
  <sheetData>
    <row r="1" spans="1:99" ht="15.6" x14ac:dyDescent="0.3">
      <c r="A1" s="551" t="s">
        <v>2065</v>
      </c>
      <c r="B1" s="180" t="s">
        <v>2066</v>
      </c>
      <c r="C1" s="180" t="s">
        <v>349</v>
      </c>
      <c r="D1" s="180" t="s">
        <v>1136</v>
      </c>
      <c r="E1" s="180" t="s">
        <v>1137</v>
      </c>
      <c r="F1" s="180" t="s">
        <v>1138</v>
      </c>
      <c r="G1" s="180" t="s">
        <v>1139</v>
      </c>
      <c r="H1" s="180" t="s">
        <v>1140</v>
      </c>
      <c r="I1" s="180" t="s">
        <v>1141</v>
      </c>
      <c r="J1" s="180" t="s">
        <v>1142</v>
      </c>
      <c r="K1" s="180" t="s">
        <v>1143</v>
      </c>
      <c r="L1" s="180" t="s">
        <v>1144</v>
      </c>
      <c r="M1" s="180" t="s">
        <v>1145</v>
      </c>
      <c r="N1" s="180" t="s">
        <v>1146</v>
      </c>
      <c r="O1" s="180" t="s">
        <v>1147</v>
      </c>
      <c r="P1" s="180" t="s">
        <v>805</v>
      </c>
      <c r="Q1" s="180" t="s">
        <v>484</v>
      </c>
      <c r="R1" s="180" t="s">
        <v>1148</v>
      </c>
      <c r="S1" s="180" t="s">
        <v>1149</v>
      </c>
      <c r="T1" s="180" t="s">
        <v>1150</v>
      </c>
      <c r="U1" s="180" t="s">
        <v>1151</v>
      </c>
      <c r="V1" s="180" t="s">
        <v>485</v>
      </c>
      <c r="W1" s="180" t="s">
        <v>1152</v>
      </c>
      <c r="X1" s="180" t="s">
        <v>392</v>
      </c>
      <c r="Y1" s="180" t="s">
        <v>393</v>
      </c>
      <c r="Z1" s="180" t="s">
        <v>1153</v>
      </c>
      <c r="AA1" s="180" t="s">
        <v>486</v>
      </c>
      <c r="AB1" s="180" t="s">
        <v>1154</v>
      </c>
      <c r="AC1" s="180" t="s">
        <v>806</v>
      </c>
      <c r="AD1" s="180" t="s">
        <v>1155</v>
      </c>
      <c r="AE1" s="180" t="s">
        <v>807</v>
      </c>
      <c r="AF1" s="180" t="s">
        <v>1156</v>
      </c>
      <c r="AG1" s="180" t="s">
        <v>1157</v>
      </c>
      <c r="AH1" s="180" t="s">
        <v>1158</v>
      </c>
      <c r="AI1" s="180" t="s">
        <v>1159</v>
      </c>
      <c r="AJ1" s="180" t="s">
        <v>1160</v>
      </c>
      <c r="AK1" s="180" t="s">
        <v>1161</v>
      </c>
      <c r="AL1" s="180" t="s">
        <v>808</v>
      </c>
      <c r="AM1" s="180" t="s">
        <v>487</v>
      </c>
      <c r="AN1" s="180" t="s">
        <v>488</v>
      </c>
      <c r="AO1" s="180" t="s">
        <v>1162</v>
      </c>
      <c r="AP1" s="180" t="s">
        <v>1163</v>
      </c>
      <c r="AQ1" s="180" t="s">
        <v>1164</v>
      </c>
      <c r="AR1" s="180" t="s">
        <v>809</v>
      </c>
      <c r="AS1" s="180" t="s">
        <v>1165</v>
      </c>
      <c r="AT1" s="180" t="s">
        <v>1166</v>
      </c>
      <c r="AU1" s="180" t="s">
        <v>1167</v>
      </c>
      <c r="AV1" s="180" t="s">
        <v>1168</v>
      </c>
      <c r="AW1" s="180" t="s">
        <v>1169</v>
      </c>
      <c r="AX1" s="180" t="s">
        <v>1170</v>
      </c>
      <c r="AY1" s="180" t="s">
        <v>1171</v>
      </c>
      <c r="AZ1" s="180" t="s">
        <v>1172</v>
      </c>
      <c r="BA1" s="180" t="s">
        <v>810</v>
      </c>
      <c r="BB1" s="180" t="s">
        <v>1173</v>
      </c>
      <c r="BC1" s="180" t="s">
        <v>811</v>
      </c>
      <c r="BD1" s="180" t="s">
        <v>1174</v>
      </c>
      <c r="BE1" s="180" t="s">
        <v>1175</v>
      </c>
      <c r="BF1" s="180" t="s">
        <v>1176</v>
      </c>
      <c r="BG1" s="180" t="s">
        <v>1177</v>
      </c>
      <c r="BH1" s="180" t="s">
        <v>489</v>
      </c>
      <c r="BI1" s="180" t="s">
        <v>1178</v>
      </c>
      <c r="BJ1" s="180" t="s">
        <v>1179</v>
      </c>
      <c r="BK1" s="180" t="s">
        <v>490</v>
      </c>
      <c r="BL1" s="180" t="s">
        <v>1180</v>
      </c>
      <c r="BM1" s="180" t="s">
        <v>1181</v>
      </c>
      <c r="BN1" s="180" t="s">
        <v>1182</v>
      </c>
      <c r="BO1" s="180" t="s">
        <v>1183</v>
      </c>
      <c r="BP1" s="180" t="s">
        <v>387</v>
      </c>
      <c r="BQ1" s="180" t="s">
        <v>491</v>
      </c>
      <c r="BR1" s="180" t="s">
        <v>1184</v>
      </c>
      <c r="BS1" s="180" t="s">
        <v>1185</v>
      </c>
      <c r="BT1" s="180" t="s">
        <v>493</v>
      </c>
      <c r="BU1" s="180" t="s">
        <v>1186</v>
      </c>
      <c r="BV1" s="180" t="s">
        <v>1187</v>
      </c>
      <c r="BW1" s="180" t="s">
        <v>1188</v>
      </c>
      <c r="BX1" s="180" t="s">
        <v>812</v>
      </c>
      <c r="BY1" s="180" t="s">
        <v>1189</v>
      </c>
      <c r="BZ1" s="180" t="s">
        <v>1190</v>
      </c>
      <c r="CA1" s="180" t="s">
        <v>1191</v>
      </c>
      <c r="CB1" s="180" t="s">
        <v>1192</v>
      </c>
      <c r="CC1" s="180" t="s">
        <v>495</v>
      </c>
      <c r="CD1" s="180" t="s">
        <v>496</v>
      </c>
      <c r="CE1" s="180" t="s">
        <v>1193</v>
      </c>
      <c r="CF1" s="180" t="s">
        <v>1194</v>
      </c>
      <c r="CG1" s="180" t="s">
        <v>497</v>
      </c>
      <c r="CH1" s="180" t="s">
        <v>813</v>
      </c>
      <c r="CI1" s="180" t="s">
        <v>814</v>
      </c>
      <c r="CJ1" s="180" t="s">
        <v>498</v>
      </c>
      <c r="CK1" s="180"/>
      <c r="CL1" s="180"/>
      <c r="CM1" s="180"/>
      <c r="CN1" s="180"/>
      <c r="CO1" s="180"/>
      <c r="CP1" s="180"/>
      <c r="CQ1" s="180"/>
      <c r="CR1" s="180"/>
      <c r="CS1" s="180"/>
      <c r="CT1" s="180"/>
      <c r="CU1" s="180"/>
    </row>
    <row r="2" spans="1:99" x14ac:dyDescent="0.3">
      <c r="A2" s="155" t="s">
        <v>877</v>
      </c>
      <c r="B2" s="180" t="s">
        <v>41</v>
      </c>
      <c r="C2" s="180" t="s">
        <v>13</v>
      </c>
      <c r="D2" s="788">
        <v>50508</v>
      </c>
      <c r="E2" s="788">
        <v>50465</v>
      </c>
      <c r="F2" s="788">
        <v>50060</v>
      </c>
      <c r="G2" s="788">
        <v>50061</v>
      </c>
      <c r="H2" s="788">
        <v>50062</v>
      </c>
      <c r="I2" s="788">
        <v>50063</v>
      </c>
      <c r="J2" s="788">
        <v>50064</v>
      </c>
      <c r="K2" s="788">
        <v>50065</v>
      </c>
      <c r="L2" s="788">
        <v>50551</v>
      </c>
      <c r="M2" s="788">
        <v>50066</v>
      </c>
      <c r="N2" s="788">
        <v>50067</v>
      </c>
      <c r="O2" s="788">
        <v>50068</v>
      </c>
      <c r="P2" s="788">
        <v>50466</v>
      </c>
      <c r="Q2" s="788">
        <v>50069</v>
      </c>
      <c r="R2" s="788">
        <v>50450</v>
      </c>
      <c r="S2" s="788">
        <v>50070</v>
      </c>
      <c r="T2" s="788">
        <v>50509</v>
      </c>
      <c r="U2" s="788">
        <v>50539</v>
      </c>
      <c r="V2" s="788">
        <v>50467</v>
      </c>
      <c r="W2" s="788">
        <v>50072</v>
      </c>
      <c r="X2" s="788">
        <v>50074</v>
      </c>
      <c r="Y2" s="788">
        <v>50075</v>
      </c>
      <c r="Z2" s="788">
        <v>50076</v>
      </c>
      <c r="AA2" s="788">
        <v>50510</v>
      </c>
      <c r="AB2" s="788">
        <v>50077</v>
      </c>
      <c r="AC2" s="788">
        <v>50078</v>
      </c>
      <c r="AD2" s="788">
        <v>50079</v>
      </c>
      <c r="AE2" s="788">
        <v>50080</v>
      </c>
      <c r="AF2" s="788">
        <v>50081</v>
      </c>
      <c r="AG2" s="788">
        <v>50502</v>
      </c>
      <c r="AH2" s="788">
        <v>50082</v>
      </c>
      <c r="AI2" s="788">
        <v>50083</v>
      </c>
      <c r="AJ2" s="788">
        <v>50084</v>
      </c>
      <c r="AK2" s="788">
        <v>50085</v>
      </c>
      <c r="AL2" s="788">
        <v>50468</v>
      </c>
      <c r="AM2" s="788">
        <v>50086</v>
      </c>
      <c r="AN2" s="788">
        <v>50087</v>
      </c>
      <c r="AO2" s="788">
        <v>50088</v>
      </c>
      <c r="AP2" s="788">
        <v>50089</v>
      </c>
      <c r="AQ2" s="788">
        <v>50090</v>
      </c>
      <c r="AR2" s="788">
        <v>50091</v>
      </c>
      <c r="AS2" s="788">
        <v>50511</v>
      </c>
      <c r="AT2" s="788">
        <v>50092</v>
      </c>
      <c r="AU2" s="788">
        <v>50093</v>
      </c>
      <c r="AV2" s="788">
        <v>50512</v>
      </c>
      <c r="AW2" s="788">
        <v>50094</v>
      </c>
      <c r="AX2" s="788">
        <v>50095</v>
      </c>
      <c r="AY2" s="788">
        <v>50096</v>
      </c>
      <c r="AZ2" s="788">
        <v>50097</v>
      </c>
      <c r="BA2" s="788">
        <v>50098</v>
      </c>
      <c r="BB2" s="788">
        <v>50099</v>
      </c>
      <c r="BC2" s="788">
        <v>50100</v>
      </c>
      <c r="BD2" s="788">
        <v>50101</v>
      </c>
      <c r="BE2" s="788">
        <v>50102</v>
      </c>
      <c r="BF2" s="788">
        <v>50103</v>
      </c>
      <c r="BG2" s="788">
        <v>50104</v>
      </c>
      <c r="BH2" s="788">
        <v>50513</v>
      </c>
      <c r="BI2" s="788">
        <v>50105</v>
      </c>
      <c r="BJ2" s="788">
        <v>50460</v>
      </c>
      <c r="BK2" s="788">
        <v>50106</v>
      </c>
      <c r="BL2" s="788">
        <v>50107</v>
      </c>
      <c r="BM2" s="788">
        <v>50108</v>
      </c>
      <c r="BN2" s="788">
        <v>50559</v>
      </c>
      <c r="BO2" s="788">
        <v>50109</v>
      </c>
      <c r="BP2" s="788">
        <v>50110</v>
      </c>
      <c r="BQ2" s="788">
        <v>50472</v>
      </c>
      <c r="BR2" s="788">
        <v>50461</v>
      </c>
      <c r="BS2" s="788">
        <v>50111</v>
      </c>
      <c r="BT2" s="788">
        <v>50113</v>
      </c>
      <c r="BU2" s="788">
        <v>50568</v>
      </c>
      <c r="BV2" s="788">
        <v>50114</v>
      </c>
      <c r="BW2" s="788">
        <v>50115</v>
      </c>
      <c r="BX2" s="788">
        <v>50116</v>
      </c>
      <c r="BY2" s="788">
        <v>50117</v>
      </c>
      <c r="BZ2" s="788">
        <v>50119</v>
      </c>
      <c r="CA2" s="788">
        <v>50118</v>
      </c>
      <c r="CB2" s="788">
        <v>50120</v>
      </c>
      <c r="CC2" s="788">
        <v>50121</v>
      </c>
      <c r="CD2" s="788">
        <v>50122</v>
      </c>
      <c r="CE2" s="788">
        <v>50123</v>
      </c>
      <c r="CF2" s="788">
        <v>50124</v>
      </c>
      <c r="CG2" s="788">
        <v>50125</v>
      </c>
      <c r="CH2" s="788">
        <v>50126</v>
      </c>
      <c r="CI2" s="788">
        <v>50127</v>
      </c>
      <c r="CJ2" s="788">
        <v>50128</v>
      </c>
      <c r="CK2" s="180"/>
      <c r="CL2" s="180"/>
      <c r="CM2" s="180"/>
      <c r="CN2" s="180"/>
      <c r="CO2" s="180"/>
      <c r="CP2" s="180"/>
      <c r="CQ2" s="180"/>
      <c r="CR2" s="180"/>
      <c r="CS2" s="180"/>
      <c r="CT2" s="180"/>
      <c r="CU2" s="180"/>
    </row>
    <row r="3" spans="1:99" x14ac:dyDescent="0.3">
      <c r="A3" s="155">
        <v>4</v>
      </c>
      <c r="B3" s="180" t="s">
        <v>111</v>
      </c>
      <c r="C3" s="180"/>
      <c r="D3" s="180">
        <v>15389</v>
      </c>
      <c r="E3" s="180">
        <v>514267</v>
      </c>
      <c r="F3" s="180">
        <v>9356</v>
      </c>
      <c r="G3" s="180">
        <v>40178</v>
      </c>
      <c r="H3" s="180"/>
      <c r="I3" s="180">
        <v>5134755</v>
      </c>
      <c r="J3" s="180">
        <v>51569</v>
      </c>
      <c r="K3" s="180">
        <v>1160233</v>
      </c>
      <c r="L3" s="180">
        <v>0</v>
      </c>
      <c r="M3" s="180">
        <v>1648579</v>
      </c>
      <c r="N3" s="180">
        <v>493982</v>
      </c>
      <c r="O3" s="180">
        <v>15291704</v>
      </c>
      <c r="P3" s="180">
        <v>2373</v>
      </c>
      <c r="Q3" s="180">
        <v>4658</v>
      </c>
      <c r="R3" s="180">
        <v>312792</v>
      </c>
      <c r="S3" s="180">
        <v>88280</v>
      </c>
      <c r="T3" s="180">
        <v>159452</v>
      </c>
      <c r="U3" s="180">
        <v>66853</v>
      </c>
      <c r="V3" s="180">
        <v>65176</v>
      </c>
      <c r="W3" s="180">
        <v>29105</v>
      </c>
      <c r="X3" s="180">
        <v>4477443</v>
      </c>
      <c r="Y3" s="180">
        <v>42545000</v>
      </c>
      <c r="Z3" s="180">
        <v>691931</v>
      </c>
      <c r="AA3" s="180">
        <v>2147</v>
      </c>
      <c r="AB3" s="180">
        <v>515125</v>
      </c>
      <c r="AC3" s="180"/>
      <c r="AD3" s="180">
        <v>596731</v>
      </c>
      <c r="AE3" s="180">
        <v>92172</v>
      </c>
      <c r="AF3" s="180">
        <v>3141050</v>
      </c>
      <c r="AG3" s="180">
        <v>738098</v>
      </c>
      <c r="AH3" s="180">
        <v>19050</v>
      </c>
      <c r="AI3" s="180">
        <v>308890</v>
      </c>
      <c r="AJ3" s="180">
        <v>37171</v>
      </c>
      <c r="AK3" s="180">
        <v>8500</v>
      </c>
      <c r="AL3" s="180">
        <v>15155</v>
      </c>
      <c r="AM3" s="180"/>
      <c r="AN3" s="180">
        <v>6540</v>
      </c>
      <c r="AO3" s="180"/>
      <c r="AP3" s="180">
        <v>1257</v>
      </c>
      <c r="AQ3" s="180">
        <v>19324451</v>
      </c>
      <c r="AR3" s="180">
        <v>0</v>
      </c>
      <c r="AS3" s="180">
        <v>27112</v>
      </c>
      <c r="AT3" s="180">
        <v>498234</v>
      </c>
      <c r="AU3" s="180">
        <v>99273</v>
      </c>
      <c r="AV3" s="570">
        <v>2258</v>
      </c>
      <c r="AW3" s="180">
        <v>5689692</v>
      </c>
      <c r="AX3" s="180">
        <v>10479</v>
      </c>
      <c r="AY3" s="180">
        <v>153985</v>
      </c>
      <c r="AZ3" s="180">
        <v>216976</v>
      </c>
      <c r="BA3" s="180">
        <v>1362</v>
      </c>
      <c r="BB3" s="180">
        <v>3188</v>
      </c>
      <c r="BC3" s="180">
        <v>77459</v>
      </c>
      <c r="BD3" s="180">
        <v>881</v>
      </c>
      <c r="BE3" s="180">
        <v>1831264</v>
      </c>
      <c r="BF3" s="180">
        <v>135788</v>
      </c>
      <c r="BG3" s="180">
        <v>7895</v>
      </c>
      <c r="BH3" s="180">
        <v>23420</v>
      </c>
      <c r="BI3" s="180">
        <v>60231</v>
      </c>
      <c r="BJ3" s="180">
        <v>4242</v>
      </c>
      <c r="BK3" s="180"/>
      <c r="BL3" s="180">
        <v>23353</v>
      </c>
      <c r="BM3" s="180">
        <v>7503</v>
      </c>
      <c r="BN3" s="180">
        <v>1855181</v>
      </c>
      <c r="BO3" s="180">
        <v>611227</v>
      </c>
      <c r="BP3" s="180">
        <v>20810590</v>
      </c>
      <c r="BQ3" s="180">
        <v>750</v>
      </c>
      <c r="BR3" s="180"/>
      <c r="BS3" s="180">
        <v>13138</v>
      </c>
      <c r="BT3" s="180"/>
      <c r="BU3" s="180">
        <v>21427</v>
      </c>
      <c r="BV3" s="180">
        <v>420506</v>
      </c>
      <c r="BW3" s="180">
        <v>274967</v>
      </c>
      <c r="BX3" s="180">
        <v>991884</v>
      </c>
      <c r="BY3" s="180">
        <v>160922</v>
      </c>
      <c r="BZ3" s="180">
        <v>9861</v>
      </c>
      <c r="CA3" s="180">
        <v>182218</v>
      </c>
      <c r="CB3" s="180">
        <v>1717</v>
      </c>
      <c r="CC3" s="180">
        <v>8232</v>
      </c>
      <c r="CD3" s="180"/>
      <c r="CE3" s="180">
        <v>167584</v>
      </c>
      <c r="CF3" s="180">
        <v>285902</v>
      </c>
      <c r="CG3" s="180">
        <v>22114</v>
      </c>
      <c r="CH3" s="180">
        <v>345292</v>
      </c>
      <c r="CI3" s="180"/>
      <c r="CJ3" s="180"/>
      <c r="CK3" s="180"/>
      <c r="CL3" s="180"/>
      <c r="CM3" s="180"/>
      <c r="CN3" s="180"/>
      <c r="CO3" s="180"/>
      <c r="CP3" s="180"/>
      <c r="CQ3" s="180"/>
      <c r="CR3" s="180"/>
      <c r="CS3" s="180"/>
      <c r="CT3" s="180"/>
      <c r="CU3" s="180"/>
    </row>
    <row r="4" spans="1:99" x14ac:dyDescent="0.3">
      <c r="A4" s="155">
        <v>5</v>
      </c>
      <c r="B4" s="180" t="s">
        <v>112</v>
      </c>
      <c r="C4" s="180"/>
      <c r="D4" s="180">
        <v>0</v>
      </c>
      <c r="E4" s="180">
        <v>0</v>
      </c>
      <c r="F4" s="180">
        <v>0</v>
      </c>
      <c r="G4" s="180">
        <v>0</v>
      </c>
      <c r="H4" s="180"/>
      <c r="I4" s="180">
        <v>7405</v>
      </c>
      <c r="J4" s="180">
        <v>337066</v>
      </c>
      <c r="K4" s="180">
        <v>0</v>
      </c>
      <c r="L4" s="180">
        <v>0</v>
      </c>
      <c r="M4" s="180">
        <v>0</v>
      </c>
      <c r="N4" s="180">
        <v>27671</v>
      </c>
      <c r="O4" s="180">
        <v>0</v>
      </c>
      <c r="P4" s="180">
        <v>0</v>
      </c>
      <c r="Q4" s="180">
        <v>0</v>
      </c>
      <c r="R4" s="180">
        <v>0</v>
      </c>
      <c r="S4" s="180">
        <v>0</v>
      </c>
      <c r="T4" s="180">
        <v>0</v>
      </c>
      <c r="U4" s="180">
        <v>0</v>
      </c>
      <c r="V4" s="180">
        <v>0</v>
      </c>
      <c r="W4" s="180">
        <v>0</v>
      </c>
      <c r="X4" s="180">
        <v>4063</v>
      </c>
      <c r="Y4" s="180">
        <v>130000</v>
      </c>
      <c r="Z4" s="180">
        <v>0</v>
      </c>
      <c r="AA4" s="180">
        <v>36968</v>
      </c>
      <c r="AB4" s="180">
        <v>0</v>
      </c>
      <c r="AC4" s="180"/>
      <c r="AD4" s="180">
        <v>0</v>
      </c>
      <c r="AE4" s="180">
        <v>1896</v>
      </c>
      <c r="AF4" s="180">
        <v>15086</v>
      </c>
      <c r="AG4" s="180">
        <v>11</v>
      </c>
      <c r="AH4" s="180">
        <v>2779</v>
      </c>
      <c r="AI4" s="180">
        <v>0</v>
      </c>
      <c r="AJ4" s="180">
        <v>2361</v>
      </c>
      <c r="AK4" s="180">
        <v>0</v>
      </c>
      <c r="AL4" s="180">
        <v>0</v>
      </c>
      <c r="AM4" s="180"/>
      <c r="AN4" s="180">
        <v>1074</v>
      </c>
      <c r="AO4" s="180"/>
      <c r="AP4" s="180">
        <v>1137</v>
      </c>
      <c r="AQ4" s="180">
        <v>75408</v>
      </c>
      <c r="AR4" s="180">
        <v>0</v>
      </c>
      <c r="AS4" s="180">
        <v>0</v>
      </c>
      <c r="AT4" s="180">
        <v>1629</v>
      </c>
      <c r="AU4" s="180">
        <v>200</v>
      </c>
      <c r="AV4" s="180">
        <v>0</v>
      </c>
      <c r="AW4" s="180">
        <v>0</v>
      </c>
      <c r="AX4" s="180">
        <v>0</v>
      </c>
      <c r="AY4" s="180">
        <v>10182</v>
      </c>
      <c r="AZ4" s="180">
        <v>20721</v>
      </c>
      <c r="BA4" s="180">
        <v>0</v>
      </c>
      <c r="BB4" s="180">
        <v>0</v>
      </c>
      <c r="BC4" s="180">
        <v>0</v>
      </c>
      <c r="BD4" s="180">
        <v>0</v>
      </c>
      <c r="BE4" s="180">
        <v>0</v>
      </c>
      <c r="BF4" s="180">
        <v>0</v>
      </c>
      <c r="BG4" s="180">
        <v>0</v>
      </c>
      <c r="BH4" s="180">
        <v>579</v>
      </c>
      <c r="BI4" s="180">
        <v>0</v>
      </c>
      <c r="BJ4" s="180">
        <v>0</v>
      </c>
      <c r="BK4" s="180"/>
      <c r="BL4" s="180">
        <v>0</v>
      </c>
      <c r="BM4" s="180">
        <v>0</v>
      </c>
      <c r="BN4" s="180">
        <v>55426</v>
      </c>
      <c r="BO4" s="180">
        <v>665</v>
      </c>
      <c r="BP4" s="180">
        <v>845082</v>
      </c>
      <c r="BQ4" s="180">
        <v>0</v>
      </c>
      <c r="BR4" s="180"/>
      <c r="BS4" s="180">
        <v>0</v>
      </c>
      <c r="BT4" s="180"/>
      <c r="BU4" s="180">
        <v>0</v>
      </c>
      <c r="BV4" s="180">
        <v>631546</v>
      </c>
      <c r="BW4" s="180">
        <v>0</v>
      </c>
      <c r="BX4" s="180">
        <v>92183</v>
      </c>
      <c r="BY4" s="180">
        <v>4865</v>
      </c>
      <c r="BZ4" s="180">
        <v>0</v>
      </c>
      <c r="CA4" s="180">
        <v>0</v>
      </c>
      <c r="CB4" s="180">
        <v>0</v>
      </c>
      <c r="CC4" s="180">
        <v>1069</v>
      </c>
      <c r="CD4" s="180"/>
      <c r="CE4" s="180">
        <v>1148</v>
      </c>
      <c r="CF4" s="180">
        <v>0</v>
      </c>
      <c r="CG4" s="180">
        <v>0</v>
      </c>
      <c r="CH4" s="180">
        <v>1894</v>
      </c>
      <c r="CI4" s="180"/>
      <c r="CJ4" s="180"/>
      <c r="CK4" s="180"/>
      <c r="CL4" s="180"/>
      <c r="CM4" s="180"/>
      <c r="CN4" s="180"/>
      <c r="CO4" s="180"/>
      <c r="CP4" s="180"/>
      <c r="CQ4" s="180"/>
      <c r="CR4" s="180"/>
      <c r="CS4" s="180"/>
      <c r="CT4" s="180"/>
      <c r="CU4" s="180"/>
    </row>
    <row r="5" spans="1:99" x14ac:dyDescent="0.3">
      <c r="A5" s="155">
        <v>6</v>
      </c>
      <c r="B5" s="180" t="s">
        <v>251</v>
      </c>
      <c r="C5" s="180"/>
      <c r="D5" s="180">
        <v>0</v>
      </c>
      <c r="E5" s="180">
        <v>0</v>
      </c>
      <c r="F5" s="180">
        <v>0</v>
      </c>
      <c r="G5" s="180">
        <v>0</v>
      </c>
      <c r="H5" s="180"/>
      <c r="I5" s="180">
        <v>0</v>
      </c>
      <c r="J5" s="180">
        <v>0</v>
      </c>
      <c r="K5" s="180">
        <v>0</v>
      </c>
      <c r="L5" s="180">
        <v>0</v>
      </c>
      <c r="M5" s="180">
        <v>282335</v>
      </c>
      <c r="N5" s="180">
        <v>0</v>
      </c>
      <c r="O5" s="180">
        <v>20738539</v>
      </c>
      <c r="P5" s="180">
        <v>0</v>
      </c>
      <c r="Q5" s="180">
        <v>0</v>
      </c>
      <c r="R5" s="180">
        <v>0</v>
      </c>
      <c r="S5" s="180">
        <v>0</v>
      </c>
      <c r="T5" s="180">
        <v>0</v>
      </c>
      <c r="U5" s="180">
        <v>0</v>
      </c>
      <c r="V5" s="180">
        <v>0</v>
      </c>
      <c r="W5" s="180">
        <v>0</v>
      </c>
      <c r="X5" s="180">
        <v>1902724</v>
      </c>
      <c r="Y5" s="180">
        <v>14740000</v>
      </c>
      <c r="Z5" s="180">
        <v>0</v>
      </c>
      <c r="AA5" s="180">
        <v>0</v>
      </c>
      <c r="AB5" s="180">
        <v>0</v>
      </c>
      <c r="AC5" s="180"/>
      <c r="AD5" s="180">
        <v>0</v>
      </c>
      <c r="AE5" s="180">
        <v>0</v>
      </c>
      <c r="AF5" s="180">
        <v>0</v>
      </c>
      <c r="AG5" s="180">
        <v>33471</v>
      </c>
      <c r="AH5" s="180">
        <v>0</v>
      </c>
      <c r="AI5" s="180">
        <v>0</v>
      </c>
      <c r="AJ5" s="180">
        <v>0</v>
      </c>
      <c r="AK5" s="180">
        <v>0</v>
      </c>
      <c r="AL5" s="180">
        <v>0</v>
      </c>
      <c r="AM5" s="180"/>
      <c r="AN5" s="180">
        <v>0</v>
      </c>
      <c r="AO5" s="180"/>
      <c r="AP5" s="180">
        <v>0</v>
      </c>
      <c r="AQ5" s="180">
        <v>5907304</v>
      </c>
      <c r="AR5" s="180">
        <v>0</v>
      </c>
      <c r="AS5" s="180">
        <v>0</v>
      </c>
      <c r="AT5" s="180">
        <v>383094</v>
      </c>
      <c r="AU5" s="180">
        <v>0</v>
      </c>
      <c r="AV5" s="180">
        <v>0</v>
      </c>
      <c r="AW5" s="180">
        <v>0</v>
      </c>
      <c r="AX5" s="180">
        <v>0</v>
      </c>
      <c r="AY5" s="180">
        <v>0</v>
      </c>
      <c r="AZ5" s="180">
        <v>0</v>
      </c>
      <c r="BA5" s="180">
        <v>0</v>
      </c>
      <c r="BB5" s="180">
        <v>0</v>
      </c>
      <c r="BC5" s="180">
        <v>0</v>
      </c>
      <c r="BD5" s="180">
        <v>0</v>
      </c>
      <c r="BE5" s="180">
        <v>577499</v>
      </c>
      <c r="BF5" s="180">
        <v>0</v>
      </c>
      <c r="BG5" s="180">
        <v>0</v>
      </c>
      <c r="BH5" s="180">
        <v>0</v>
      </c>
      <c r="BI5" s="180">
        <v>0</v>
      </c>
      <c r="BJ5" s="180">
        <v>0</v>
      </c>
      <c r="BK5" s="180"/>
      <c r="BL5" s="180">
        <v>0</v>
      </c>
      <c r="BM5" s="180">
        <v>0</v>
      </c>
      <c r="BN5" s="180">
        <v>275547</v>
      </c>
      <c r="BO5" s="180">
        <v>0</v>
      </c>
      <c r="BP5" s="180">
        <v>15815548</v>
      </c>
      <c r="BQ5" s="180">
        <v>0</v>
      </c>
      <c r="BR5" s="180"/>
      <c r="BS5" s="180">
        <v>0</v>
      </c>
      <c r="BT5" s="180"/>
      <c r="BU5" s="180">
        <v>0</v>
      </c>
      <c r="BV5" s="180">
        <v>0</v>
      </c>
      <c r="BW5" s="180">
        <v>0</v>
      </c>
      <c r="BX5" s="180">
        <v>0</v>
      </c>
      <c r="BY5" s="180">
        <v>0</v>
      </c>
      <c r="BZ5" s="180">
        <v>0</v>
      </c>
      <c r="CA5" s="180">
        <v>690510</v>
      </c>
      <c r="CB5" s="180">
        <v>0</v>
      </c>
      <c r="CC5" s="180">
        <v>0</v>
      </c>
      <c r="CD5" s="180"/>
      <c r="CE5" s="180">
        <v>0</v>
      </c>
      <c r="CF5" s="180">
        <v>201231</v>
      </c>
      <c r="CG5" s="180">
        <v>0</v>
      </c>
      <c r="CH5" s="180">
        <v>0</v>
      </c>
      <c r="CI5" s="180"/>
      <c r="CJ5" s="180"/>
      <c r="CK5" s="180"/>
      <c r="CL5" s="180"/>
      <c r="CM5" s="180"/>
      <c r="CN5" s="180"/>
      <c r="CO5" s="180"/>
      <c r="CP5" s="180"/>
      <c r="CQ5" s="180"/>
      <c r="CR5" s="180"/>
      <c r="CS5" s="180"/>
      <c r="CT5" s="180"/>
      <c r="CU5" s="180"/>
    </row>
    <row r="6" spans="1:99" x14ac:dyDescent="0.3">
      <c r="A6" s="155">
        <v>7</v>
      </c>
      <c r="B6" s="180" t="s">
        <v>193</v>
      </c>
      <c r="C6" s="180"/>
      <c r="D6" s="180">
        <v>0</v>
      </c>
      <c r="E6" s="180">
        <v>0</v>
      </c>
      <c r="F6" s="180">
        <v>0</v>
      </c>
      <c r="G6" s="180">
        <v>0</v>
      </c>
      <c r="H6" s="180"/>
      <c r="I6" s="180">
        <v>16995</v>
      </c>
      <c r="J6" s="180">
        <v>4136</v>
      </c>
      <c r="K6" s="180">
        <v>0</v>
      </c>
      <c r="L6" s="180">
        <v>0</v>
      </c>
      <c r="M6" s="180">
        <v>818451</v>
      </c>
      <c r="N6" s="180">
        <v>0</v>
      </c>
      <c r="O6" s="180">
        <v>4152442</v>
      </c>
      <c r="P6" s="180">
        <v>0</v>
      </c>
      <c r="Q6" s="180">
        <v>6200</v>
      </c>
      <c r="R6" s="180">
        <v>0</v>
      </c>
      <c r="S6" s="180">
        <v>3516</v>
      </c>
      <c r="T6" s="180">
        <v>0</v>
      </c>
      <c r="U6" s="180">
        <v>0</v>
      </c>
      <c r="V6" s="180">
        <v>0</v>
      </c>
      <c r="W6" s="180">
        <v>0</v>
      </c>
      <c r="X6" s="180">
        <v>2342</v>
      </c>
      <c r="Y6" s="180">
        <v>9073000</v>
      </c>
      <c r="Z6" s="180">
        <v>0</v>
      </c>
      <c r="AA6" s="180">
        <v>0</v>
      </c>
      <c r="AB6" s="180">
        <v>23182</v>
      </c>
      <c r="AC6" s="180"/>
      <c r="AD6" s="180">
        <v>31078</v>
      </c>
      <c r="AE6" s="180">
        <v>0</v>
      </c>
      <c r="AF6" s="180">
        <v>23224</v>
      </c>
      <c r="AG6" s="180">
        <v>96293</v>
      </c>
      <c r="AH6" s="180">
        <v>0</v>
      </c>
      <c r="AI6" s="180">
        <v>17509</v>
      </c>
      <c r="AJ6" s="180">
        <v>0</v>
      </c>
      <c r="AK6" s="180">
        <v>0</v>
      </c>
      <c r="AL6" s="180">
        <v>0</v>
      </c>
      <c r="AM6" s="180"/>
      <c r="AN6" s="180">
        <v>0</v>
      </c>
      <c r="AO6" s="180"/>
      <c r="AP6" s="180">
        <v>0</v>
      </c>
      <c r="AQ6" s="180">
        <v>228254</v>
      </c>
      <c r="AR6" s="180">
        <v>0</v>
      </c>
      <c r="AS6" s="180">
        <v>0</v>
      </c>
      <c r="AT6" s="180">
        <v>51672</v>
      </c>
      <c r="AU6" s="180">
        <v>0</v>
      </c>
      <c r="AV6" s="570">
        <v>0</v>
      </c>
      <c r="AW6" s="180">
        <v>179334</v>
      </c>
      <c r="AX6" s="180">
        <v>0</v>
      </c>
      <c r="AY6" s="180">
        <v>448819</v>
      </c>
      <c r="AZ6" s="180">
        <v>1079</v>
      </c>
      <c r="BA6" s="180">
        <v>0</v>
      </c>
      <c r="BB6" s="180">
        <v>0</v>
      </c>
      <c r="BC6" s="180">
        <v>312</v>
      </c>
      <c r="BD6" s="180">
        <v>0</v>
      </c>
      <c r="BE6" s="180">
        <v>3000</v>
      </c>
      <c r="BF6" s="180">
        <v>0</v>
      </c>
      <c r="BG6" s="180">
        <v>0</v>
      </c>
      <c r="BH6" s="180">
        <v>0</v>
      </c>
      <c r="BI6" s="180">
        <v>62895</v>
      </c>
      <c r="BJ6" s="180">
        <v>0</v>
      </c>
      <c r="BK6" s="180"/>
      <c r="BL6" s="180">
        <v>0</v>
      </c>
      <c r="BM6" s="180">
        <v>0</v>
      </c>
      <c r="BN6" s="180">
        <v>25016</v>
      </c>
      <c r="BO6" s="180">
        <v>137547</v>
      </c>
      <c r="BP6" s="180">
        <v>679575</v>
      </c>
      <c r="BQ6" s="180">
        <v>0</v>
      </c>
      <c r="BR6" s="180"/>
      <c r="BS6" s="180">
        <v>0</v>
      </c>
      <c r="BT6" s="180"/>
      <c r="BU6" s="180">
        <v>0</v>
      </c>
      <c r="BV6" s="180">
        <v>379796</v>
      </c>
      <c r="BW6" s="180">
        <v>35993</v>
      </c>
      <c r="BX6" s="180">
        <v>61586</v>
      </c>
      <c r="BY6" s="180">
        <v>0</v>
      </c>
      <c r="BZ6" s="180">
        <v>0</v>
      </c>
      <c r="CA6" s="180">
        <v>0</v>
      </c>
      <c r="CB6" s="180">
        <v>0</v>
      </c>
      <c r="CC6" s="180">
        <v>2543</v>
      </c>
      <c r="CD6" s="180"/>
      <c r="CE6" s="180">
        <v>0</v>
      </c>
      <c r="CF6" s="180">
        <v>18120</v>
      </c>
      <c r="CG6" s="180">
        <v>0</v>
      </c>
      <c r="CH6" s="180">
        <v>0</v>
      </c>
      <c r="CI6" s="180"/>
      <c r="CJ6" s="180"/>
      <c r="CK6" s="180"/>
      <c r="CL6" s="180"/>
      <c r="CM6" s="180"/>
      <c r="CN6" s="180"/>
      <c r="CO6" s="180"/>
      <c r="CP6" s="180"/>
      <c r="CQ6" s="180"/>
      <c r="CR6" s="180"/>
      <c r="CS6" s="180"/>
      <c r="CT6" s="180"/>
      <c r="CU6" s="180"/>
    </row>
    <row r="7" spans="1:99" x14ac:dyDescent="0.3">
      <c r="A7" s="155">
        <v>9</v>
      </c>
      <c r="B7" s="180" t="s">
        <v>195</v>
      </c>
      <c r="C7" s="180"/>
      <c r="D7" s="180">
        <v>3831500</v>
      </c>
      <c r="E7" s="180">
        <v>3157753</v>
      </c>
      <c r="F7" s="180">
        <v>1094552</v>
      </c>
      <c r="G7" s="180">
        <v>673045</v>
      </c>
      <c r="H7" s="180"/>
      <c r="I7" s="180">
        <v>6287126</v>
      </c>
      <c r="J7" s="180">
        <v>2259281</v>
      </c>
      <c r="K7" s="180">
        <v>12605882</v>
      </c>
      <c r="L7" s="180">
        <v>7355863</v>
      </c>
      <c r="M7" s="180">
        <v>19546432</v>
      </c>
      <c r="N7" s="180">
        <v>2604073</v>
      </c>
      <c r="O7" s="180">
        <v>143365780</v>
      </c>
      <c r="P7" s="180">
        <v>85989</v>
      </c>
      <c r="Q7" s="180">
        <v>392441</v>
      </c>
      <c r="R7" s="180">
        <v>1342099</v>
      </c>
      <c r="S7" s="180">
        <v>1376016</v>
      </c>
      <c r="T7" s="180">
        <v>1480973</v>
      </c>
      <c r="U7" s="180">
        <v>554716</v>
      </c>
      <c r="V7" s="180">
        <v>408513</v>
      </c>
      <c r="W7" s="180">
        <v>2769918</v>
      </c>
      <c r="X7" s="180">
        <v>35829102</v>
      </c>
      <c r="Y7" s="180">
        <v>237124000</v>
      </c>
      <c r="Z7" s="180">
        <v>4250711</v>
      </c>
      <c r="AA7" s="180">
        <v>638933</v>
      </c>
      <c r="AB7" s="180">
        <v>4996845</v>
      </c>
      <c r="AC7" s="180"/>
      <c r="AD7" s="180">
        <v>5407230</v>
      </c>
      <c r="AE7" s="180">
        <v>2866539</v>
      </c>
      <c r="AF7" s="180">
        <v>34799315</v>
      </c>
      <c r="AG7" s="180">
        <v>12656384</v>
      </c>
      <c r="AH7" s="180">
        <v>3553649</v>
      </c>
      <c r="AI7" s="180">
        <v>9337753</v>
      </c>
      <c r="AJ7" s="180">
        <v>1670128</v>
      </c>
      <c r="AK7" s="180">
        <v>2031170</v>
      </c>
      <c r="AL7" s="180">
        <v>955397</v>
      </c>
      <c r="AM7" s="180"/>
      <c r="AN7" s="180">
        <v>1054960</v>
      </c>
      <c r="AO7" s="180"/>
      <c r="AP7" s="180">
        <v>90435</v>
      </c>
      <c r="AQ7" s="180">
        <v>92498047</v>
      </c>
      <c r="AR7" s="180">
        <v>426217</v>
      </c>
      <c r="AS7" s="180">
        <v>2298979</v>
      </c>
      <c r="AT7" s="180">
        <v>13498617</v>
      </c>
      <c r="AU7" s="180">
        <v>520526</v>
      </c>
      <c r="AV7" s="570">
        <v>1283603</v>
      </c>
      <c r="AW7" s="180">
        <v>37354704</v>
      </c>
      <c r="AX7" s="180">
        <v>287878</v>
      </c>
      <c r="AY7" s="180">
        <v>4594574</v>
      </c>
      <c r="AZ7" s="180">
        <v>10846832</v>
      </c>
      <c r="BA7" s="180">
        <v>641822</v>
      </c>
      <c r="BB7" s="180">
        <v>450679</v>
      </c>
      <c r="BC7" s="180">
        <v>4045637</v>
      </c>
      <c r="BD7" s="180">
        <v>240581</v>
      </c>
      <c r="BE7" s="180">
        <v>17734553</v>
      </c>
      <c r="BF7" s="180">
        <v>3279018</v>
      </c>
      <c r="BG7" s="180">
        <v>925990</v>
      </c>
      <c r="BH7" s="180">
        <v>530029</v>
      </c>
      <c r="BI7" s="180">
        <v>2101842</v>
      </c>
      <c r="BJ7" s="180">
        <v>3643935</v>
      </c>
      <c r="BK7" s="180"/>
      <c r="BL7" s="180">
        <v>2256335</v>
      </c>
      <c r="BM7" s="180">
        <v>1025676</v>
      </c>
      <c r="BN7" s="180">
        <v>11694750</v>
      </c>
      <c r="BO7" s="180">
        <v>7437922</v>
      </c>
      <c r="BP7" s="180">
        <v>133224832</v>
      </c>
      <c r="BQ7" s="180">
        <v>106689</v>
      </c>
      <c r="BR7" s="180"/>
      <c r="BS7" s="180">
        <v>1090949</v>
      </c>
      <c r="BT7" s="180"/>
      <c r="BU7" s="180">
        <v>8561139</v>
      </c>
      <c r="BV7" s="180">
        <v>15419523</v>
      </c>
      <c r="BW7" s="180">
        <v>3314557</v>
      </c>
      <c r="BX7" s="180">
        <v>13297137</v>
      </c>
      <c r="BY7" s="180">
        <v>4144861</v>
      </c>
      <c r="BZ7" s="180">
        <v>945867</v>
      </c>
      <c r="CA7" s="180">
        <v>7394743</v>
      </c>
      <c r="CB7" s="180">
        <v>853708</v>
      </c>
      <c r="CC7" s="180">
        <v>664805</v>
      </c>
      <c r="CD7" s="180"/>
      <c r="CE7" s="180">
        <v>10518004</v>
      </c>
      <c r="CF7" s="180">
        <v>4701714</v>
      </c>
      <c r="CG7" s="180">
        <v>881441</v>
      </c>
      <c r="CH7" s="180">
        <v>4931750</v>
      </c>
      <c r="CI7" s="180"/>
      <c r="CJ7" s="180"/>
      <c r="CK7" s="180"/>
      <c r="CL7" s="180"/>
      <c r="CM7" s="180"/>
      <c r="CN7" s="180"/>
      <c r="CO7" s="180"/>
      <c r="CP7" s="180"/>
      <c r="CQ7" s="180"/>
      <c r="CR7" s="180"/>
      <c r="CS7" s="180"/>
      <c r="CT7" s="180"/>
      <c r="CU7" s="180"/>
    </row>
    <row r="8" spans="1:99" x14ac:dyDescent="0.3">
      <c r="A8" s="155">
        <v>11</v>
      </c>
      <c r="B8" s="180" t="s">
        <v>194</v>
      </c>
      <c r="C8" s="180"/>
      <c r="D8" s="180">
        <v>0</v>
      </c>
      <c r="E8" s="180">
        <v>0</v>
      </c>
      <c r="F8" s="180">
        <v>57124</v>
      </c>
      <c r="G8" s="180">
        <v>46555</v>
      </c>
      <c r="H8" s="180"/>
      <c r="I8" s="180">
        <v>182258</v>
      </c>
      <c r="J8" s="180">
        <v>99148</v>
      </c>
      <c r="K8" s="180">
        <v>131154</v>
      </c>
      <c r="L8" s="180">
        <v>107230</v>
      </c>
      <c r="M8" s="180">
        <v>602923</v>
      </c>
      <c r="N8" s="180">
        <v>135949</v>
      </c>
      <c r="O8" s="180">
        <v>7845684</v>
      </c>
      <c r="P8" s="180">
        <v>0</v>
      </c>
      <c r="Q8" s="180">
        <v>29003</v>
      </c>
      <c r="R8" s="180">
        <v>0</v>
      </c>
      <c r="S8" s="180">
        <v>3286</v>
      </c>
      <c r="T8" s="180">
        <v>162388</v>
      </c>
      <c r="U8" s="180">
        <v>0</v>
      </c>
      <c r="V8" s="180">
        <v>38666</v>
      </c>
      <c r="W8" s="180">
        <v>100757</v>
      </c>
      <c r="X8" s="180">
        <v>0</v>
      </c>
      <c r="Y8" s="180">
        <v>0</v>
      </c>
      <c r="Z8" s="180">
        <v>329401</v>
      </c>
      <c r="AA8" s="180">
        <v>0</v>
      </c>
      <c r="AB8" s="180">
        <v>373654</v>
      </c>
      <c r="AC8" s="180"/>
      <c r="AD8" s="180">
        <v>7901</v>
      </c>
      <c r="AE8" s="180">
        <v>61050</v>
      </c>
      <c r="AF8" s="180">
        <v>1062068</v>
      </c>
      <c r="AG8" s="180">
        <v>211378</v>
      </c>
      <c r="AH8" s="180">
        <v>64568</v>
      </c>
      <c r="AI8" s="180">
        <v>0</v>
      </c>
      <c r="AJ8" s="180">
        <v>909</v>
      </c>
      <c r="AK8" s="180">
        <v>124889</v>
      </c>
      <c r="AL8" s="180">
        <v>21883</v>
      </c>
      <c r="AM8" s="180"/>
      <c r="AN8" s="180">
        <v>0</v>
      </c>
      <c r="AO8" s="180"/>
      <c r="AP8" s="180">
        <v>0</v>
      </c>
      <c r="AQ8" s="180">
        <v>2348036</v>
      </c>
      <c r="AR8" s="180">
        <v>89652</v>
      </c>
      <c r="AS8" s="180">
        <v>103257</v>
      </c>
      <c r="AT8" s="180">
        <v>271247</v>
      </c>
      <c r="AU8" s="180">
        <v>48497</v>
      </c>
      <c r="AV8" s="570">
        <v>87879</v>
      </c>
      <c r="AW8" s="180">
        <v>696994</v>
      </c>
      <c r="AX8" s="180">
        <v>36751</v>
      </c>
      <c r="AY8" s="180">
        <v>100173</v>
      </c>
      <c r="AZ8" s="180">
        <v>582755</v>
      </c>
      <c r="BA8" s="180">
        <v>83813</v>
      </c>
      <c r="BB8" s="180">
        <v>28729</v>
      </c>
      <c r="BC8" s="180">
        <v>175991</v>
      </c>
      <c r="BD8" s="180">
        <v>20378</v>
      </c>
      <c r="BE8" s="180">
        <v>298095</v>
      </c>
      <c r="BF8" s="180">
        <v>163400</v>
      </c>
      <c r="BG8" s="180">
        <v>13120</v>
      </c>
      <c r="BH8" s="180">
        <v>0</v>
      </c>
      <c r="BI8" s="180">
        <v>201645</v>
      </c>
      <c r="BJ8" s="180">
        <v>0</v>
      </c>
      <c r="BK8" s="180"/>
      <c r="BL8" s="180">
        <v>26817</v>
      </c>
      <c r="BM8" s="180">
        <v>30878</v>
      </c>
      <c r="BN8" s="180">
        <v>0</v>
      </c>
      <c r="BO8" s="180">
        <v>24064</v>
      </c>
      <c r="BP8" s="180">
        <v>0</v>
      </c>
      <c r="BQ8" s="180">
        <v>50725</v>
      </c>
      <c r="BR8" s="180"/>
      <c r="BS8" s="180">
        <v>7508</v>
      </c>
      <c r="BT8" s="180"/>
      <c r="BU8" s="180">
        <v>232322</v>
      </c>
      <c r="BV8" s="180">
        <v>420875</v>
      </c>
      <c r="BW8" s="180">
        <v>93792</v>
      </c>
      <c r="BX8" s="180">
        <v>358876</v>
      </c>
      <c r="BY8" s="180">
        <v>876851</v>
      </c>
      <c r="BZ8" s="180">
        <v>27641</v>
      </c>
      <c r="CA8" s="180">
        <v>0</v>
      </c>
      <c r="CB8" s="180">
        <v>79066</v>
      </c>
      <c r="CC8" s="180">
        <v>203990</v>
      </c>
      <c r="CD8" s="180"/>
      <c r="CE8" s="180">
        <v>506895</v>
      </c>
      <c r="CF8" s="180">
        <v>0</v>
      </c>
      <c r="CG8" s="180">
        <v>134536</v>
      </c>
      <c r="CH8" s="180">
        <v>320059</v>
      </c>
      <c r="CI8" s="180"/>
      <c r="CJ8" s="180"/>
      <c r="CK8" s="180"/>
      <c r="CL8" s="180"/>
      <c r="CM8" s="180"/>
      <c r="CN8" s="180"/>
      <c r="CO8" s="180"/>
      <c r="CP8" s="180"/>
      <c r="CQ8" s="180"/>
      <c r="CR8" s="180"/>
      <c r="CS8" s="180"/>
      <c r="CT8" s="180"/>
      <c r="CU8" s="180"/>
    </row>
    <row r="9" spans="1:99" x14ac:dyDescent="0.3">
      <c r="A9" s="155">
        <v>16</v>
      </c>
      <c r="B9" s="180" t="s">
        <v>197</v>
      </c>
      <c r="C9" s="180"/>
      <c r="D9" s="180">
        <v>1616396</v>
      </c>
      <c r="E9" s="180">
        <v>2156155</v>
      </c>
      <c r="F9" s="180">
        <v>386460</v>
      </c>
      <c r="G9" s="180">
        <v>271178</v>
      </c>
      <c r="H9" s="180"/>
      <c r="I9" s="180">
        <v>9022085</v>
      </c>
      <c r="J9" s="180">
        <v>2785585</v>
      </c>
      <c r="K9" s="180">
        <v>19978407</v>
      </c>
      <c r="L9" s="180">
        <v>4961642</v>
      </c>
      <c r="M9" s="180">
        <v>29077046</v>
      </c>
      <c r="N9" s="180">
        <v>3785902</v>
      </c>
      <c r="O9" s="180">
        <v>228479393</v>
      </c>
      <c r="P9" s="180">
        <v>36249</v>
      </c>
      <c r="Q9" s="180">
        <v>211702</v>
      </c>
      <c r="R9" s="180">
        <v>1388292</v>
      </c>
      <c r="S9" s="180">
        <v>1076615</v>
      </c>
      <c r="T9" s="180">
        <v>1547839</v>
      </c>
      <c r="U9" s="180">
        <v>285187</v>
      </c>
      <c r="V9" s="180">
        <v>237465</v>
      </c>
      <c r="W9" s="180">
        <v>1880406</v>
      </c>
      <c r="X9" s="180">
        <v>77898061</v>
      </c>
      <c r="Y9" s="180">
        <v>812102000</v>
      </c>
      <c r="Z9" s="180">
        <v>6496364</v>
      </c>
      <c r="AA9" s="180">
        <v>407274</v>
      </c>
      <c r="AB9" s="180">
        <v>4956932</v>
      </c>
      <c r="AC9" s="180"/>
      <c r="AD9" s="180">
        <v>4979633</v>
      </c>
      <c r="AE9" s="180">
        <v>943772</v>
      </c>
      <c r="AF9" s="180">
        <v>42140267</v>
      </c>
      <c r="AG9" s="180">
        <v>8683722</v>
      </c>
      <c r="AH9" s="180">
        <v>1441198</v>
      </c>
      <c r="AI9" s="180">
        <v>11814895</v>
      </c>
      <c r="AJ9" s="180">
        <v>1554019</v>
      </c>
      <c r="AK9" s="180">
        <v>1866471</v>
      </c>
      <c r="AL9" s="180">
        <v>505612</v>
      </c>
      <c r="AM9" s="180"/>
      <c r="AN9" s="180">
        <v>630870</v>
      </c>
      <c r="AO9" s="180"/>
      <c r="AP9" s="180">
        <v>32850</v>
      </c>
      <c r="AQ9" s="180">
        <v>124845684</v>
      </c>
      <c r="AR9" s="180">
        <v>157471</v>
      </c>
      <c r="AS9" s="180">
        <v>771731</v>
      </c>
      <c r="AT9" s="180">
        <v>13006895</v>
      </c>
      <c r="AU9" s="180">
        <v>618218</v>
      </c>
      <c r="AV9" s="570">
        <v>616174</v>
      </c>
      <c r="AW9" s="180">
        <v>33948840</v>
      </c>
      <c r="AX9" s="180">
        <v>230121</v>
      </c>
      <c r="AY9" s="180">
        <v>7158596</v>
      </c>
      <c r="AZ9" s="180">
        <v>5322817</v>
      </c>
      <c r="BA9" s="180">
        <v>209536</v>
      </c>
      <c r="BB9" s="180">
        <v>229142</v>
      </c>
      <c r="BC9" s="180">
        <v>3938498</v>
      </c>
      <c r="BD9" s="180">
        <v>114423</v>
      </c>
      <c r="BE9" s="180">
        <v>18213852</v>
      </c>
      <c r="BF9" s="180">
        <v>2008998</v>
      </c>
      <c r="BG9" s="180">
        <v>256663</v>
      </c>
      <c r="BH9" s="180">
        <v>406294</v>
      </c>
      <c r="BI9" s="180">
        <v>2329484</v>
      </c>
      <c r="BJ9" s="180">
        <v>470454</v>
      </c>
      <c r="BK9" s="180"/>
      <c r="BL9" s="180">
        <v>2589404</v>
      </c>
      <c r="BM9" s="180">
        <v>463420</v>
      </c>
      <c r="BN9" s="180">
        <v>14141217</v>
      </c>
      <c r="BO9" s="180">
        <v>13973183</v>
      </c>
      <c r="BP9" s="180">
        <v>261479460</v>
      </c>
      <c r="BQ9" s="180">
        <v>54027</v>
      </c>
      <c r="BR9" s="180"/>
      <c r="BS9" s="180">
        <v>453324</v>
      </c>
      <c r="BT9" s="180"/>
      <c r="BU9" s="180">
        <v>2285208</v>
      </c>
      <c r="BV9" s="180">
        <v>19200004</v>
      </c>
      <c r="BW9" s="180">
        <v>7295102</v>
      </c>
      <c r="BX9" s="180">
        <v>26423063</v>
      </c>
      <c r="BY9" s="180">
        <v>5657496</v>
      </c>
      <c r="BZ9" s="180">
        <v>510414</v>
      </c>
      <c r="CA9" s="180">
        <v>8508886</v>
      </c>
      <c r="CB9" s="180">
        <v>222923</v>
      </c>
      <c r="CC9" s="180">
        <v>921466</v>
      </c>
      <c r="CD9" s="180"/>
      <c r="CE9" s="180">
        <v>9329305</v>
      </c>
      <c r="CF9" s="180">
        <v>12737621</v>
      </c>
      <c r="CG9" s="180">
        <v>1690018</v>
      </c>
      <c r="CH9" s="180">
        <v>4382568</v>
      </c>
      <c r="CI9" s="180"/>
      <c r="CJ9" s="180"/>
      <c r="CK9" s="180"/>
      <c r="CL9" s="180"/>
      <c r="CM9" s="180"/>
      <c r="CN9" s="180"/>
      <c r="CO9" s="180"/>
      <c r="CP9" s="180"/>
      <c r="CQ9" s="180"/>
      <c r="CR9" s="180"/>
      <c r="CS9" s="180"/>
      <c r="CT9" s="180"/>
      <c r="CU9" s="180"/>
    </row>
    <row r="10" spans="1:99" x14ac:dyDescent="0.3">
      <c r="A10" s="155">
        <v>17</v>
      </c>
      <c r="B10" s="180" t="s">
        <v>200</v>
      </c>
      <c r="C10" s="180"/>
      <c r="D10" s="180">
        <v>0</v>
      </c>
      <c r="E10" s="180">
        <v>501402</v>
      </c>
      <c r="F10" s="180">
        <v>113308</v>
      </c>
      <c r="G10" s="180">
        <v>3500</v>
      </c>
      <c r="H10" s="180"/>
      <c r="I10" s="180">
        <v>0</v>
      </c>
      <c r="J10" s="180">
        <v>0</v>
      </c>
      <c r="K10" s="180">
        <v>617102</v>
      </c>
      <c r="L10" s="180">
        <v>0</v>
      </c>
      <c r="M10" s="180">
        <v>0</v>
      </c>
      <c r="N10" s="180">
        <v>0</v>
      </c>
      <c r="O10" s="180">
        <v>9807577</v>
      </c>
      <c r="P10" s="180">
        <v>0</v>
      </c>
      <c r="Q10" s="180">
        <v>43024</v>
      </c>
      <c r="R10" s="180">
        <v>240322</v>
      </c>
      <c r="S10" s="180">
        <v>205234</v>
      </c>
      <c r="T10" s="180">
        <v>0</v>
      </c>
      <c r="U10" s="180">
        <v>0</v>
      </c>
      <c r="V10" s="180">
        <v>0</v>
      </c>
      <c r="W10" s="180">
        <v>469707</v>
      </c>
      <c r="X10" s="180">
        <v>45000</v>
      </c>
      <c r="Y10" s="180">
        <v>392000</v>
      </c>
      <c r="Z10" s="180">
        <v>0</v>
      </c>
      <c r="AA10" s="180">
        <v>0</v>
      </c>
      <c r="AB10" s="180">
        <v>1286593</v>
      </c>
      <c r="AC10" s="180"/>
      <c r="AD10" s="180">
        <v>483885</v>
      </c>
      <c r="AE10" s="180">
        <v>0</v>
      </c>
      <c r="AF10" s="180">
        <v>4386423</v>
      </c>
      <c r="AG10" s="180">
        <v>1711354</v>
      </c>
      <c r="AH10" s="180">
        <v>138952</v>
      </c>
      <c r="AI10" s="180">
        <v>0</v>
      </c>
      <c r="AJ10" s="180">
        <v>0</v>
      </c>
      <c r="AK10" s="180">
        <v>0</v>
      </c>
      <c r="AL10" s="180">
        <v>0</v>
      </c>
      <c r="AM10" s="180"/>
      <c r="AN10" s="180">
        <v>0</v>
      </c>
      <c r="AO10" s="180"/>
      <c r="AP10" s="180">
        <v>0</v>
      </c>
      <c r="AQ10" s="180">
        <v>19898242</v>
      </c>
      <c r="AR10" s="180">
        <v>68908</v>
      </c>
      <c r="AS10" s="180">
        <v>0</v>
      </c>
      <c r="AT10" s="180">
        <v>1454838</v>
      </c>
      <c r="AU10" s="180">
        <v>0</v>
      </c>
      <c r="AV10" s="570">
        <v>313841</v>
      </c>
      <c r="AW10" s="180">
        <v>4821414</v>
      </c>
      <c r="AX10" s="180">
        <v>61827</v>
      </c>
      <c r="AY10" s="180">
        <v>710376</v>
      </c>
      <c r="AZ10" s="180">
        <v>0</v>
      </c>
      <c r="BA10" s="180">
        <v>0</v>
      </c>
      <c r="BB10" s="180">
        <v>19058</v>
      </c>
      <c r="BC10" s="180">
        <v>735733</v>
      </c>
      <c r="BD10" s="180">
        <v>0</v>
      </c>
      <c r="BE10" s="180">
        <v>4048039</v>
      </c>
      <c r="BF10" s="180">
        <v>275966</v>
      </c>
      <c r="BG10" s="180">
        <v>0</v>
      </c>
      <c r="BH10" s="180">
        <v>172132</v>
      </c>
      <c r="BI10" s="180">
        <v>140475</v>
      </c>
      <c r="BJ10" s="180">
        <v>70086</v>
      </c>
      <c r="BK10" s="180"/>
      <c r="BL10" s="180">
        <v>0</v>
      </c>
      <c r="BM10" s="180">
        <v>0</v>
      </c>
      <c r="BN10" s="180">
        <v>0</v>
      </c>
      <c r="BO10" s="180">
        <v>0</v>
      </c>
      <c r="BP10" s="180">
        <v>160000</v>
      </c>
      <c r="BQ10" s="180">
        <v>37595</v>
      </c>
      <c r="BR10" s="180"/>
      <c r="BS10" s="180">
        <v>97874</v>
      </c>
      <c r="BT10" s="180"/>
      <c r="BU10" s="180">
        <v>0</v>
      </c>
      <c r="BV10" s="180">
        <v>624255</v>
      </c>
      <c r="BW10" s="180">
        <v>704188</v>
      </c>
      <c r="BX10" s="180">
        <v>1183074</v>
      </c>
      <c r="BY10" s="180">
        <v>0</v>
      </c>
      <c r="BZ10" s="180">
        <v>35375</v>
      </c>
      <c r="CA10" s="180">
        <v>655815</v>
      </c>
      <c r="CB10" s="180">
        <v>0</v>
      </c>
      <c r="CC10" s="180">
        <v>0</v>
      </c>
      <c r="CD10" s="180"/>
      <c r="CE10" s="180">
        <v>0</v>
      </c>
      <c r="CF10" s="180">
        <v>55258</v>
      </c>
      <c r="CG10" s="180">
        <v>0</v>
      </c>
      <c r="CH10" s="180">
        <v>0</v>
      </c>
      <c r="CI10" s="180"/>
      <c r="CJ10" s="180"/>
      <c r="CK10" s="180"/>
      <c r="CL10" s="180"/>
      <c r="CM10" s="180"/>
      <c r="CN10" s="180"/>
      <c r="CO10" s="180"/>
      <c r="CP10" s="180"/>
      <c r="CQ10" s="180"/>
      <c r="CR10" s="180"/>
      <c r="CS10" s="180"/>
      <c r="CT10" s="180"/>
      <c r="CU10" s="180"/>
    </row>
    <row r="11" spans="1:99" x14ac:dyDescent="0.3">
      <c r="A11" s="155">
        <v>20</v>
      </c>
      <c r="B11" s="180" t="s">
        <v>201</v>
      </c>
      <c r="C11" s="180"/>
      <c r="D11" s="180">
        <v>605267</v>
      </c>
      <c r="E11" s="180">
        <v>229522</v>
      </c>
      <c r="F11" s="180">
        <v>0</v>
      </c>
      <c r="G11" s="180">
        <v>0</v>
      </c>
      <c r="H11" s="180"/>
      <c r="I11" s="180">
        <v>0</v>
      </c>
      <c r="J11" s="180">
        <v>971038</v>
      </c>
      <c r="K11" s="180">
        <v>357633</v>
      </c>
      <c r="L11" s="180">
        <v>0</v>
      </c>
      <c r="M11" s="180">
        <v>90000</v>
      </c>
      <c r="N11" s="180">
        <v>0</v>
      </c>
      <c r="O11" s="180">
        <v>26742074</v>
      </c>
      <c r="P11" s="180">
        <v>0</v>
      </c>
      <c r="Q11" s="180">
        <v>0</v>
      </c>
      <c r="R11" s="180">
        <v>13500</v>
      </c>
      <c r="S11" s="180">
        <v>0</v>
      </c>
      <c r="T11" s="180">
        <v>0</v>
      </c>
      <c r="U11" s="180">
        <v>0</v>
      </c>
      <c r="V11" s="180">
        <v>22448</v>
      </c>
      <c r="W11" s="180">
        <v>0</v>
      </c>
      <c r="X11" s="180">
        <v>5495569</v>
      </c>
      <c r="Y11" s="180">
        <v>38737000</v>
      </c>
      <c r="Z11" s="180">
        <v>0</v>
      </c>
      <c r="AA11" s="180">
        <v>0</v>
      </c>
      <c r="AB11" s="180">
        <v>0</v>
      </c>
      <c r="AC11" s="180"/>
      <c r="AD11" s="180">
        <v>380820</v>
      </c>
      <c r="AE11" s="180">
        <v>0</v>
      </c>
      <c r="AF11" s="180">
        <v>0</v>
      </c>
      <c r="AG11" s="180">
        <v>182336</v>
      </c>
      <c r="AH11" s="180">
        <v>0</v>
      </c>
      <c r="AI11" s="180">
        <v>82600</v>
      </c>
      <c r="AJ11" s="180">
        <v>0</v>
      </c>
      <c r="AK11" s="180">
        <v>0</v>
      </c>
      <c r="AL11" s="180">
        <v>79855</v>
      </c>
      <c r="AM11" s="180"/>
      <c r="AN11" s="180">
        <v>0</v>
      </c>
      <c r="AO11" s="180"/>
      <c r="AP11" s="180">
        <v>0</v>
      </c>
      <c r="AQ11" s="180">
        <v>35345980</v>
      </c>
      <c r="AR11" s="180">
        <v>0</v>
      </c>
      <c r="AS11" s="180">
        <v>0</v>
      </c>
      <c r="AT11" s="180">
        <v>1979029</v>
      </c>
      <c r="AU11" s="180">
        <v>0</v>
      </c>
      <c r="AV11" s="570">
        <v>0</v>
      </c>
      <c r="AW11" s="180">
        <v>4960010</v>
      </c>
      <c r="AX11" s="180">
        <v>0</v>
      </c>
      <c r="AY11" s="180">
        <v>271696</v>
      </c>
      <c r="AZ11" s="180">
        <v>96959</v>
      </c>
      <c r="BA11" s="180">
        <v>0</v>
      </c>
      <c r="BB11" s="180">
        <v>0</v>
      </c>
      <c r="BC11" s="180">
        <v>117237</v>
      </c>
      <c r="BD11" s="180">
        <v>0</v>
      </c>
      <c r="BE11" s="180">
        <v>450000</v>
      </c>
      <c r="BF11" s="180">
        <v>0</v>
      </c>
      <c r="BG11" s="180">
        <v>0</v>
      </c>
      <c r="BH11" s="180">
        <v>0</v>
      </c>
      <c r="BI11" s="180">
        <v>0</v>
      </c>
      <c r="BJ11" s="180">
        <v>0</v>
      </c>
      <c r="BK11" s="180"/>
      <c r="BL11" s="180">
        <v>0</v>
      </c>
      <c r="BM11" s="180">
        <v>0</v>
      </c>
      <c r="BN11" s="180">
        <v>0</v>
      </c>
      <c r="BO11" s="180">
        <v>691531</v>
      </c>
      <c r="BP11" s="180">
        <v>14914986</v>
      </c>
      <c r="BQ11" s="180">
        <v>0</v>
      </c>
      <c r="BR11" s="180"/>
      <c r="BS11" s="180">
        <v>0</v>
      </c>
      <c r="BT11" s="180"/>
      <c r="BU11" s="180">
        <v>0</v>
      </c>
      <c r="BV11" s="180">
        <v>300000</v>
      </c>
      <c r="BW11" s="180">
        <v>969500</v>
      </c>
      <c r="BX11" s="180">
        <v>0</v>
      </c>
      <c r="BY11" s="180">
        <v>65970</v>
      </c>
      <c r="BZ11" s="180">
        <v>0</v>
      </c>
      <c r="CA11" s="180">
        <v>655815</v>
      </c>
      <c r="CB11" s="180">
        <v>0</v>
      </c>
      <c r="CC11" s="180">
        <v>0</v>
      </c>
      <c r="CD11" s="180"/>
      <c r="CE11" s="180">
        <v>0</v>
      </c>
      <c r="CF11" s="180">
        <v>356830</v>
      </c>
      <c r="CG11" s="180">
        <v>0</v>
      </c>
      <c r="CH11" s="180">
        <v>0</v>
      </c>
      <c r="CI11" s="180"/>
      <c r="CJ11" s="180"/>
      <c r="CK11" s="180"/>
      <c r="CL11" s="180"/>
      <c r="CM11" s="180"/>
      <c r="CN11" s="180"/>
      <c r="CO11" s="180"/>
      <c r="CP11" s="180"/>
      <c r="CQ11" s="180"/>
      <c r="CR11" s="180"/>
      <c r="CS11" s="180"/>
      <c r="CT11" s="180"/>
      <c r="CU11" s="180"/>
    </row>
    <row r="12" spans="1:99" x14ac:dyDescent="0.3">
      <c r="A12" s="155">
        <v>22</v>
      </c>
      <c r="B12" s="180" t="s">
        <v>203</v>
      </c>
      <c r="C12" s="180"/>
      <c r="D12" s="180">
        <v>0</v>
      </c>
      <c r="E12" s="180">
        <v>0</v>
      </c>
      <c r="F12" s="180">
        <v>0</v>
      </c>
      <c r="G12" s="180">
        <v>0</v>
      </c>
      <c r="H12" s="180"/>
      <c r="I12" s="180">
        <v>3241213</v>
      </c>
      <c r="J12" s="180">
        <v>20210</v>
      </c>
      <c r="K12" s="180">
        <v>128206</v>
      </c>
      <c r="L12" s="180">
        <v>29263</v>
      </c>
      <c r="M12" s="180">
        <v>41728</v>
      </c>
      <c r="N12" s="180">
        <v>0</v>
      </c>
      <c r="O12" s="180">
        <v>9323815</v>
      </c>
      <c r="P12" s="180">
        <v>0</v>
      </c>
      <c r="Q12" s="180">
        <v>0</v>
      </c>
      <c r="R12" s="180">
        <v>-8380</v>
      </c>
      <c r="S12" s="180">
        <v>0</v>
      </c>
      <c r="T12" s="180">
        <v>0</v>
      </c>
      <c r="U12" s="180">
        <v>0</v>
      </c>
      <c r="V12" s="180">
        <v>0</v>
      </c>
      <c r="W12" s="180">
        <v>0</v>
      </c>
      <c r="X12" s="180">
        <v>432974</v>
      </c>
      <c r="Y12" s="180">
        <v>54197000</v>
      </c>
      <c r="Z12" s="180">
        <v>0</v>
      </c>
      <c r="AA12" s="180">
        <v>0</v>
      </c>
      <c r="AB12" s="180">
        <v>187045</v>
      </c>
      <c r="AC12" s="180"/>
      <c r="AD12" s="180">
        <v>0</v>
      </c>
      <c r="AE12" s="180">
        <v>0</v>
      </c>
      <c r="AF12" s="180">
        <v>0</v>
      </c>
      <c r="AG12" s="180">
        <v>0</v>
      </c>
      <c r="AH12" s="180">
        <v>0</v>
      </c>
      <c r="AI12" s="180">
        <v>42625</v>
      </c>
      <c r="AJ12" s="180">
        <v>-18696</v>
      </c>
      <c r="AK12" s="180">
        <v>0</v>
      </c>
      <c r="AL12" s="180">
        <v>0</v>
      </c>
      <c r="AM12" s="180"/>
      <c r="AN12" s="180">
        <v>0</v>
      </c>
      <c r="AO12" s="180"/>
      <c r="AP12" s="180">
        <v>0</v>
      </c>
      <c r="AQ12" s="180">
        <v>255834</v>
      </c>
      <c r="AR12" s="180">
        <v>0</v>
      </c>
      <c r="AS12" s="180">
        <v>0</v>
      </c>
      <c r="AT12" s="180">
        <v>0</v>
      </c>
      <c r="AU12" s="180">
        <v>20825</v>
      </c>
      <c r="AV12" s="570">
        <v>-309085</v>
      </c>
      <c r="AW12" s="180">
        <v>0</v>
      </c>
      <c r="AX12" s="180">
        <v>0</v>
      </c>
      <c r="AY12" s="180">
        <v>0</v>
      </c>
      <c r="AZ12" s="180">
        <v>388521</v>
      </c>
      <c r="BA12" s="180">
        <v>0</v>
      </c>
      <c r="BB12" s="180">
        <v>0</v>
      </c>
      <c r="BC12" s="180">
        <v>1447</v>
      </c>
      <c r="BD12" s="180">
        <v>0</v>
      </c>
      <c r="BE12" s="180">
        <v>2853</v>
      </c>
      <c r="BF12" s="180">
        <v>0</v>
      </c>
      <c r="BG12" s="180">
        <v>0</v>
      </c>
      <c r="BH12" s="180">
        <v>20000</v>
      </c>
      <c r="BI12" s="180">
        <v>500</v>
      </c>
      <c r="BJ12" s="180">
        <v>0</v>
      </c>
      <c r="BK12" s="180"/>
      <c r="BL12" s="180">
        <v>0</v>
      </c>
      <c r="BM12" s="180">
        <v>0</v>
      </c>
      <c r="BN12" s="180">
        <v>0</v>
      </c>
      <c r="BO12" s="180">
        <v>65048</v>
      </c>
      <c r="BP12" s="180">
        <v>1794223</v>
      </c>
      <c r="BQ12" s="180">
        <v>0</v>
      </c>
      <c r="BR12" s="180"/>
      <c r="BS12" s="180">
        <v>0</v>
      </c>
      <c r="BT12" s="180"/>
      <c r="BU12" s="180">
        <v>1202620</v>
      </c>
      <c r="BV12" s="180">
        <v>0</v>
      </c>
      <c r="BW12" s="180">
        <v>17866</v>
      </c>
      <c r="BX12" s="180">
        <v>143866</v>
      </c>
      <c r="BY12" s="180">
        <v>0</v>
      </c>
      <c r="BZ12" s="180">
        <v>0</v>
      </c>
      <c r="CA12" s="180">
        <v>0</v>
      </c>
      <c r="CB12" s="180">
        <v>0</v>
      </c>
      <c r="CC12" s="180">
        <v>0</v>
      </c>
      <c r="CD12" s="180"/>
      <c r="CE12" s="180">
        <v>2585</v>
      </c>
      <c r="CF12" s="180">
        <v>0</v>
      </c>
      <c r="CG12" s="180">
        <v>0</v>
      </c>
      <c r="CH12" s="180">
        <v>0</v>
      </c>
      <c r="CI12" s="180"/>
      <c r="CJ12" s="180"/>
      <c r="CK12" s="180"/>
      <c r="CL12" s="180"/>
      <c r="CM12" s="180"/>
      <c r="CN12" s="180"/>
      <c r="CO12" s="180"/>
      <c r="CP12" s="180"/>
      <c r="CQ12" s="180"/>
      <c r="CR12" s="180"/>
      <c r="CS12" s="180"/>
      <c r="CT12" s="180"/>
      <c r="CU12" s="180"/>
    </row>
    <row r="13" spans="1:99" x14ac:dyDescent="0.3">
      <c r="A13" s="155">
        <v>23</v>
      </c>
      <c r="B13" s="180" t="s">
        <v>206</v>
      </c>
      <c r="C13" s="180"/>
      <c r="D13" s="180">
        <v>377149</v>
      </c>
      <c r="E13" s="180">
        <v>862981</v>
      </c>
      <c r="F13" s="180">
        <v>120593</v>
      </c>
      <c r="G13" s="180">
        <v>-7090</v>
      </c>
      <c r="H13" s="180"/>
      <c r="I13" s="180">
        <v>2057743</v>
      </c>
      <c r="J13" s="180">
        <v>-41344</v>
      </c>
      <c r="K13" s="180">
        <v>2891094</v>
      </c>
      <c r="L13" s="180">
        <v>2166196</v>
      </c>
      <c r="M13" s="180">
        <v>3945170</v>
      </c>
      <c r="N13" s="180">
        <v>370307</v>
      </c>
      <c r="O13" s="180">
        <v>-39299025</v>
      </c>
      <c r="P13" s="180">
        <v>-3058</v>
      </c>
      <c r="Q13" s="180">
        <v>60384</v>
      </c>
      <c r="R13" s="180">
        <v>184236</v>
      </c>
      <c r="S13" s="180">
        <v>87818</v>
      </c>
      <c r="T13" s="180">
        <v>67792</v>
      </c>
      <c r="U13" s="180">
        <v>121903</v>
      </c>
      <c r="V13" s="180">
        <v>61320</v>
      </c>
      <c r="W13" s="180">
        <v>404705</v>
      </c>
      <c r="X13" s="180">
        <v>-471189</v>
      </c>
      <c r="Y13" s="180">
        <v>24640000</v>
      </c>
      <c r="Z13" s="180">
        <v>-1265984</v>
      </c>
      <c r="AA13" s="180">
        <v>125837</v>
      </c>
      <c r="AB13" s="180">
        <v>1522911</v>
      </c>
      <c r="AC13" s="180"/>
      <c r="AD13" s="180">
        <v>739289</v>
      </c>
      <c r="AE13" s="180">
        <v>222586</v>
      </c>
      <c r="AF13" s="180">
        <v>9274373</v>
      </c>
      <c r="AG13" s="180">
        <v>3408674</v>
      </c>
      <c r="AH13" s="180">
        <v>108197</v>
      </c>
      <c r="AI13" s="180">
        <v>810676</v>
      </c>
      <c r="AJ13" s="180">
        <v>170202</v>
      </c>
      <c r="AK13" s="180">
        <v>133166</v>
      </c>
      <c r="AL13" s="180">
        <v>-41972</v>
      </c>
      <c r="AM13" s="180"/>
      <c r="AN13" s="180">
        <v>17630</v>
      </c>
      <c r="AO13" s="180"/>
      <c r="AP13" s="180">
        <v>7083</v>
      </c>
      <c r="AQ13" s="180">
        <v>3211568</v>
      </c>
      <c r="AR13" s="180">
        <v>22423</v>
      </c>
      <c r="AS13" s="180">
        <v>231112</v>
      </c>
      <c r="AT13" s="180">
        <v>1316231</v>
      </c>
      <c r="AU13" s="180">
        <v>-120492</v>
      </c>
      <c r="AV13" s="570">
        <v>79141</v>
      </c>
      <c r="AW13" s="180">
        <v>6948153</v>
      </c>
      <c r="AX13" s="180">
        <v>30792</v>
      </c>
      <c r="AY13" s="180">
        <v>-973275</v>
      </c>
      <c r="AZ13" s="180">
        <v>1063239</v>
      </c>
      <c r="BA13" s="180">
        <v>45000</v>
      </c>
      <c r="BB13" s="180">
        <v>119203</v>
      </c>
      <c r="BC13" s="180">
        <v>167322</v>
      </c>
      <c r="BD13" s="180">
        <v>54990</v>
      </c>
      <c r="BE13" s="180">
        <v>4198408</v>
      </c>
      <c r="BF13" s="180">
        <v>616786</v>
      </c>
      <c r="BG13" s="180">
        <v>65976</v>
      </c>
      <c r="BH13" s="180">
        <v>39478</v>
      </c>
      <c r="BI13" s="180">
        <v>234528</v>
      </c>
      <c r="BJ13" s="180">
        <v>295970</v>
      </c>
      <c r="BK13" s="180"/>
      <c r="BL13" s="180">
        <v>70655</v>
      </c>
      <c r="BM13" s="180">
        <v>-60560</v>
      </c>
      <c r="BN13" s="180">
        <v>-3321637</v>
      </c>
      <c r="BO13" s="180">
        <v>847442</v>
      </c>
      <c r="BP13" s="180">
        <v>9933946</v>
      </c>
      <c r="BQ13" s="180">
        <v>-3611</v>
      </c>
      <c r="BR13" s="180"/>
      <c r="BS13" s="180">
        <v>165344</v>
      </c>
      <c r="BT13" s="180"/>
      <c r="BU13" s="180">
        <v>1234917</v>
      </c>
      <c r="BV13" s="180">
        <v>3041418</v>
      </c>
      <c r="BW13" s="180">
        <v>-243125</v>
      </c>
      <c r="BX13" s="180">
        <v>5440674</v>
      </c>
      <c r="BY13" s="180">
        <v>1488760</v>
      </c>
      <c r="BZ13" s="180">
        <v>190260</v>
      </c>
      <c r="CA13" s="180">
        <v>1005637</v>
      </c>
      <c r="CB13" s="180">
        <v>-95481</v>
      </c>
      <c r="CC13" s="180">
        <v>83897</v>
      </c>
      <c r="CD13" s="180"/>
      <c r="CE13" s="180">
        <v>830962</v>
      </c>
      <c r="CF13" s="180">
        <v>734647</v>
      </c>
      <c r="CG13" s="180">
        <v>364488</v>
      </c>
      <c r="CH13" s="180">
        <v>998505</v>
      </c>
      <c r="CI13" s="180"/>
      <c r="CJ13" s="180"/>
      <c r="CK13" s="180"/>
      <c r="CL13" s="180"/>
      <c r="CM13" s="180"/>
      <c r="CN13" s="180"/>
      <c r="CO13" s="180"/>
      <c r="CP13" s="180"/>
      <c r="CQ13" s="180"/>
      <c r="CR13" s="180"/>
      <c r="CS13" s="180"/>
      <c r="CT13" s="180"/>
      <c r="CU13" s="180"/>
    </row>
    <row r="14" spans="1:99" s="557" customFormat="1" x14ac:dyDescent="0.3">
      <c r="A14" s="556">
        <v>44</v>
      </c>
      <c r="B14" s="557" t="s">
        <v>878</v>
      </c>
      <c r="D14" s="557">
        <v>793836</v>
      </c>
      <c r="E14" s="557">
        <v>0</v>
      </c>
      <c r="F14" s="557">
        <v>1309461</v>
      </c>
      <c r="G14" s="557">
        <v>190370</v>
      </c>
      <c r="I14" s="557">
        <v>5678178</v>
      </c>
      <c r="J14" s="557">
        <v>0</v>
      </c>
      <c r="K14" s="557">
        <v>6726831</v>
      </c>
      <c r="L14" s="557">
        <v>0</v>
      </c>
      <c r="M14" s="557">
        <v>0</v>
      </c>
      <c r="N14" s="557">
        <v>2563009</v>
      </c>
      <c r="O14" s="557">
        <v>274435241</v>
      </c>
      <c r="P14" s="557">
        <v>0</v>
      </c>
      <c r="Q14" s="557">
        <v>0</v>
      </c>
      <c r="R14" s="557">
        <v>0</v>
      </c>
      <c r="S14" s="557">
        <v>0</v>
      </c>
      <c r="T14" s="557">
        <v>0</v>
      </c>
      <c r="U14" s="557">
        <v>0</v>
      </c>
      <c r="V14" s="557">
        <v>191935</v>
      </c>
      <c r="W14" s="557">
        <v>2286736</v>
      </c>
      <c r="X14" s="557">
        <v>0</v>
      </c>
      <c r="Y14" s="557">
        <v>418740000</v>
      </c>
      <c r="Z14" s="557">
        <v>1376459</v>
      </c>
      <c r="AA14" s="557">
        <v>294401</v>
      </c>
      <c r="AB14" s="557">
        <v>0</v>
      </c>
      <c r="AD14" s="557">
        <v>4824918</v>
      </c>
      <c r="AE14" s="557">
        <v>954193</v>
      </c>
      <c r="AF14" s="557">
        <v>39019854</v>
      </c>
      <c r="AG14" s="557">
        <v>0</v>
      </c>
      <c r="AH14" s="557">
        <v>2524102</v>
      </c>
      <c r="AI14" s="557">
        <v>7124658</v>
      </c>
      <c r="AJ14" s="557">
        <v>1395882</v>
      </c>
      <c r="AK14" s="557">
        <v>1554758</v>
      </c>
      <c r="AL14" s="557">
        <v>588667</v>
      </c>
      <c r="AN14" s="557">
        <v>3094511</v>
      </c>
      <c r="AP14" s="557">
        <v>0</v>
      </c>
      <c r="AQ14" s="557">
        <v>106956937</v>
      </c>
      <c r="AR14" s="557">
        <v>0</v>
      </c>
      <c r="AS14" s="557">
        <v>70273</v>
      </c>
      <c r="AT14" s="557">
        <v>12141384</v>
      </c>
      <c r="AU14" s="557">
        <v>1334619</v>
      </c>
      <c r="AV14" s="1037">
        <v>0</v>
      </c>
      <c r="AW14" s="557">
        <v>0</v>
      </c>
      <c r="AX14" s="557">
        <v>115406</v>
      </c>
      <c r="AY14" s="557">
        <v>0</v>
      </c>
      <c r="AZ14" s="557">
        <v>0</v>
      </c>
      <c r="BA14" s="557">
        <v>420027</v>
      </c>
      <c r="BB14" s="557">
        <v>72236</v>
      </c>
      <c r="BC14" s="557">
        <v>3668579</v>
      </c>
      <c r="BD14" s="557">
        <v>0</v>
      </c>
      <c r="BE14" s="557">
        <v>0</v>
      </c>
      <c r="BF14" s="557">
        <v>1349696</v>
      </c>
      <c r="BG14" s="557">
        <v>0</v>
      </c>
      <c r="BH14" s="557">
        <v>0</v>
      </c>
      <c r="BI14" s="557">
        <v>1538415</v>
      </c>
      <c r="BJ14" s="557">
        <v>0</v>
      </c>
      <c r="BL14" s="557">
        <v>780310</v>
      </c>
      <c r="BM14" s="557">
        <v>493681</v>
      </c>
      <c r="BN14" s="557">
        <v>0</v>
      </c>
      <c r="BO14" s="557">
        <v>5867605</v>
      </c>
      <c r="BP14" s="557">
        <v>116007208</v>
      </c>
      <c r="BQ14" s="557">
        <v>0</v>
      </c>
      <c r="BS14" s="557">
        <v>599772</v>
      </c>
      <c r="BU14" s="557">
        <v>0</v>
      </c>
      <c r="BV14" s="557">
        <v>7213320</v>
      </c>
      <c r="BW14" s="557">
        <v>1163322</v>
      </c>
      <c r="BX14" s="557">
        <v>11793546</v>
      </c>
      <c r="BY14" s="557">
        <v>3372543</v>
      </c>
      <c r="BZ14" s="557">
        <v>245340</v>
      </c>
      <c r="CA14" s="557">
        <v>3697621</v>
      </c>
      <c r="CB14" s="557">
        <v>1236206</v>
      </c>
      <c r="CC14" s="557">
        <v>228412</v>
      </c>
      <c r="CE14" s="557">
        <v>6891164</v>
      </c>
      <c r="CF14" s="557">
        <v>0</v>
      </c>
      <c r="CG14" s="557">
        <v>1165820</v>
      </c>
      <c r="CH14" s="557">
        <v>0</v>
      </c>
    </row>
    <row r="15" spans="1:99" s="557" customFormat="1" x14ac:dyDescent="0.3">
      <c r="A15" s="556">
        <v>45</v>
      </c>
      <c r="B15" s="557" t="s">
        <v>879</v>
      </c>
      <c r="D15" s="557">
        <v>3053</v>
      </c>
      <c r="E15" s="557">
        <v>0</v>
      </c>
      <c r="F15" s="557">
        <v>8123</v>
      </c>
      <c r="G15" s="557">
        <v>19961</v>
      </c>
      <c r="I15" s="557">
        <v>354215</v>
      </c>
      <c r="J15" s="557">
        <v>0</v>
      </c>
      <c r="K15" s="557">
        <v>2945726</v>
      </c>
      <c r="L15" s="557">
        <v>0</v>
      </c>
      <c r="M15" s="557">
        <v>0</v>
      </c>
      <c r="N15" s="557">
        <v>854392</v>
      </c>
      <c r="O15" s="557">
        <v>18216872</v>
      </c>
      <c r="P15" s="557">
        <v>0</v>
      </c>
      <c r="Q15" s="557">
        <v>0</v>
      </c>
      <c r="R15" s="557">
        <v>0</v>
      </c>
      <c r="S15" s="557">
        <v>0</v>
      </c>
      <c r="T15" s="557">
        <v>0</v>
      </c>
      <c r="U15" s="557">
        <v>0</v>
      </c>
      <c r="V15" s="557">
        <v>4646</v>
      </c>
      <c r="W15" s="557">
        <v>238984</v>
      </c>
      <c r="X15" s="557">
        <v>0</v>
      </c>
      <c r="Y15" s="557">
        <v>340146000</v>
      </c>
      <c r="Z15" s="557">
        <v>230464</v>
      </c>
      <c r="AA15" s="557">
        <v>175</v>
      </c>
      <c r="AB15" s="557">
        <v>0</v>
      </c>
      <c r="AD15" s="557">
        <v>107902</v>
      </c>
      <c r="AE15" s="557">
        <v>46350</v>
      </c>
      <c r="AF15" s="557">
        <v>11060021</v>
      </c>
      <c r="AG15" s="557">
        <v>0</v>
      </c>
      <c r="AH15" s="557">
        <v>11517</v>
      </c>
      <c r="AI15" s="557">
        <v>405715</v>
      </c>
      <c r="AJ15" s="557">
        <v>89179</v>
      </c>
      <c r="AK15" s="557">
        <v>52633</v>
      </c>
      <c r="AL15" s="557">
        <v>204450</v>
      </c>
      <c r="AN15" s="557">
        <v>94762</v>
      </c>
      <c r="AP15" s="557">
        <v>0</v>
      </c>
      <c r="AQ15" s="557">
        <v>3691719</v>
      </c>
      <c r="AR15" s="557">
        <v>0</v>
      </c>
      <c r="AS15" s="557">
        <v>11500</v>
      </c>
      <c r="AT15" s="557">
        <v>777490</v>
      </c>
      <c r="AU15" s="557">
        <v>86692</v>
      </c>
      <c r="AV15" s="1037">
        <v>0</v>
      </c>
      <c r="AW15" s="557">
        <v>0</v>
      </c>
      <c r="AX15" s="557">
        <v>13942</v>
      </c>
      <c r="AY15" s="557">
        <v>0</v>
      </c>
      <c r="AZ15" s="557">
        <v>0</v>
      </c>
      <c r="BA15" s="557">
        <v>15068</v>
      </c>
      <c r="BB15" s="557">
        <v>1261</v>
      </c>
      <c r="BC15" s="557">
        <v>476053</v>
      </c>
      <c r="BD15" s="557">
        <v>0</v>
      </c>
      <c r="BE15" s="557">
        <v>0</v>
      </c>
      <c r="BF15" s="557">
        <v>218031</v>
      </c>
      <c r="BG15" s="557">
        <v>0</v>
      </c>
      <c r="BH15" s="557">
        <v>0</v>
      </c>
      <c r="BI15" s="557">
        <v>121388</v>
      </c>
      <c r="BJ15" s="557">
        <v>0</v>
      </c>
      <c r="BL15" s="557">
        <v>56349</v>
      </c>
      <c r="BM15" s="557">
        <v>139512</v>
      </c>
      <c r="BN15" s="557">
        <v>0</v>
      </c>
      <c r="BO15" s="557">
        <v>2828008</v>
      </c>
      <c r="BP15" s="557">
        <v>35159392</v>
      </c>
      <c r="BQ15" s="557">
        <v>0</v>
      </c>
      <c r="BS15" s="557">
        <v>28903</v>
      </c>
      <c r="BU15" s="557">
        <v>0</v>
      </c>
      <c r="BV15" s="557">
        <v>3224949</v>
      </c>
      <c r="BW15" s="557">
        <v>38846</v>
      </c>
      <c r="BX15" s="557">
        <v>369627</v>
      </c>
      <c r="BY15" s="557">
        <v>370709</v>
      </c>
      <c r="BZ15" s="557">
        <v>4601</v>
      </c>
      <c r="CA15" s="557">
        <v>307568</v>
      </c>
      <c r="CB15" s="557">
        <v>0</v>
      </c>
      <c r="CC15" s="557">
        <v>99057</v>
      </c>
      <c r="CE15" s="557">
        <v>446374</v>
      </c>
      <c r="CF15" s="557">
        <v>0</v>
      </c>
      <c r="CG15" s="557">
        <v>106617</v>
      </c>
      <c r="CH15" s="557">
        <v>0</v>
      </c>
    </row>
    <row r="16" spans="1:99" s="557" customFormat="1" x14ac:dyDescent="0.3">
      <c r="A16" s="556">
        <v>47</v>
      </c>
      <c r="B16" s="557" t="s">
        <v>880</v>
      </c>
      <c r="D16" s="557">
        <v>0</v>
      </c>
      <c r="E16" s="557">
        <v>0</v>
      </c>
      <c r="F16" s="557">
        <v>0</v>
      </c>
      <c r="G16" s="557">
        <v>0</v>
      </c>
      <c r="I16" s="557">
        <v>0</v>
      </c>
      <c r="J16" s="557">
        <v>0</v>
      </c>
      <c r="K16" s="557">
        <v>0</v>
      </c>
      <c r="L16" s="557">
        <v>0</v>
      </c>
      <c r="M16" s="557">
        <v>0</v>
      </c>
      <c r="N16" s="557">
        <v>0</v>
      </c>
      <c r="O16" s="557">
        <v>0</v>
      </c>
      <c r="P16" s="557">
        <v>0</v>
      </c>
      <c r="Q16" s="557">
        <v>0</v>
      </c>
      <c r="R16" s="557">
        <v>0</v>
      </c>
      <c r="S16" s="557">
        <v>0</v>
      </c>
      <c r="T16" s="557">
        <v>0</v>
      </c>
      <c r="U16" s="557">
        <v>0</v>
      </c>
      <c r="V16" s="557">
        <v>0</v>
      </c>
      <c r="W16" s="557">
        <v>0</v>
      </c>
      <c r="X16" s="557">
        <v>0</v>
      </c>
      <c r="Y16" s="557">
        <v>0</v>
      </c>
      <c r="Z16" s="557">
        <v>5214942</v>
      </c>
      <c r="AA16" s="557">
        <v>0</v>
      </c>
      <c r="AB16" s="557">
        <v>0</v>
      </c>
      <c r="AD16" s="557">
        <v>0</v>
      </c>
      <c r="AE16" s="557">
        <v>0</v>
      </c>
      <c r="AF16" s="557">
        <v>7955373</v>
      </c>
      <c r="AG16" s="557">
        <v>0</v>
      </c>
      <c r="AH16" s="557">
        <v>0</v>
      </c>
      <c r="AI16" s="557">
        <v>0</v>
      </c>
      <c r="AJ16" s="557">
        <v>0</v>
      </c>
      <c r="AK16" s="557">
        <v>0</v>
      </c>
      <c r="AL16" s="557">
        <v>0</v>
      </c>
      <c r="AN16" s="557">
        <v>0</v>
      </c>
      <c r="AP16" s="557">
        <v>0</v>
      </c>
      <c r="AQ16" s="557">
        <v>101526114</v>
      </c>
      <c r="AR16" s="557">
        <v>0</v>
      </c>
      <c r="AS16" s="557">
        <v>0</v>
      </c>
      <c r="AT16" s="557">
        <v>0</v>
      </c>
      <c r="AU16" s="557">
        <v>0</v>
      </c>
      <c r="AV16" s="557">
        <v>0</v>
      </c>
      <c r="AW16" s="557">
        <v>6892901</v>
      </c>
      <c r="AX16" s="557">
        <v>0</v>
      </c>
      <c r="AY16" s="557">
        <v>0</v>
      </c>
      <c r="AZ16" s="557">
        <v>0</v>
      </c>
      <c r="BA16" s="557">
        <v>0</v>
      </c>
      <c r="BB16" s="557">
        <v>0</v>
      </c>
      <c r="BC16" s="557">
        <v>5602484</v>
      </c>
      <c r="BD16" s="557">
        <v>0</v>
      </c>
      <c r="BE16" s="557">
        <v>0</v>
      </c>
      <c r="BF16" s="557">
        <v>0</v>
      </c>
      <c r="BG16" s="557">
        <v>0</v>
      </c>
      <c r="BH16" s="557">
        <v>0</v>
      </c>
      <c r="BI16" s="557">
        <v>0</v>
      </c>
      <c r="BJ16" s="557">
        <v>0</v>
      </c>
      <c r="BL16" s="557">
        <v>4463395</v>
      </c>
      <c r="BM16" s="557">
        <v>0</v>
      </c>
      <c r="BN16" s="557">
        <v>0</v>
      </c>
      <c r="BO16" s="557">
        <v>0</v>
      </c>
      <c r="BP16" s="557">
        <v>0</v>
      </c>
      <c r="BQ16" s="557">
        <v>0</v>
      </c>
      <c r="BS16" s="557">
        <v>0</v>
      </c>
      <c r="BU16" s="557">
        <v>0</v>
      </c>
      <c r="BV16" s="557">
        <v>0</v>
      </c>
      <c r="BW16" s="557">
        <v>1882289</v>
      </c>
      <c r="BX16" s="557">
        <v>12605987</v>
      </c>
      <c r="BY16" s="557">
        <v>0</v>
      </c>
      <c r="BZ16" s="557">
        <v>0</v>
      </c>
      <c r="CA16" s="557">
        <v>0</v>
      </c>
      <c r="CB16" s="557">
        <v>0</v>
      </c>
      <c r="CC16" s="557">
        <v>0</v>
      </c>
      <c r="CE16" s="557">
        <v>0</v>
      </c>
      <c r="CF16" s="557">
        <v>0</v>
      </c>
      <c r="CG16" s="557">
        <v>8144930</v>
      </c>
      <c r="CH16" s="557">
        <v>0</v>
      </c>
    </row>
    <row r="17" spans="1:99" s="557" customFormat="1" x14ac:dyDescent="0.3">
      <c r="A17" s="556">
        <v>48</v>
      </c>
      <c r="B17" s="557" t="s">
        <v>115</v>
      </c>
      <c r="D17" s="557">
        <v>0</v>
      </c>
      <c r="E17" s="557">
        <v>0</v>
      </c>
      <c r="F17" s="557">
        <v>0</v>
      </c>
      <c r="G17" s="557">
        <v>0</v>
      </c>
      <c r="I17" s="557">
        <v>0</v>
      </c>
      <c r="J17" s="557">
        <v>0</v>
      </c>
      <c r="K17" s="557">
        <v>0</v>
      </c>
      <c r="L17" s="557">
        <v>0</v>
      </c>
      <c r="M17" s="557">
        <v>0</v>
      </c>
      <c r="N17" s="557">
        <v>0</v>
      </c>
      <c r="O17" s="557">
        <v>0</v>
      </c>
      <c r="P17" s="557">
        <v>0</v>
      </c>
      <c r="Q17" s="557">
        <v>0</v>
      </c>
      <c r="R17" s="557">
        <v>0</v>
      </c>
      <c r="S17" s="557">
        <v>0</v>
      </c>
      <c r="T17" s="557">
        <v>0</v>
      </c>
      <c r="U17" s="557">
        <v>0</v>
      </c>
      <c r="V17" s="557">
        <v>0</v>
      </c>
      <c r="W17" s="557">
        <v>0</v>
      </c>
      <c r="X17" s="557">
        <v>0</v>
      </c>
      <c r="Y17" s="557">
        <v>0</v>
      </c>
      <c r="Z17" s="557">
        <v>382798</v>
      </c>
      <c r="AA17" s="557">
        <v>0</v>
      </c>
      <c r="AB17" s="557">
        <v>0</v>
      </c>
      <c r="AD17" s="557">
        <v>0</v>
      </c>
      <c r="AE17" s="557">
        <v>0</v>
      </c>
      <c r="AF17" s="557">
        <v>2373062</v>
      </c>
      <c r="AG17" s="557">
        <v>0</v>
      </c>
      <c r="AH17" s="557">
        <v>0</v>
      </c>
      <c r="AI17" s="557">
        <v>0</v>
      </c>
      <c r="AJ17" s="557">
        <v>0</v>
      </c>
      <c r="AK17" s="557">
        <v>0</v>
      </c>
      <c r="AL17" s="557">
        <v>0</v>
      </c>
      <c r="AN17" s="557">
        <v>0</v>
      </c>
      <c r="AP17" s="557">
        <v>0</v>
      </c>
      <c r="AQ17" s="557">
        <v>6247918</v>
      </c>
      <c r="AR17" s="557">
        <v>0</v>
      </c>
      <c r="AS17" s="557">
        <v>0</v>
      </c>
      <c r="AT17" s="557">
        <v>0</v>
      </c>
      <c r="AU17" s="557">
        <v>0</v>
      </c>
      <c r="AV17" s="557">
        <v>0</v>
      </c>
      <c r="AW17" s="557">
        <v>1013137</v>
      </c>
      <c r="AX17" s="557">
        <v>0</v>
      </c>
      <c r="AY17" s="557">
        <v>0</v>
      </c>
      <c r="AZ17" s="557">
        <v>0</v>
      </c>
      <c r="BA17" s="557">
        <v>0</v>
      </c>
      <c r="BB17" s="557">
        <v>0</v>
      </c>
      <c r="BC17" s="557">
        <v>923072</v>
      </c>
      <c r="BD17" s="557">
        <v>0</v>
      </c>
      <c r="BE17" s="557">
        <v>0</v>
      </c>
      <c r="BF17" s="557">
        <v>0</v>
      </c>
      <c r="BG17" s="557">
        <v>0</v>
      </c>
      <c r="BH17" s="557">
        <v>0</v>
      </c>
      <c r="BI17" s="557">
        <v>0</v>
      </c>
      <c r="BJ17" s="557">
        <v>0</v>
      </c>
      <c r="BL17" s="557">
        <v>210904</v>
      </c>
      <c r="BM17" s="557">
        <v>0</v>
      </c>
      <c r="BN17" s="557">
        <v>0</v>
      </c>
      <c r="BO17" s="557">
        <v>0</v>
      </c>
      <c r="BP17" s="557">
        <v>0</v>
      </c>
      <c r="BQ17" s="557">
        <v>0</v>
      </c>
      <c r="BS17" s="557">
        <v>0</v>
      </c>
      <c r="BU17" s="557">
        <v>0</v>
      </c>
      <c r="BV17" s="557">
        <v>0</v>
      </c>
      <c r="BW17" s="557">
        <v>1136368</v>
      </c>
      <c r="BX17" s="557">
        <v>3396670</v>
      </c>
      <c r="BY17" s="557">
        <v>0</v>
      </c>
      <c r="BZ17" s="557">
        <v>0</v>
      </c>
      <c r="CA17" s="557">
        <v>0</v>
      </c>
      <c r="CB17" s="557">
        <v>0</v>
      </c>
      <c r="CC17" s="557">
        <v>0</v>
      </c>
      <c r="CE17" s="557">
        <v>0</v>
      </c>
      <c r="CF17" s="557">
        <v>0</v>
      </c>
      <c r="CG17" s="557">
        <v>433399</v>
      </c>
      <c r="CH17" s="557">
        <v>0</v>
      </c>
    </row>
    <row r="18" spans="1:99" x14ac:dyDescent="0.3">
      <c r="A18" s="155">
        <v>49</v>
      </c>
      <c r="B18" s="180" t="s">
        <v>219</v>
      </c>
      <c r="C18" s="180"/>
      <c r="D18" s="180">
        <v>131185</v>
      </c>
      <c r="E18" s="180">
        <v>0</v>
      </c>
      <c r="F18" s="180">
        <v>98839</v>
      </c>
      <c r="G18" s="180">
        <v>32133</v>
      </c>
      <c r="H18" s="180"/>
      <c r="I18" s="180">
        <v>442642</v>
      </c>
      <c r="J18" s="180">
        <v>0</v>
      </c>
      <c r="K18" s="180">
        <v>1898405</v>
      </c>
      <c r="L18" s="180">
        <v>0</v>
      </c>
      <c r="M18" s="180">
        <v>0</v>
      </c>
      <c r="N18" s="180">
        <v>288310</v>
      </c>
      <c r="O18" s="180">
        <v>21122864</v>
      </c>
      <c r="P18" s="180">
        <v>0</v>
      </c>
      <c r="Q18" s="180">
        <v>0</v>
      </c>
      <c r="R18" s="180">
        <v>0</v>
      </c>
      <c r="S18" s="180">
        <v>0</v>
      </c>
      <c r="T18" s="180">
        <v>0</v>
      </c>
      <c r="U18" s="180">
        <v>0</v>
      </c>
      <c r="V18" s="180">
        <v>81467</v>
      </c>
      <c r="W18" s="180">
        <v>380710</v>
      </c>
      <c r="X18" s="180">
        <v>0</v>
      </c>
      <c r="Y18" s="180">
        <v>176619000</v>
      </c>
      <c r="Z18" s="180">
        <v>706751</v>
      </c>
      <c r="AA18" s="180">
        <v>119215</v>
      </c>
      <c r="AB18" s="180">
        <v>0</v>
      </c>
      <c r="AC18" s="180"/>
      <c r="AD18" s="180">
        <v>263032</v>
      </c>
      <c r="AE18" s="180">
        <v>178328</v>
      </c>
      <c r="AF18" s="180">
        <v>3033864</v>
      </c>
      <c r="AG18" s="180">
        <v>0</v>
      </c>
      <c r="AH18" s="180">
        <v>188167</v>
      </c>
      <c r="AI18" s="180">
        <v>1315278</v>
      </c>
      <c r="AJ18" s="180">
        <v>114384</v>
      </c>
      <c r="AK18" s="180">
        <v>17240</v>
      </c>
      <c r="AL18" s="180">
        <v>119224</v>
      </c>
      <c r="AM18" s="180"/>
      <c r="AN18" s="180">
        <v>451716</v>
      </c>
      <c r="AO18" s="180"/>
      <c r="AP18" s="180">
        <v>0</v>
      </c>
      <c r="AQ18" s="180">
        <v>8893466</v>
      </c>
      <c r="AR18" s="180">
        <v>0</v>
      </c>
      <c r="AS18" s="180">
        <v>101538</v>
      </c>
      <c r="AT18" s="180">
        <v>1316035</v>
      </c>
      <c r="AU18" s="180">
        <v>138988</v>
      </c>
      <c r="AV18" s="570">
        <v>0</v>
      </c>
      <c r="AW18" s="180">
        <v>0</v>
      </c>
      <c r="AX18" s="180">
        <v>178751</v>
      </c>
      <c r="AY18" s="180">
        <v>0</v>
      </c>
      <c r="AZ18" s="180">
        <v>0</v>
      </c>
      <c r="BA18" s="180">
        <v>197504</v>
      </c>
      <c r="BB18" s="180">
        <v>36775</v>
      </c>
      <c r="BC18" s="180">
        <v>412399</v>
      </c>
      <c r="BD18" s="180">
        <v>0</v>
      </c>
      <c r="BE18" s="180">
        <v>0</v>
      </c>
      <c r="BF18" s="180">
        <v>322278</v>
      </c>
      <c r="BG18" s="180">
        <v>0</v>
      </c>
      <c r="BH18" s="180">
        <v>0</v>
      </c>
      <c r="BI18" s="180">
        <v>471366</v>
      </c>
      <c r="BJ18" s="180">
        <v>0</v>
      </c>
      <c r="BK18" s="180"/>
      <c r="BL18" s="180">
        <v>46927</v>
      </c>
      <c r="BM18" s="180">
        <v>63315</v>
      </c>
      <c r="BN18" s="180">
        <v>0</v>
      </c>
      <c r="BO18" s="180">
        <v>1598353</v>
      </c>
      <c r="BP18" s="180">
        <v>29839798</v>
      </c>
      <c r="BQ18" s="180">
        <v>0</v>
      </c>
      <c r="BR18" s="180"/>
      <c r="BS18" s="180">
        <v>48682</v>
      </c>
      <c r="BT18" s="180"/>
      <c r="BU18" s="180">
        <v>0</v>
      </c>
      <c r="BV18" s="180">
        <v>2333619</v>
      </c>
      <c r="BW18" s="180">
        <v>352426</v>
      </c>
      <c r="BX18" s="180">
        <v>2232628</v>
      </c>
      <c r="BY18" s="180">
        <v>651806</v>
      </c>
      <c r="BZ18" s="180">
        <v>114537</v>
      </c>
      <c r="CA18" s="180">
        <v>208706</v>
      </c>
      <c r="CB18" s="180">
        <v>105992</v>
      </c>
      <c r="CC18" s="180">
        <v>145399</v>
      </c>
      <c r="CD18" s="180"/>
      <c r="CE18" s="180">
        <v>288593</v>
      </c>
      <c r="CF18" s="180">
        <v>0</v>
      </c>
      <c r="CG18" s="180">
        <v>274180</v>
      </c>
      <c r="CH18" s="180">
        <v>0</v>
      </c>
      <c r="CI18" s="180"/>
      <c r="CJ18" s="180"/>
      <c r="CK18" s="180"/>
      <c r="CL18" s="180"/>
      <c r="CM18" s="180"/>
      <c r="CN18" s="180"/>
      <c r="CO18" s="180"/>
      <c r="CP18" s="180"/>
      <c r="CQ18" s="180"/>
      <c r="CR18" s="180"/>
      <c r="CS18" s="180"/>
      <c r="CT18" s="180"/>
      <c r="CU18" s="180"/>
    </row>
    <row r="19" spans="1:99" x14ac:dyDescent="0.3">
      <c r="A19" s="155">
        <v>50</v>
      </c>
      <c r="B19" s="180" t="s">
        <v>92</v>
      </c>
      <c r="C19" s="180"/>
      <c r="D19" s="180">
        <v>556106</v>
      </c>
      <c r="E19" s="180">
        <v>0</v>
      </c>
      <c r="F19" s="180">
        <v>24428</v>
      </c>
      <c r="G19" s="180">
        <v>-55167</v>
      </c>
      <c r="H19" s="180"/>
      <c r="I19" s="180">
        <v>1322610</v>
      </c>
      <c r="J19" s="180">
        <v>0</v>
      </c>
      <c r="K19" s="180">
        <v>1907458</v>
      </c>
      <c r="L19" s="180">
        <v>0</v>
      </c>
      <c r="M19" s="180">
        <v>0</v>
      </c>
      <c r="N19" s="180">
        <v>2645604</v>
      </c>
      <c r="O19" s="180">
        <v>27952651</v>
      </c>
      <c r="P19" s="180">
        <v>0</v>
      </c>
      <c r="Q19" s="180">
        <v>0</v>
      </c>
      <c r="R19" s="180">
        <v>0</v>
      </c>
      <c r="S19" s="180">
        <v>0</v>
      </c>
      <c r="T19" s="180">
        <v>0</v>
      </c>
      <c r="U19" s="180">
        <v>0</v>
      </c>
      <c r="V19" s="180">
        <v>-49702</v>
      </c>
      <c r="W19" s="180">
        <v>134</v>
      </c>
      <c r="X19" s="180">
        <v>0</v>
      </c>
      <c r="Y19" s="180">
        <v>187069000</v>
      </c>
      <c r="Z19" s="180">
        <v>204870</v>
      </c>
      <c r="AA19" s="180">
        <v>-89567</v>
      </c>
      <c r="AB19" s="180">
        <v>0</v>
      </c>
      <c r="AC19" s="180"/>
      <c r="AD19" s="180">
        <v>3217426</v>
      </c>
      <c r="AE19" s="180">
        <v>93716</v>
      </c>
      <c r="AF19" s="180">
        <v>21790832</v>
      </c>
      <c r="AG19" s="180">
        <v>0</v>
      </c>
      <c r="AH19" s="180">
        <v>208425</v>
      </c>
      <c r="AI19" s="180">
        <v>-630184</v>
      </c>
      <c r="AJ19" s="180">
        <v>320853</v>
      </c>
      <c r="AK19" s="180">
        <v>712257</v>
      </c>
      <c r="AL19" s="180">
        <v>88013</v>
      </c>
      <c r="AM19" s="180"/>
      <c r="AN19" s="180">
        <v>-176113</v>
      </c>
      <c r="AO19" s="180"/>
      <c r="AP19" s="180">
        <v>0</v>
      </c>
      <c r="AQ19" s="180">
        <v>17165109</v>
      </c>
      <c r="AR19" s="180">
        <v>0</v>
      </c>
      <c r="AS19" s="180">
        <v>-110711</v>
      </c>
      <c r="AT19" s="180">
        <v>2821699</v>
      </c>
      <c r="AU19" s="180">
        <v>35848</v>
      </c>
      <c r="AV19" s="570">
        <v>0</v>
      </c>
      <c r="AW19" s="180">
        <v>0</v>
      </c>
      <c r="AX19" s="180">
        <v>-159593</v>
      </c>
      <c r="AY19" s="180">
        <v>0</v>
      </c>
      <c r="AZ19" s="180">
        <v>0</v>
      </c>
      <c r="BA19" s="180">
        <v>-74423</v>
      </c>
      <c r="BB19" s="180">
        <v>-8965</v>
      </c>
      <c r="BC19" s="180">
        <v>817842</v>
      </c>
      <c r="BD19" s="180">
        <v>0</v>
      </c>
      <c r="BE19" s="180">
        <v>0</v>
      </c>
      <c r="BF19" s="180">
        <v>177099</v>
      </c>
      <c r="BG19" s="180">
        <v>0</v>
      </c>
      <c r="BH19" s="180">
        <v>0</v>
      </c>
      <c r="BI19" s="180">
        <v>453849</v>
      </c>
      <c r="BJ19" s="180">
        <v>0</v>
      </c>
      <c r="BK19" s="180"/>
      <c r="BL19" s="180">
        <v>39133</v>
      </c>
      <c r="BM19" s="180">
        <v>226288</v>
      </c>
      <c r="BN19" s="180">
        <v>0</v>
      </c>
      <c r="BO19" s="180">
        <v>5946107</v>
      </c>
      <c r="BP19" s="180">
        <v>33935710</v>
      </c>
      <c r="BQ19" s="180">
        <v>0</v>
      </c>
      <c r="BR19" s="180"/>
      <c r="BS19" s="180">
        <v>32291</v>
      </c>
      <c r="BT19" s="180"/>
      <c r="BU19" s="180">
        <v>0</v>
      </c>
      <c r="BV19" s="180">
        <v>2260879</v>
      </c>
      <c r="BW19" s="180">
        <v>220173</v>
      </c>
      <c r="BX19" s="180">
        <v>1879460</v>
      </c>
      <c r="BY19" s="180">
        <v>383470</v>
      </c>
      <c r="BZ19" s="180">
        <v>-30393</v>
      </c>
      <c r="CA19" s="180">
        <v>596079</v>
      </c>
      <c r="CB19" s="180">
        <v>-28152</v>
      </c>
      <c r="CC19" s="180">
        <v>1841553</v>
      </c>
      <c r="CD19" s="180"/>
      <c r="CE19" s="180">
        <v>629849</v>
      </c>
      <c r="CF19" s="180">
        <v>0</v>
      </c>
      <c r="CG19" s="180">
        <v>917784</v>
      </c>
      <c r="CH19" s="180">
        <v>0</v>
      </c>
      <c r="CI19" s="180"/>
      <c r="CJ19" s="180"/>
      <c r="CK19" s="180"/>
      <c r="CL19" s="180"/>
      <c r="CM19" s="180"/>
      <c r="CN19" s="180"/>
      <c r="CO19" s="180"/>
      <c r="CP19" s="180"/>
      <c r="CQ19" s="180"/>
      <c r="CR19" s="180"/>
      <c r="CS19" s="180"/>
      <c r="CT19" s="180"/>
      <c r="CU19" s="180"/>
    </row>
    <row r="20" spans="1:99" x14ac:dyDescent="0.3">
      <c r="A20" s="155">
        <v>51</v>
      </c>
      <c r="B20" s="180" t="s">
        <v>237</v>
      </c>
      <c r="C20" s="180"/>
      <c r="D20" s="180">
        <v>64098</v>
      </c>
      <c r="E20" s="180">
        <v>0</v>
      </c>
      <c r="F20" s="180">
        <v>131495</v>
      </c>
      <c r="G20" s="180">
        <v>101749</v>
      </c>
      <c r="H20" s="180"/>
      <c r="I20" s="180">
        <v>592785</v>
      </c>
      <c r="J20" s="180">
        <v>0</v>
      </c>
      <c r="K20" s="180">
        <v>5386499</v>
      </c>
      <c r="L20" s="180">
        <v>0</v>
      </c>
      <c r="M20" s="180">
        <v>0</v>
      </c>
      <c r="N20" s="180">
        <v>711692</v>
      </c>
      <c r="O20" s="180">
        <v>34771656</v>
      </c>
      <c r="P20" s="180">
        <v>0</v>
      </c>
      <c r="Q20" s="180">
        <v>0</v>
      </c>
      <c r="R20" s="180">
        <v>0</v>
      </c>
      <c r="S20" s="180">
        <v>0</v>
      </c>
      <c r="T20" s="180">
        <v>0</v>
      </c>
      <c r="U20" s="180">
        <v>0</v>
      </c>
      <c r="V20" s="180">
        <v>-2763</v>
      </c>
      <c r="W20" s="180">
        <v>251909</v>
      </c>
      <c r="X20" s="180">
        <v>0</v>
      </c>
      <c r="Y20" s="180">
        <v>366053000</v>
      </c>
      <c r="Z20" s="180">
        <v>2124</v>
      </c>
      <c r="AA20" s="180">
        <v>21495</v>
      </c>
      <c r="AB20" s="180">
        <v>0</v>
      </c>
      <c r="AC20" s="180"/>
      <c r="AD20" s="180">
        <v>760569</v>
      </c>
      <c r="AE20" s="180">
        <v>292624</v>
      </c>
      <c r="AF20" s="180">
        <v>14197485</v>
      </c>
      <c r="AG20" s="180">
        <v>0</v>
      </c>
      <c r="AH20" s="180">
        <v>346437</v>
      </c>
      <c r="AI20" s="180">
        <v>730005</v>
      </c>
      <c r="AJ20" s="180">
        <v>113241</v>
      </c>
      <c r="AK20" s="180">
        <v>73848</v>
      </c>
      <c r="AL20" s="180">
        <v>200470</v>
      </c>
      <c r="AM20" s="180"/>
      <c r="AN20" s="180">
        <v>141381</v>
      </c>
      <c r="AO20" s="180"/>
      <c r="AP20" s="180">
        <v>0</v>
      </c>
      <c r="AQ20" s="180">
        <v>12436116</v>
      </c>
      <c r="AR20" s="180">
        <v>0</v>
      </c>
      <c r="AS20" s="180">
        <v>3387</v>
      </c>
      <c r="AT20" s="180">
        <v>1937231</v>
      </c>
      <c r="AU20" s="180">
        <v>68851</v>
      </c>
      <c r="AV20" s="570">
        <v>0</v>
      </c>
      <c r="AW20" s="180">
        <v>0</v>
      </c>
      <c r="AX20" s="180">
        <v>11327</v>
      </c>
      <c r="AY20" s="180">
        <v>0</v>
      </c>
      <c r="AZ20" s="180">
        <v>0</v>
      </c>
      <c r="BA20" s="180">
        <v>59968</v>
      </c>
      <c r="BB20" s="180">
        <v>3493</v>
      </c>
      <c r="BC20" s="180">
        <v>949489</v>
      </c>
      <c r="BD20" s="180">
        <v>0</v>
      </c>
      <c r="BE20" s="180">
        <v>0</v>
      </c>
      <c r="BF20" s="180">
        <v>429930</v>
      </c>
      <c r="BG20" s="180">
        <v>0</v>
      </c>
      <c r="BH20" s="180">
        <v>0</v>
      </c>
      <c r="BI20" s="180">
        <v>187100</v>
      </c>
      <c r="BJ20" s="180">
        <v>0</v>
      </c>
      <c r="BK20" s="180"/>
      <c r="BL20" s="180">
        <v>75290</v>
      </c>
      <c r="BM20" s="180">
        <v>33253</v>
      </c>
      <c r="BN20" s="180">
        <v>0</v>
      </c>
      <c r="BO20" s="180">
        <v>78502</v>
      </c>
      <c r="BP20" s="180">
        <v>59770854</v>
      </c>
      <c r="BQ20" s="180">
        <v>0</v>
      </c>
      <c r="BR20" s="180"/>
      <c r="BS20" s="180">
        <v>63947</v>
      </c>
      <c r="BT20" s="180"/>
      <c r="BU20" s="180">
        <v>0</v>
      </c>
      <c r="BV20" s="180">
        <v>609202</v>
      </c>
      <c r="BW20" s="180">
        <v>277891</v>
      </c>
      <c r="BX20" s="180">
        <v>3907480</v>
      </c>
      <c r="BY20" s="180">
        <v>106301</v>
      </c>
      <c r="BZ20" s="180">
        <v>52913</v>
      </c>
      <c r="CA20" s="180">
        <v>924443</v>
      </c>
      <c r="CB20" s="180">
        <v>79611</v>
      </c>
      <c r="CC20" s="180">
        <v>202064</v>
      </c>
      <c r="CD20" s="180"/>
      <c r="CE20" s="180">
        <v>1439935</v>
      </c>
      <c r="CF20" s="180">
        <v>0</v>
      </c>
      <c r="CG20" s="180">
        <v>285175</v>
      </c>
      <c r="CH20" s="180">
        <v>0</v>
      </c>
      <c r="CI20" s="180"/>
      <c r="CJ20" s="180"/>
      <c r="CK20" s="180"/>
      <c r="CL20" s="180"/>
      <c r="CM20" s="180"/>
      <c r="CN20" s="180"/>
      <c r="CO20" s="180"/>
      <c r="CP20" s="180"/>
      <c r="CQ20" s="180"/>
      <c r="CR20" s="180"/>
      <c r="CS20" s="180"/>
      <c r="CT20" s="180"/>
      <c r="CU20" s="180"/>
    </row>
    <row r="21" spans="1:99" x14ac:dyDescent="0.3">
      <c r="A21" s="155">
        <v>52</v>
      </c>
      <c r="B21" s="180" t="s">
        <v>230</v>
      </c>
      <c r="C21" s="180"/>
      <c r="D21" s="180">
        <v>0</v>
      </c>
      <c r="E21" s="180">
        <v>0</v>
      </c>
      <c r="F21" s="180">
        <v>0</v>
      </c>
      <c r="G21" s="180">
        <v>0</v>
      </c>
      <c r="H21" s="180"/>
      <c r="I21" s="180">
        <v>0</v>
      </c>
      <c r="J21" s="180">
        <v>0</v>
      </c>
      <c r="K21" s="180">
        <v>0</v>
      </c>
      <c r="L21" s="180">
        <v>0</v>
      </c>
      <c r="M21" s="180">
        <v>0</v>
      </c>
      <c r="N21" s="180">
        <v>0</v>
      </c>
      <c r="O21" s="180">
        <v>0</v>
      </c>
      <c r="P21" s="180">
        <v>0</v>
      </c>
      <c r="Q21" s="180">
        <v>0</v>
      </c>
      <c r="R21" s="180">
        <v>0</v>
      </c>
      <c r="S21" s="180">
        <v>0</v>
      </c>
      <c r="T21" s="180">
        <v>0</v>
      </c>
      <c r="U21" s="180">
        <v>0</v>
      </c>
      <c r="V21" s="180">
        <v>0</v>
      </c>
      <c r="W21" s="180">
        <v>0</v>
      </c>
      <c r="X21" s="180">
        <v>0</v>
      </c>
      <c r="Y21" s="180">
        <v>0</v>
      </c>
      <c r="Z21" s="180">
        <v>261598</v>
      </c>
      <c r="AA21" s="180">
        <v>0</v>
      </c>
      <c r="AB21" s="180">
        <v>0</v>
      </c>
      <c r="AC21" s="180"/>
      <c r="AD21" s="180">
        <v>0</v>
      </c>
      <c r="AE21" s="180">
        <v>0</v>
      </c>
      <c r="AF21" s="180">
        <v>855473</v>
      </c>
      <c r="AG21" s="180">
        <v>0</v>
      </c>
      <c r="AH21" s="180">
        <v>0</v>
      </c>
      <c r="AI21" s="180">
        <v>0</v>
      </c>
      <c r="AJ21" s="180">
        <v>0</v>
      </c>
      <c r="AK21" s="180">
        <v>0</v>
      </c>
      <c r="AL21" s="180">
        <v>0</v>
      </c>
      <c r="AM21" s="180"/>
      <c r="AN21" s="180">
        <v>0</v>
      </c>
      <c r="AO21" s="180"/>
      <c r="AP21" s="180">
        <v>0</v>
      </c>
      <c r="AQ21" s="180">
        <v>4130005</v>
      </c>
      <c r="AR21" s="180">
        <v>0</v>
      </c>
      <c r="AS21" s="180">
        <v>0</v>
      </c>
      <c r="AT21" s="180">
        <v>0</v>
      </c>
      <c r="AU21" s="180">
        <v>0</v>
      </c>
      <c r="AV21" s="180">
        <v>0</v>
      </c>
      <c r="AW21" s="180">
        <v>689527</v>
      </c>
      <c r="AX21" s="180">
        <v>0</v>
      </c>
      <c r="AY21" s="180">
        <v>0</v>
      </c>
      <c r="AZ21" s="180">
        <v>0</v>
      </c>
      <c r="BA21" s="180">
        <v>0</v>
      </c>
      <c r="BB21" s="180">
        <v>0</v>
      </c>
      <c r="BC21" s="180">
        <v>390782</v>
      </c>
      <c r="BD21" s="180">
        <v>0</v>
      </c>
      <c r="BE21" s="180">
        <v>0</v>
      </c>
      <c r="BF21" s="180">
        <v>0</v>
      </c>
      <c r="BG21" s="180">
        <v>0</v>
      </c>
      <c r="BH21" s="180">
        <v>0</v>
      </c>
      <c r="BI21" s="180">
        <v>0</v>
      </c>
      <c r="BJ21" s="180">
        <v>0</v>
      </c>
      <c r="BK21" s="180"/>
      <c r="BL21" s="180">
        <v>28589</v>
      </c>
      <c r="BM21" s="180">
        <v>0</v>
      </c>
      <c r="BN21" s="180">
        <v>0</v>
      </c>
      <c r="BO21" s="180">
        <v>0</v>
      </c>
      <c r="BP21" s="180">
        <v>0</v>
      </c>
      <c r="BQ21" s="180">
        <v>0</v>
      </c>
      <c r="BR21" s="180"/>
      <c r="BS21" s="180">
        <v>0</v>
      </c>
      <c r="BT21" s="180"/>
      <c r="BU21" s="180">
        <v>0</v>
      </c>
      <c r="BV21" s="180">
        <v>0</v>
      </c>
      <c r="BW21" s="180">
        <v>298801</v>
      </c>
      <c r="BX21" s="180">
        <v>1271002</v>
      </c>
      <c r="BY21" s="180">
        <v>0</v>
      </c>
      <c r="BZ21" s="180">
        <v>0</v>
      </c>
      <c r="CA21" s="180">
        <v>0</v>
      </c>
      <c r="CB21" s="180">
        <v>0</v>
      </c>
      <c r="CC21" s="180">
        <v>0</v>
      </c>
      <c r="CD21" s="180"/>
      <c r="CE21" s="180">
        <v>0</v>
      </c>
      <c r="CF21" s="180">
        <v>0</v>
      </c>
      <c r="CG21" s="180">
        <v>26461</v>
      </c>
      <c r="CH21" s="180">
        <v>0</v>
      </c>
      <c r="CI21" s="180"/>
      <c r="CJ21" s="180"/>
      <c r="CK21" s="180"/>
      <c r="CL21" s="180"/>
      <c r="CM21" s="180"/>
      <c r="CN21" s="180"/>
      <c r="CO21" s="180"/>
      <c r="CP21" s="180"/>
      <c r="CQ21" s="180"/>
      <c r="CR21" s="180"/>
      <c r="CS21" s="180"/>
      <c r="CT21" s="180"/>
      <c r="CU21" s="180"/>
    </row>
    <row r="22" spans="1:99" x14ac:dyDescent="0.3">
      <c r="A22" s="155">
        <v>53</v>
      </c>
      <c r="B22" s="180" t="s">
        <v>93</v>
      </c>
      <c r="C22" s="180"/>
      <c r="D22" s="180">
        <v>0</v>
      </c>
      <c r="E22" s="180">
        <v>0</v>
      </c>
      <c r="F22" s="180">
        <v>0</v>
      </c>
      <c r="G22" s="180">
        <v>0</v>
      </c>
      <c r="H22" s="180"/>
      <c r="I22" s="180">
        <v>0</v>
      </c>
      <c r="J22" s="180">
        <v>0</v>
      </c>
      <c r="K22" s="180">
        <v>0</v>
      </c>
      <c r="L22" s="180">
        <v>0</v>
      </c>
      <c r="M22" s="180">
        <v>0</v>
      </c>
      <c r="N22" s="180">
        <v>0</v>
      </c>
      <c r="O22" s="180">
        <v>0</v>
      </c>
      <c r="P22" s="180">
        <v>0</v>
      </c>
      <c r="Q22" s="180">
        <v>0</v>
      </c>
      <c r="R22" s="180">
        <v>0</v>
      </c>
      <c r="S22" s="180">
        <v>0</v>
      </c>
      <c r="T22" s="180">
        <v>0</v>
      </c>
      <c r="U22" s="180">
        <v>0</v>
      </c>
      <c r="V22" s="180">
        <v>0</v>
      </c>
      <c r="W22" s="180">
        <v>0</v>
      </c>
      <c r="X22" s="180">
        <v>0</v>
      </c>
      <c r="Y22" s="180">
        <v>0</v>
      </c>
      <c r="Z22" s="180">
        <v>216219</v>
      </c>
      <c r="AA22" s="180">
        <v>0</v>
      </c>
      <c r="AB22" s="180">
        <v>0</v>
      </c>
      <c r="AC22" s="180"/>
      <c r="AD22" s="180">
        <v>0</v>
      </c>
      <c r="AE22" s="180">
        <v>0</v>
      </c>
      <c r="AF22" s="180">
        <v>1620563</v>
      </c>
      <c r="AG22" s="180">
        <v>0</v>
      </c>
      <c r="AH22" s="180">
        <v>0</v>
      </c>
      <c r="AI22" s="180">
        <v>0</v>
      </c>
      <c r="AJ22" s="180">
        <v>0</v>
      </c>
      <c r="AK22" s="180">
        <v>0</v>
      </c>
      <c r="AL22" s="180">
        <v>0</v>
      </c>
      <c r="AM22" s="180"/>
      <c r="AN22" s="180">
        <v>0</v>
      </c>
      <c r="AO22" s="180"/>
      <c r="AP22" s="180">
        <v>0</v>
      </c>
      <c r="AQ22" s="180">
        <v>22956009</v>
      </c>
      <c r="AR22" s="180">
        <v>0</v>
      </c>
      <c r="AS22" s="180">
        <v>0</v>
      </c>
      <c r="AT22" s="180">
        <v>0</v>
      </c>
      <c r="AU22" s="180">
        <v>0</v>
      </c>
      <c r="AV22" s="180">
        <v>0</v>
      </c>
      <c r="AW22" s="180">
        <v>254734</v>
      </c>
      <c r="AX22" s="180">
        <v>0</v>
      </c>
      <c r="AY22" s="180">
        <v>0</v>
      </c>
      <c r="AZ22" s="180">
        <v>0</v>
      </c>
      <c r="BA22" s="180">
        <v>0</v>
      </c>
      <c r="BB22" s="180">
        <v>0</v>
      </c>
      <c r="BC22" s="180">
        <v>-1032031</v>
      </c>
      <c r="BD22" s="180">
        <v>0</v>
      </c>
      <c r="BE22" s="180">
        <v>0</v>
      </c>
      <c r="BF22" s="180">
        <v>0</v>
      </c>
      <c r="BG22" s="180">
        <v>0</v>
      </c>
      <c r="BH22" s="180">
        <v>0</v>
      </c>
      <c r="BI22" s="180">
        <v>0</v>
      </c>
      <c r="BJ22" s="180">
        <v>0</v>
      </c>
      <c r="BK22" s="180"/>
      <c r="BL22" s="180">
        <v>130949</v>
      </c>
      <c r="BM22" s="180">
        <v>0</v>
      </c>
      <c r="BN22" s="180">
        <v>0</v>
      </c>
      <c r="BO22" s="180">
        <v>0</v>
      </c>
      <c r="BP22" s="180">
        <v>0</v>
      </c>
      <c r="BQ22" s="180">
        <v>0</v>
      </c>
      <c r="BR22" s="180"/>
      <c r="BS22" s="180">
        <v>0</v>
      </c>
      <c r="BT22" s="180"/>
      <c r="BU22" s="180">
        <v>0</v>
      </c>
      <c r="BV22" s="180">
        <v>0</v>
      </c>
      <c r="BW22" s="180">
        <v>-961440</v>
      </c>
      <c r="BX22" s="180">
        <v>-754940</v>
      </c>
      <c r="BY22" s="180">
        <v>0</v>
      </c>
      <c r="BZ22" s="180">
        <v>0</v>
      </c>
      <c r="CA22" s="180">
        <v>0</v>
      </c>
      <c r="CB22" s="180">
        <v>0</v>
      </c>
      <c r="CC22" s="180">
        <v>0</v>
      </c>
      <c r="CD22" s="180"/>
      <c r="CE22" s="180">
        <v>0</v>
      </c>
      <c r="CF22" s="180">
        <v>0</v>
      </c>
      <c r="CG22" s="180">
        <v>-25536</v>
      </c>
      <c r="CH22" s="180">
        <v>0</v>
      </c>
      <c r="CI22" s="180"/>
      <c r="CJ22" s="180"/>
      <c r="CK22" s="180"/>
      <c r="CL22" s="180"/>
      <c r="CM22" s="180"/>
      <c r="CN22" s="180"/>
      <c r="CO22" s="180"/>
      <c r="CP22" s="180"/>
      <c r="CQ22" s="180"/>
      <c r="CR22" s="180"/>
      <c r="CS22" s="180"/>
      <c r="CT22" s="180"/>
      <c r="CU22" s="180"/>
    </row>
    <row r="23" spans="1:99" x14ac:dyDescent="0.3">
      <c r="A23" s="155">
        <v>55</v>
      </c>
      <c r="B23" s="180" t="s">
        <v>240</v>
      </c>
      <c r="C23" s="180"/>
      <c r="D23" s="180">
        <v>0</v>
      </c>
      <c r="E23" s="180">
        <v>0</v>
      </c>
      <c r="F23" s="180">
        <v>0</v>
      </c>
      <c r="G23" s="180">
        <v>0</v>
      </c>
      <c r="H23" s="180"/>
      <c r="I23" s="180">
        <v>0</v>
      </c>
      <c r="J23" s="180">
        <v>0</v>
      </c>
      <c r="K23" s="180">
        <v>0</v>
      </c>
      <c r="L23" s="180">
        <v>0</v>
      </c>
      <c r="M23" s="180">
        <v>0</v>
      </c>
      <c r="N23" s="180">
        <v>0</v>
      </c>
      <c r="O23" s="180">
        <v>0</v>
      </c>
      <c r="P23" s="180">
        <v>0</v>
      </c>
      <c r="Q23" s="180">
        <v>0</v>
      </c>
      <c r="R23" s="180">
        <v>0</v>
      </c>
      <c r="S23" s="180">
        <v>0</v>
      </c>
      <c r="T23" s="180">
        <v>0</v>
      </c>
      <c r="U23" s="180">
        <v>0</v>
      </c>
      <c r="V23" s="180">
        <v>0</v>
      </c>
      <c r="W23" s="180">
        <v>0</v>
      </c>
      <c r="X23" s="180">
        <v>0</v>
      </c>
      <c r="Y23" s="180">
        <v>0</v>
      </c>
      <c r="Z23" s="180">
        <v>553580</v>
      </c>
      <c r="AA23" s="180">
        <v>0</v>
      </c>
      <c r="AB23" s="180">
        <v>0</v>
      </c>
      <c r="AC23" s="180"/>
      <c r="AD23" s="180">
        <v>0</v>
      </c>
      <c r="AE23" s="180">
        <v>0</v>
      </c>
      <c r="AF23" s="180">
        <v>480768</v>
      </c>
      <c r="AG23" s="180">
        <v>0</v>
      </c>
      <c r="AH23" s="180">
        <v>0</v>
      </c>
      <c r="AI23" s="180">
        <v>0</v>
      </c>
      <c r="AJ23" s="180">
        <v>0</v>
      </c>
      <c r="AK23" s="180">
        <v>0</v>
      </c>
      <c r="AL23" s="180">
        <v>0</v>
      </c>
      <c r="AM23" s="180"/>
      <c r="AN23" s="180">
        <v>0</v>
      </c>
      <c r="AO23" s="180"/>
      <c r="AP23" s="180">
        <v>0</v>
      </c>
      <c r="AQ23" s="180">
        <v>14181246</v>
      </c>
      <c r="AR23" s="180">
        <v>0</v>
      </c>
      <c r="AS23" s="180">
        <v>0</v>
      </c>
      <c r="AT23" s="180">
        <v>0</v>
      </c>
      <c r="AU23" s="180">
        <v>0</v>
      </c>
      <c r="AV23" s="180">
        <v>0</v>
      </c>
      <c r="AW23" s="180">
        <v>936568</v>
      </c>
      <c r="AX23" s="180">
        <v>0</v>
      </c>
      <c r="AY23" s="180">
        <v>0</v>
      </c>
      <c r="AZ23" s="180">
        <v>0</v>
      </c>
      <c r="BA23" s="180">
        <v>0</v>
      </c>
      <c r="BB23" s="180">
        <v>0</v>
      </c>
      <c r="BC23" s="180">
        <v>972841</v>
      </c>
      <c r="BD23" s="180">
        <v>0</v>
      </c>
      <c r="BE23" s="180">
        <v>0</v>
      </c>
      <c r="BF23" s="180">
        <v>0</v>
      </c>
      <c r="BG23" s="180">
        <v>0</v>
      </c>
      <c r="BH23" s="180">
        <v>0</v>
      </c>
      <c r="BI23" s="180">
        <v>0</v>
      </c>
      <c r="BJ23" s="180">
        <v>0</v>
      </c>
      <c r="BK23" s="180"/>
      <c r="BL23" s="180">
        <v>120027</v>
      </c>
      <c r="BM23" s="180">
        <v>0</v>
      </c>
      <c r="BN23" s="180">
        <v>0</v>
      </c>
      <c r="BO23" s="180">
        <v>0</v>
      </c>
      <c r="BP23" s="180">
        <v>0</v>
      </c>
      <c r="BQ23" s="180">
        <v>0</v>
      </c>
      <c r="BR23" s="180"/>
      <c r="BS23" s="180">
        <v>0</v>
      </c>
      <c r="BT23" s="180"/>
      <c r="BU23" s="180">
        <v>0</v>
      </c>
      <c r="BV23" s="180">
        <v>0</v>
      </c>
      <c r="BW23" s="180">
        <v>-549725</v>
      </c>
      <c r="BX23" s="180">
        <v>1036409</v>
      </c>
      <c r="BY23" s="180">
        <v>0</v>
      </c>
      <c r="BZ23" s="180">
        <v>0</v>
      </c>
      <c r="CA23" s="180">
        <v>0</v>
      </c>
      <c r="CB23" s="180">
        <v>0</v>
      </c>
      <c r="CC23" s="180">
        <v>0</v>
      </c>
      <c r="CD23" s="180"/>
      <c r="CE23" s="180">
        <v>0</v>
      </c>
      <c r="CF23" s="180">
        <v>0</v>
      </c>
      <c r="CG23" s="180">
        <v>66942</v>
      </c>
      <c r="CH23" s="180">
        <v>0</v>
      </c>
      <c r="CI23" s="180"/>
      <c r="CJ23" s="180"/>
      <c r="CK23" s="180"/>
      <c r="CL23" s="180"/>
      <c r="CM23" s="180"/>
      <c r="CN23" s="180"/>
      <c r="CO23" s="180"/>
      <c r="CP23" s="180"/>
      <c r="CQ23" s="180"/>
      <c r="CR23" s="180"/>
      <c r="CS23" s="180"/>
      <c r="CT23" s="180"/>
      <c r="CU23" s="180"/>
    </row>
    <row r="24" spans="1:99" x14ac:dyDescent="0.3">
      <c r="A24" s="155">
        <v>61</v>
      </c>
      <c r="B24" s="180" t="s">
        <v>254</v>
      </c>
      <c r="C24" s="180"/>
      <c r="D24" s="180">
        <v>0</v>
      </c>
      <c r="E24" s="180">
        <v>99.14</v>
      </c>
      <c r="F24" s="180">
        <v>95.7</v>
      </c>
      <c r="G24" s="180">
        <v>98.64</v>
      </c>
      <c r="H24" s="180"/>
      <c r="I24" s="180">
        <v>99.39</v>
      </c>
      <c r="J24" s="180">
        <v>99.53</v>
      </c>
      <c r="K24" s="180">
        <v>99.45</v>
      </c>
      <c r="L24" s="180">
        <v>99.61</v>
      </c>
      <c r="M24" s="180">
        <v>99.61</v>
      </c>
      <c r="N24" s="180">
        <v>99.16</v>
      </c>
      <c r="O24" s="180">
        <v>99.81</v>
      </c>
      <c r="P24" s="180">
        <v>96.63</v>
      </c>
      <c r="Q24" s="180">
        <v>96.95</v>
      </c>
      <c r="R24" s="180">
        <v>99.85</v>
      </c>
      <c r="S24" s="180">
        <v>98.73</v>
      </c>
      <c r="T24" s="180">
        <v>98.08</v>
      </c>
      <c r="U24" s="180">
        <v>99.97</v>
      </c>
      <c r="V24" s="180">
        <v>95.17</v>
      </c>
      <c r="W24" s="180">
        <v>96.65</v>
      </c>
      <c r="X24" s="180">
        <v>99.72</v>
      </c>
      <c r="Y24" s="180">
        <v>99.5</v>
      </c>
      <c r="Z24" s="180">
        <v>98.84</v>
      </c>
      <c r="AA24" s="180">
        <v>99.09</v>
      </c>
      <c r="AB24" s="180">
        <v>98.54</v>
      </c>
      <c r="AC24" s="180"/>
      <c r="AD24" s="180">
        <v>99.82</v>
      </c>
      <c r="AE24" s="180">
        <v>93.53</v>
      </c>
      <c r="AF24" s="180">
        <v>99.97</v>
      </c>
      <c r="AG24" s="180">
        <v>99.69</v>
      </c>
      <c r="AH24" s="180">
        <v>98.94</v>
      </c>
      <c r="AI24" s="180">
        <v>98.65</v>
      </c>
      <c r="AJ24" s="180">
        <v>97.14</v>
      </c>
      <c r="AK24" s="180">
        <v>99.19</v>
      </c>
      <c r="AL24" s="180">
        <v>99.03</v>
      </c>
      <c r="AM24" s="180"/>
      <c r="AN24" s="180">
        <v>93.28</v>
      </c>
      <c r="AO24" s="180"/>
      <c r="AP24" s="180">
        <v>95.16</v>
      </c>
      <c r="AQ24" s="180">
        <v>99.4</v>
      </c>
      <c r="AR24" s="180">
        <v>92.19</v>
      </c>
      <c r="AS24" s="180">
        <v>97.23</v>
      </c>
      <c r="AT24" s="180">
        <v>98.59</v>
      </c>
      <c r="AU24" s="180">
        <v>69.92</v>
      </c>
      <c r="AV24" s="180">
        <v>97.28</v>
      </c>
      <c r="AW24" s="180">
        <v>99.74</v>
      </c>
      <c r="AX24" s="180">
        <v>97.65</v>
      </c>
      <c r="AY24" s="180">
        <v>99.63</v>
      </c>
      <c r="AZ24" s="180">
        <v>99.48</v>
      </c>
      <c r="BA24" s="180">
        <v>95.17</v>
      </c>
      <c r="BB24" s="180">
        <v>98.49</v>
      </c>
      <c r="BC24" s="180">
        <v>99.18</v>
      </c>
      <c r="BD24" s="180">
        <v>98.75</v>
      </c>
      <c r="BE24" s="180">
        <v>99.83</v>
      </c>
      <c r="BF24" s="180">
        <v>97.82</v>
      </c>
      <c r="BG24" s="180">
        <v>98.57</v>
      </c>
      <c r="BH24" s="180">
        <v>84.97</v>
      </c>
      <c r="BI24" s="180">
        <v>99.77</v>
      </c>
      <c r="BJ24" s="180">
        <v>0</v>
      </c>
      <c r="BK24" s="180"/>
      <c r="BL24" s="180">
        <v>98.5</v>
      </c>
      <c r="BM24" s="180">
        <v>94.08</v>
      </c>
      <c r="BN24" s="180">
        <v>99.96</v>
      </c>
      <c r="BO24" s="180">
        <v>99.21</v>
      </c>
      <c r="BP24" s="180">
        <v>99.5</v>
      </c>
      <c r="BQ24" s="180">
        <v>95.34</v>
      </c>
      <c r="BR24" s="180"/>
      <c r="BS24" s="180">
        <v>96.69</v>
      </c>
      <c r="BT24" s="180"/>
      <c r="BU24" s="180">
        <v>99.24</v>
      </c>
      <c r="BV24" s="180">
        <v>98.59</v>
      </c>
      <c r="BW24" s="180">
        <v>98.18</v>
      </c>
      <c r="BX24" s="180">
        <v>96.3</v>
      </c>
      <c r="BY24" s="180">
        <v>97.06</v>
      </c>
      <c r="BZ24" s="180">
        <v>0</v>
      </c>
      <c r="CA24" s="180">
        <v>99.04</v>
      </c>
      <c r="CB24" s="180">
        <v>97.03</v>
      </c>
      <c r="CC24" s="180">
        <v>94.99</v>
      </c>
      <c r="CD24" s="180"/>
      <c r="CE24" s="180">
        <v>99.86</v>
      </c>
      <c r="CF24" s="180">
        <v>99.13</v>
      </c>
      <c r="CG24" s="180">
        <v>94.68</v>
      </c>
      <c r="CH24" s="180">
        <v>99.16</v>
      </c>
      <c r="CI24" s="180"/>
      <c r="CJ24" s="180"/>
      <c r="CK24" s="180"/>
      <c r="CL24" s="180"/>
      <c r="CM24" s="180"/>
      <c r="CN24" s="180"/>
      <c r="CO24" s="180"/>
      <c r="CP24" s="180"/>
      <c r="CQ24" s="180"/>
      <c r="CR24" s="180"/>
      <c r="CS24" s="180"/>
      <c r="CT24" s="180"/>
      <c r="CU24" s="180"/>
    </row>
    <row r="25" spans="1:99" x14ac:dyDescent="0.3">
      <c r="A25" s="155">
        <v>80</v>
      </c>
      <c r="B25" s="180" t="s">
        <v>209</v>
      </c>
      <c r="C25" s="180"/>
      <c r="D25" s="180">
        <v>778658</v>
      </c>
      <c r="E25" s="180">
        <v>0</v>
      </c>
      <c r="F25" s="180">
        <v>1277115</v>
      </c>
      <c r="G25" s="180">
        <v>169660</v>
      </c>
      <c r="H25" s="180"/>
      <c r="I25" s="180">
        <v>4114019</v>
      </c>
      <c r="J25" s="180">
        <v>0</v>
      </c>
      <c r="K25" s="180">
        <v>5675623</v>
      </c>
      <c r="L25" s="180">
        <v>0</v>
      </c>
      <c r="M25" s="180">
        <v>0</v>
      </c>
      <c r="N25" s="180">
        <v>1747506</v>
      </c>
      <c r="O25" s="180">
        <v>258919423</v>
      </c>
      <c r="P25" s="180">
        <v>0</v>
      </c>
      <c r="Q25" s="180">
        <v>0</v>
      </c>
      <c r="R25" s="180">
        <v>0</v>
      </c>
      <c r="S25" s="180">
        <v>0</v>
      </c>
      <c r="T25" s="180">
        <v>0</v>
      </c>
      <c r="U25" s="180">
        <v>0</v>
      </c>
      <c r="V25" s="180">
        <v>180693</v>
      </c>
      <c r="W25" s="180">
        <v>2152661</v>
      </c>
      <c r="X25" s="180">
        <v>0</v>
      </c>
      <c r="Y25" s="180">
        <v>340580000</v>
      </c>
      <c r="Z25" s="180">
        <v>731830</v>
      </c>
      <c r="AA25" s="180">
        <v>287363</v>
      </c>
      <c r="AB25" s="180">
        <v>0</v>
      </c>
      <c r="AC25" s="180"/>
      <c r="AD25" s="180">
        <v>4347172</v>
      </c>
      <c r="AE25" s="180">
        <v>833570</v>
      </c>
      <c r="AF25" s="180">
        <v>33046687</v>
      </c>
      <c r="AG25" s="180">
        <v>0</v>
      </c>
      <c r="AH25" s="180">
        <v>2441951</v>
      </c>
      <c r="AI25" s="180">
        <v>6187401</v>
      </c>
      <c r="AJ25" s="180">
        <v>1146064</v>
      </c>
      <c r="AK25" s="180">
        <v>1495929</v>
      </c>
      <c r="AL25" s="180">
        <v>586044</v>
      </c>
      <c r="AM25" s="180"/>
      <c r="AN25" s="180">
        <v>2970379</v>
      </c>
      <c r="AO25" s="180"/>
      <c r="AP25" s="180">
        <v>0</v>
      </c>
      <c r="AQ25" s="180">
        <v>97699067</v>
      </c>
      <c r="AR25" s="180">
        <v>0</v>
      </c>
      <c r="AS25" s="180">
        <v>69113</v>
      </c>
      <c r="AT25" s="180">
        <v>10542629</v>
      </c>
      <c r="AU25" s="180">
        <v>1263661</v>
      </c>
      <c r="AV25" s="570">
        <v>0</v>
      </c>
      <c r="AW25" s="180">
        <v>0</v>
      </c>
      <c r="AX25" s="180">
        <v>91413</v>
      </c>
      <c r="AY25" s="180">
        <v>0</v>
      </c>
      <c r="AZ25" s="180">
        <v>0</v>
      </c>
      <c r="BA25" s="180">
        <v>351731</v>
      </c>
      <c r="BB25" s="180">
        <v>53260</v>
      </c>
      <c r="BC25" s="180">
        <v>3041153</v>
      </c>
      <c r="BD25" s="180">
        <v>0</v>
      </c>
      <c r="BE25" s="180">
        <v>0</v>
      </c>
      <c r="BF25" s="180">
        <v>954005</v>
      </c>
      <c r="BG25" s="180">
        <v>0</v>
      </c>
      <c r="BH25" s="180">
        <v>0</v>
      </c>
      <c r="BI25" s="180">
        <v>905445</v>
      </c>
      <c r="BJ25" s="180">
        <v>0</v>
      </c>
      <c r="BK25" s="180"/>
      <c r="BL25" s="180">
        <v>623110</v>
      </c>
      <c r="BM25" s="180">
        <v>262018</v>
      </c>
      <c r="BN25" s="180">
        <v>0</v>
      </c>
      <c r="BO25" s="180">
        <v>1362963</v>
      </c>
      <c r="BP25" s="180">
        <v>87653642</v>
      </c>
      <c r="BQ25" s="180">
        <v>0</v>
      </c>
      <c r="BR25" s="180"/>
      <c r="BS25" s="180">
        <v>527758</v>
      </c>
      <c r="BT25" s="180"/>
      <c r="BU25" s="180">
        <v>0</v>
      </c>
      <c r="BV25" s="180">
        <v>2842067</v>
      </c>
      <c r="BW25" s="180">
        <v>714268</v>
      </c>
      <c r="BX25" s="180">
        <v>9166059</v>
      </c>
      <c r="BY25" s="180">
        <v>3037682</v>
      </c>
      <c r="BZ25" s="180">
        <v>221388</v>
      </c>
      <c r="CA25" s="180">
        <v>3309746</v>
      </c>
      <c r="CB25" s="180">
        <v>1162245</v>
      </c>
      <c r="CC25" s="180">
        <v>160920</v>
      </c>
      <c r="CD25" s="180"/>
      <c r="CE25" s="180">
        <v>6254901</v>
      </c>
      <c r="CF25" s="180">
        <v>0</v>
      </c>
      <c r="CG25" s="180">
        <v>480396</v>
      </c>
      <c r="CH25" s="180">
        <v>0</v>
      </c>
      <c r="CI25" s="180"/>
      <c r="CJ25" s="180"/>
      <c r="CK25" s="180"/>
      <c r="CL25" s="180"/>
      <c r="CM25" s="180"/>
      <c r="CN25" s="180"/>
      <c r="CO25" s="180"/>
      <c r="CP25" s="180"/>
      <c r="CQ25" s="180"/>
      <c r="CR25" s="180"/>
      <c r="CS25" s="180"/>
      <c r="CT25" s="180"/>
      <c r="CU25" s="180"/>
    </row>
    <row r="26" spans="1:99" x14ac:dyDescent="0.3">
      <c r="A26" s="155">
        <v>81</v>
      </c>
      <c r="B26" s="180" t="s">
        <v>210</v>
      </c>
      <c r="C26" s="180"/>
      <c r="D26" s="180">
        <v>15178</v>
      </c>
      <c r="E26" s="180">
        <v>0</v>
      </c>
      <c r="F26" s="180">
        <v>29130</v>
      </c>
      <c r="G26" s="180">
        <v>11834</v>
      </c>
      <c r="H26" s="180"/>
      <c r="I26" s="180">
        <v>270707</v>
      </c>
      <c r="J26" s="180">
        <v>0</v>
      </c>
      <c r="K26" s="180">
        <v>950230</v>
      </c>
      <c r="L26" s="180">
        <v>0</v>
      </c>
      <c r="M26" s="180">
        <v>0</v>
      </c>
      <c r="N26" s="180">
        <v>250392</v>
      </c>
      <c r="O26" s="180">
        <v>14615802</v>
      </c>
      <c r="P26" s="180">
        <v>0</v>
      </c>
      <c r="Q26" s="180">
        <v>0</v>
      </c>
      <c r="R26" s="180">
        <v>0</v>
      </c>
      <c r="S26" s="180">
        <v>0</v>
      </c>
      <c r="T26" s="180">
        <v>0</v>
      </c>
      <c r="U26" s="180">
        <v>0</v>
      </c>
      <c r="V26" s="180">
        <v>11242</v>
      </c>
      <c r="W26" s="180">
        <v>114031</v>
      </c>
      <c r="X26" s="180">
        <v>0</v>
      </c>
      <c r="Y26" s="180">
        <v>59116000</v>
      </c>
      <c r="Z26" s="180">
        <v>564926</v>
      </c>
      <c r="AA26" s="180">
        <v>7038</v>
      </c>
      <c r="AB26" s="180">
        <v>0</v>
      </c>
      <c r="AC26" s="180"/>
      <c r="AD26" s="180">
        <v>280174</v>
      </c>
      <c r="AE26" s="180">
        <v>34608</v>
      </c>
      <c r="AF26" s="180">
        <v>3201732</v>
      </c>
      <c r="AG26" s="180">
        <v>0</v>
      </c>
      <c r="AH26" s="180">
        <v>82151</v>
      </c>
      <c r="AI26" s="180">
        <v>788569</v>
      </c>
      <c r="AJ26" s="180">
        <v>147657</v>
      </c>
      <c r="AK26" s="180">
        <v>34612</v>
      </c>
      <c r="AL26" s="180">
        <v>2623</v>
      </c>
      <c r="AM26" s="180"/>
      <c r="AN26" s="180">
        <v>73861</v>
      </c>
      <c r="AO26" s="180"/>
      <c r="AP26" s="180">
        <v>0</v>
      </c>
      <c r="AQ26" s="180">
        <v>5417988</v>
      </c>
      <c r="AR26" s="180">
        <v>0</v>
      </c>
      <c r="AS26" s="180">
        <v>1160</v>
      </c>
      <c r="AT26" s="180">
        <v>1577585</v>
      </c>
      <c r="AU26" s="180">
        <v>58121</v>
      </c>
      <c r="AV26" s="570">
        <v>0</v>
      </c>
      <c r="AW26" s="180">
        <v>0</v>
      </c>
      <c r="AX26" s="180">
        <v>22051</v>
      </c>
      <c r="AY26" s="180">
        <v>0</v>
      </c>
      <c r="AZ26" s="180">
        <v>0</v>
      </c>
      <c r="BA26" s="180">
        <v>52771</v>
      </c>
      <c r="BB26" s="180">
        <v>16576</v>
      </c>
      <c r="BC26" s="180">
        <v>407363</v>
      </c>
      <c r="BD26" s="180">
        <v>0</v>
      </c>
      <c r="BE26" s="180">
        <v>0</v>
      </c>
      <c r="BF26" s="180">
        <v>222640</v>
      </c>
      <c r="BG26" s="180">
        <v>0</v>
      </c>
      <c r="BH26" s="180">
        <v>0</v>
      </c>
      <c r="BI26" s="180">
        <v>266157</v>
      </c>
      <c r="BJ26" s="180">
        <v>0</v>
      </c>
      <c r="BK26" s="180"/>
      <c r="BL26" s="180">
        <v>77366</v>
      </c>
      <c r="BM26" s="180">
        <v>24275</v>
      </c>
      <c r="BN26" s="180">
        <v>0</v>
      </c>
      <c r="BO26" s="180">
        <v>1159427</v>
      </c>
      <c r="BP26" s="180">
        <v>18878204</v>
      </c>
      <c r="BQ26" s="180">
        <v>0</v>
      </c>
      <c r="BR26" s="180"/>
      <c r="BS26" s="180">
        <v>72014</v>
      </c>
      <c r="BT26" s="180"/>
      <c r="BU26" s="180">
        <v>0</v>
      </c>
      <c r="BV26" s="180">
        <v>1655104</v>
      </c>
      <c r="BW26" s="180">
        <v>285204</v>
      </c>
      <c r="BX26" s="180">
        <v>1769838</v>
      </c>
      <c r="BY26" s="180">
        <v>200538</v>
      </c>
      <c r="BZ26" s="180">
        <v>23952</v>
      </c>
      <c r="CA26" s="180">
        <v>213792</v>
      </c>
      <c r="CB26" s="180">
        <v>69529</v>
      </c>
      <c r="CC26" s="180">
        <v>64397</v>
      </c>
      <c r="CD26" s="180"/>
      <c r="CE26" s="180">
        <v>636263</v>
      </c>
      <c r="CF26" s="180">
        <v>0</v>
      </c>
      <c r="CG26" s="180">
        <v>425961</v>
      </c>
      <c r="CH26" s="180">
        <v>0</v>
      </c>
      <c r="CI26" s="180"/>
      <c r="CJ26" s="180"/>
      <c r="CK26" s="180"/>
      <c r="CL26" s="180"/>
      <c r="CM26" s="180"/>
      <c r="CN26" s="180"/>
      <c r="CO26" s="180"/>
      <c r="CP26" s="180"/>
      <c r="CQ26" s="180"/>
      <c r="CR26" s="180"/>
      <c r="CS26" s="180"/>
      <c r="CT26" s="180"/>
      <c r="CU26" s="180"/>
    </row>
    <row r="27" spans="1:99" s="559" customFormat="1" x14ac:dyDescent="0.3">
      <c r="A27" s="558">
        <v>82</v>
      </c>
      <c r="B27" s="559" t="s">
        <v>307</v>
      </c>
      <c r="D27" s="559">
        <v>0</v>
      </c>
      <c r="E27" s="559">
        <v>0</v>
      </c>
      <c r="F27" s="559">
        <v>0</v>
      </c>
      <c r="G27" s="559">
        <v>3445</v>
      </c>
      <c r="I27" s="559">
        <v>2152835</v>
      </c>
      <c r="J27" s="559">
        <v>0</v>
      </c>
      <c r="K27" s="559">
        <v>23583730</v>
      </c>
      <c r="L27" s="559">
        <v>0</v>
      </c>
      <c r="M27" s="559">
        <v>0</v>
      </c>
      <c r="N27" s="559">
        <v>3602134</v>
      </c>
      <c r="O27" s="559">
        <v>244397694</v>
      </c>
      <c r="P27" s="559">
        <v>0</v>
      </c>
      <c r="Q27" s="559">
        <v>0</v>
      </c>
      <c r="R27" s="559">
        <v>0</v>
      </c>
      <c r="S27" s="559">
        <v>0</v>
      </c>
      <c r="T27" s="559">
        <v>0</v>
      </c>
      <c r="U27" s="559">
        <v>0</v>
      </c>
      <c r="V27" s="559">
        <v>0</v>
      </c>
      <c r="W27" s="559">
        <v>3083000</v>
      </c>
      <c r="X27" s="559">
        <v>0</v>
      </c>
      <c r="Y27" s="559">
        <v>2042735000</v>
      </c>
      <c r="Z27" s="559">
        <v>0</v>
      </c>
      <c r="AA27" s="559">
        <v>0</v>
      </c>
      <c r="AB27" s="559">
        <v>0</v>
      </c>
      <c r="AD27" s="559">
        <v>94528</v>
      </c>
      <c r="AE27" s="559">
        <v>353849</v>
      </c>
      <c r="AF27" s="559">
        <v>140956901</v>
      </c>
      <c r="AG27" s="559">
        <v>0</v>
      </c>
      <c r="AH27" s="559">
        <v>0</v>
      </c>
      <c r="AI27" s="559">
        <v>6729668</v>
      </c>
      <c r="AJ27" s="559">
        <v>0</v>
      </c>
      <c r="AK27" s="559">
        <v>0</v>
      </c>
      <c r="AL27" s="559">
        <v>573500</v>
      </c>
      <c r="AN27" s="559">
        <v>2016391</v>
      </c>
      <c r="AP27" s="559">
        <v>0</v>
      </c>
      <c r="AQ27" s="559">
        <v>18142347</v>
      </c>
      <c r="AR27" s="559">
        <v>0</v>
      </c>
      <c r="AS27" s="559">
        <v>0</v>
      </c>
      <c r="AT27" s="559">
        <v>2307522</v>
      </c>
      <c r="AU27" s="559">
        <v>384026</v>
      </c>
      <c r="AV27" s="785">
        <v>0</v>
      </c>
      <c r="AW27" s="559">
        <v>0</v>
      </c>
      <c r="AX27" s="559">
        <v>79800</v>
      </c>
      <c r="AY27" s="559">
        <v>0</v>
      </c>
      <c r="AZ27" s="559">
        <v>0</v>
      </c>
      <c r="BA27" s="559">
        <v>160091</v>
      </c>
      <c r="BB27" s="559">
        <v>0</v>
      </c>
      <c r="BC27" s="559">
        <v>2126304</v>
      </c>
      <c r="BD27" s="559">
        <v>0</v>
      </c>
      <c r="BE27" s="559">
        <v>0</v>
      </c>
      <c r="BF27" s="559">
        <v>2155925</v>
      </c>
      <c r="BG27" s="559">
        <v>0</v>
      </c>
      <c r="BH27" s="559">
        <v>0</v>
      </c>
      <c r="BI27" s="559">
        <v>2729417</v>
      </c>
      <c r="BJ27" s="559">
        <v>0</v>
      </c>
      <c r="BL27" s="559">
        <v>282652</v>
      </c>
      <c r="BM27" s="559">
        <v>11114</v>
      </c>
      <c r="BN27" s="559">
        <v>0</v>
      </c>
      <c r="BO27" s="559">
        <v>10586675</v>
      </c>
      <c r="BP27" s="559">
        <v>311499799</v>
      </c>
      <c r="BQ27" s="559">
        <v>0</v>
      </c>
      <c r="BS27" s="559">
        <v>0</v>
      </c>
      <c r="BU27" s="559">
        <v>0</v>
      </c>
      <c r="BV27" s="559">
        <v>17912948</v>
      </c>
      <c r="BW27" s="559">
        <v>5516335</v>
      </c>
      <c r="BX27" s="559">
        <v>1275980</v>
      </c>
      <c r="BY27" s="559">
        <v>967357</v>
      </c>
      <c r="BZ27" s="559">
        <v>0</v>
      </c>
      <c r="CA27" s="559">
        <v>1866113</v>
      </c>
      <c r="CB27" s="559">
        <v>0</v>
      </c>
      <c r="CC27" s="559">
        <v>0</v>
      </c>
      <c r="CE27" s="559">
        <v>1896800</v>
      </c>
      <c r="CF27" s="559">
        <v>0</v>
      </c>
      <c r="CG27" s="559">
        <v>1680887</v>
      </c>
      <c r="CH27" s="559">
        <v>0</v>
      </c>
    </row>
    <row r="28" spans="1:99" s="559" customFormat="1" x14ac:dyDescent="0.3">
      <c r="A28" s="558">
        <v>83</v>
      </c>
      <c r="B28" s="559" t="s">
        <v>94</v>
      </c>
      <c r="D28" s="559">
        <v>3641566</v>
      </c>
      <c r="E28" s="559">
        <v>0</v>
      </c>
      <c r="F28" s="559">
        <v>4357670</v>
      </c>
      <c r="G28" s="559">
        <v>530176</v>
      </c>
      <c r="I28" s="559">
        <v>12958889</v>
      </c>
      <c r="J28" s="559">
        <v>0</v>
      </c>
      <c r="K28" s="559">
        <v>24561869</v>
      </c>
      <c r="L28" s="559">
        <v>0</v>
      </c>
      <c r="M28" s="559">
        <v>0</v>
      </c>
      <c r="N28" s="559">
        <v>13623398</v>
      </c>
      <c r="O28" s="559">
        <v>903413539</v>
      </c>
      <c r="P28" s="559">
        <v>0</v>
      </c>
      <c r="Q28" s="559">
        <v>0</v>
      </c>
      <c r="R28" s="559">
        <v>0</v>
      </c>
      <c r="S28" s="559">
        <v>0</v>
      </c>
      <c r="T28" s="559">
        <v>0</v>
      </c>
      <c r="U28" s="559">
        <v>0</v>
      </c>
      <c r="V28" s="559">
        <v>2232518</v>
      </c>
      <c r="W28" s="559">
        <v>10346304</v>
      </c>
      <c r="X28" s="559">
        <v>0</v>
      </c>
      <c r="Y28" s="559">
        <v>3149986000</v>
      </c>
      <c r="Z28" s="559">
        <v>11235602</v>
      </c>
      <c r="AA28" s="559">
        <v>3630457</v>
      </c>
      <c r="AB28" s="559">
        <v>0</v>
      </c>
      <c r="AD28" s="559">
        <v>11855406</v>
      </c>
      <c r="AE28" s="559">
        <v>4950805</v>
      </c>
      <c r="AF28" s="559">
        <v>122213160</v>
      </c>
      <c r="AG28" s="559">
        <v>0</v>
      </c>
      <c r="AH28" s="559">
        <v>6602659</v>
      </c>
      <c r="AI28" s="559">
        <v>20633943</v>
      </c>
      <c r="AJ28" s="559">
        <v>3839009</v>
      </c>
      <c r="AK28" s="559">
        <v>1723486</v>
      </c>
      <c r="AL28" s="559">
        <v>1816649</v>
      </c>
      <c r="AN28" s="559">
        <v>10940576</v>
      </c>
      <c r="AP28" s="559">
        <v>0</v>
      </c>
      <c r="AQ28" s="559">
        <v>289146046</v>
      </c>
      <c r="AR28" s="559">
        <v>0</v>
      </c>
      <c r="AS28" s="559">
        <v>1924732</v>
      </c>
      <c r="AT28" s="559">
        <v>38913472</v>
      </c>
      <c r="AU28" s="559">
        <v>4093840</v>
      </c>
      <c r="AV28" s="785">
        <v>0</v>
      </c>
      <c r="AW28" s="559">
        <v>0</v>
      </c>
      <c r="AX28" s="559">
        <v>4900214</v>
      </c>
      <c r="AY28" s="559">
        <v>0</v>
      </c>
      <c r="AZ28" s="559">
        <v>0</v>
      </c>
      <c r="BA28" s="559">
        <v>5150875</v>
      </c>
      <c r="BB28" s="559">
        <v>1120924</v>
      </c>
      <c r="BC28" s="559">
        <v>9579228</v>
      </c>
      <c r="BD28" s="559">
        <v>0</v>
      </c>
      <c r="BE28" s="559">
        <v>0</v>
      </c>
      <c r="BF28" s="559">
        <v>9039188</v>
      </c>
      <c r="BG28" s="559">
        <v>0</v>
      </c>
      <c r="BH28" s="559">
        <v>0</v>
      </c>
      <c r="BI28" s="559">
        <v>10661008</v>
      </c>
      <c r="BJ28" s="559">
        <v>0</v>
      </c>
      <c r="BL28" s="559">
        <v>893599</v>
      </c>
      <c r="BM28" s="559">
        <v>2326443</v>
      </c>
      <c r="BN28" s="559">
        <v>0</v>
      </c>
      <c r="BO28" s="559">
        <v>30272825</v>
      </c>
      <c r="BP28" s="559">
        <v>948536026</v>
      </c>
      <c r="BQ28" s="559">
        <v>0</v>
      </c>
      <c r="BS28" s="559">
        <v>1100240</v>
      </c>
      <c r="BU28" s="559">
        <v>0</v>
      </c>
      <c r="BV28" s="559">
        <v>63060286</v>
      </c>
      <c r="BW28" s="559">
        <v>8058392</v>
      </c>
      <c r="BX28" s="559">
        <v>54563316</v>
      </c>
      <c r="BY28" s="559">
        <v>16474818</v>
      </c>
      <c r="BZ28" s="559">
        <v>1613033</v>
      </c>
      <c r="CA28" s="559">
        <v>7260613</v>
      </c>
      <c r="CB28" s="559">
        <v>4380905</v>
      </c>
      <c r="CC28" s="559">
        <v>6059062</v>
      </c>
      <c r="CE28" s="559">
        <v>10477231</v>
      </c>
      <c r="CF28" s="559">
        <v>0</v>
      </c>
      <c r="CG28" s="559">
        <v>6729304</v>
      </c>
      <c r="CH28" s="559">
        <v>0</v>
      </c>
    </row>
    <row r="29" spans="1:99" s="559" customFormat="1" x14ac:dyDescent="0.3">
      <c r="A29" s="558">
        <v>84</v>
      </c>
      <c r="B29" s="559" t="s">
        <v>218</v>
      </c>
      <c r="D29" s="559">
        <v>208036</v>
      </c>
      <c r="E29" s="559">
        <v>0</v>
      </c>
      <c r="F29" s="559">
        <v>369028</v>
      </c>
      <c r="G29" s="559">
        <v>104766</v>
      </c>
      <c r="I29" s="559">
        <v>2839414</v>
      </c>
      <c r="J29" s="559">
        <v>0</v>
      </c>
      <c r="K29" s="559">
        <v>9648195</v>
      </c>
      <c r="L29" s="559">
        <v>0</v>
      </c>
      <c r="M29" s="559">
        <v>0</v>
      </c>
      <c r="N29" s="559">
        <v>2152016</v>
      </c>
      <c r="O29" s="559">
        <v>88998718</v>
      </c>
      <c r="P29" s="559">
        <v>0</v>
      </c>
      <c r="Q29" s="559">
        <v>0</v>
      </c>
      <c r="R29" s="559">
        <v>0</v>
      </c>
      <c r="S29" s="559">
        <v>0</v>
      </c>
      <c r="T29" s="559">
        <v>0</v>
      </c>
      <c r="U29" s="559">
        <v>0</v>
      </c>
      <c r="V29" s="559">
        <v>68314</v>
      </c>
      <c r="W29" s="559">
        <v>880052</v>
      </c>
      <c r="X29" s="559">
        <v>0</v>
      </c>
      <c r="Y29" s="559">
        <v>540536000</v>
      </c>
      <c r="Z29" s="559">
        <v>3046759</v>
      </c>
      <c r="AA29" s="559">
        <v>87371</v>
      </c>
      <c r="AB29" s="559">
        <v>0</v>
      </c>
      <c r="AD29" s="559">
        <v>2141971</v>
      </c>
      <c r="AE29" s="559">
        <v>665188</v>
      </c>
      <c r="AF29" s="559">
        <v>27719626</v>
      </c>
      <c r="AG29" s="559">
        <v>0</v>
      </c>
      <c r="AH29" s="559">
        <v>672382</v>
      </c>
      <c r="AI29" s="559">
        <v>6121197</v>
      </c>
      <c r="AJ29" s="559">
        <v>1228179</v>
      </c>
      <c r="AK29" s="559">
        <v>484764</v>
      </c>
      <c r="AL29" s="559">
        <v>298235</v>
      </c>
      <c r="AN29" s="559">
        <v>791460</v>
      </c>
      <c r="AP29" s="559">
        <v>0</v>
      </c>
      <c r="AQ29" s="559">
        <v>49655734</v>
      </c>
      <c r="AR29" s="559">
        <v>0</v>
      </c>
      <c r="AS29" s="559">
        <v>55784</v>
      </c>
      <c r="AT29" s="559">
        <v>5861728</v>
      </c>
      <c r="AU29" s="559">
        <v>505990</v>
      </c>
      <c r="AV29" s="785">
        <v>0</v>
      </c>
      <c r="AW29" s="559">
        <v>0</v>
      </c>
      <c r="AX29" s="559">
        <v>214243</v>
      </c>
      <c r="AY29" s="559">
        <v>0</v>
      </c>
      <c r="AZ29" s="559">
        <v>0</v>
      </c>
      <c r="BA29" s="559">
        <v>382543</v>
      </c>
      <c r="BB29" s="559">
        <v>100101</v>
      </c>
      <c r="BC29" s="559">
        <v>3402118</v>
      </c>
      <c r="BD29" s="559">
        <v>0</v>
      </c>
      <c r="BE29" s="559">
        <v>0</v>
      </c>
      <c r="BF29" s="559">
        <v>1772791</v>
      </c>
      <c r="BG29" s="559">
        <v>0</v>
      </c>
      <c r="BH29" s="559">
        <v>0</v>
      </c>
      <c r="BI29" s="559">
        <v>1954366</v>
      </c>
      <c r="BJ29" s="559">
        <v>0</v>
      </c>
      <c r="BL29" s="559">
        <v>737484</v>
      </c>
      <c r="BM29" s="559">
        <v>306123</v>
      </c>
      <c r="BN29" s="559">
        <v>0</v>
      </c>
      <c r="BO29" s="559">
        <v>7329994</v>
      </c>
      <c r="BP29" s="559">
        <v>122142838</v>
      </c>
      <c r="BQ29" s="559">
        <v>0</v>
      </c>
      <c r="BS29" s="559">
        <v>384466</v>
      </c>
      <c r="BU29" s="559">
        <v>0</v>
      </c>
      <c r="BV29" s="559">
        <v>10109518</v>
      </c>
      <c r="BW29" s="559">
        <v>2889760</v>
      </c>
      <c r="BX29" s="559">
        <v>11367552</v>
      </c>
      <c r="BY29" s="559">
        <v>1958342</v>
      </c>
      <c r="BZ29" s="559">
        <v>317276</v>
      </c>
      <c r="CA29" s="559">
        <v>1948641</v>
      </c>
      <c r="CB29" s="559">
        <v>583463</v>
      </c>
      <c r="CC29" s="559">
        <v>574962</v>
      </c>
      <c r="CE29" s="559">
        <v>5559879</v>
      </c>
      <c r="CF29" s="559">
        <v>0</v>
      </c>
      <c r="CG29" s="559">
        <v>1194983</v>
      </c>
      <c r="CH29" s="559">
        <v>0</v>
      </c>
    </row>
    <row r="30" spans="1:99" s="559" customFormat="1" ht="13.95" customHeight="1" x14ac:dyDescent="0.3">
      <c r="A30" s="558">
        <v>85</v>
      </c>
      <c r="B30" s="559" t="s">
        <v>220</v>
      </c>
      <c r="D30" s="559">
        <v>272126</v>
      </c>
      <c r="E30" s="559">
        <v>0</v>
      </c>
      <c r="F30" s="559">
        <v>346143</v>
      </c>
      <c r="G30" s="559">
        <v>160584</v>
      </c>
      <c r="I30" s="559">
        <v>2597199</v>
      </c>
      <c r="J30" s="559">
        <v>0</v>
      </c>
      <c r="K30" s="559">
        <v>6792152</v>
      </c>
      <c r="L30" s="559">
        <v>0</v>
      </c>
      <c r="M30" s="559">
        <v>0</v>
      </c>
      <c r="N30" s="559">
        <v>1848005</v>
      </c>
      <c r="O30" s="559">
        <v>77543802</v>
      </c>
      <c r="P30" s="559">
        <v>0</v>
      </c>
      <c r="Q30" s="559">
        <v>0</v>
      </c>
      <c r="R30" s="559">
        <v>0</v>
      </c>
      <c r="S30" s="559">
        <v>0</v>
      </c>
      <c r="T30" s="559">
        <v>0</v>
      </c>
      <c r="U30" s="559">
        <v>0</v>
      </c>
      <c r="V30" s="559">
        <v>147315</v>
      </c>
      <c r="W30" s="559">
        <v>1056567</v>
      </c>
      <c r="X30" s="559">
        <v>0</v>
      </c>
      <c r="Y30" s="559">
        <v>419928000</v>
      </c>
      <c r="Z30" s="559">
        <v>3334205</v>
      </c>
      <c r="AA30" s="559">
        <v>183902</v>
      </c>
      <c r="AB30" s="559">
        <v>0</v>
      </c>
      <c r="AD30" s="559">
        <v>1689242</v>
      </c>
      <c r="AE30" s="559">
        <v>577542</v>
      </c>
      <c r="AF30" s="559">
        <v>21759727</v>
      </c>
      <c r="AG30" s="559">
        <v>0</v>
      </c>
      <c r="AH30" s="559">
        <v>508225</v>
      </c>
      <c r="AI30" s="559">
        <v>6603187</v>
      </c>
      <c r="AJ30" s="559">
        <v>1278862</v>
      </c>
      <c r="AK30" s="559">
        <v>442305</v>
      </c>
      <c r="AL30" s="559">
        <v>254817</v>
      </c>
      <c r="AN30" s="559">
        <v>1043771</v>
      </c>
      <c r="AP30" s="559">
        <v>0</v>
      </c>
      <c r="AQ30" s="559">
        <v>47238863</v>
      </c>
      <c r="AR30" s="559">
        <v>0</v>
      </c>
      <c r="AS30" s="559">
        <v>166495</v>
      </c>
      <c r="AT30" s="559">
        <v>5269668</v>
      </c>
      <c r="AU30" s="559">
        <v>588006</v>
      </c>
      <c r="AV30" s="785">
        <v>0</v>
      </c>
      <c r="AW30" s="559">
        <v>0</v>
      </c>
      <c r="AX30" s="559">
        <v>373845</v>
      </c>
      <c r="AY30" s="559">
        <v>0</v>
      </c>
      <c r="AZ30" s="559">
        <v>0</v>
      </c>
      <c r="BA30" s="559">
        <v>531574</v>
      </c>
      <c r="BB30" s="559">
        <v>131679</v>
      </c>
      <c r="BC30" s="559">
        <v>3243717</v>
      </c>
      <c r="BD30" s="559">
        <v>0</v>
      </c>
      <c r="BE30" s="559">
        <v>0</v>
      </c>
      <c r="BF30" s="559">
        <v>1639743</v>
      </c>
      <c r="BG30" s="559">
        <v>0</v>
      </c>
      <c r="BH30" s="559">
        <v>0</v>
      </c>
      <c r="BI30" s="559">
        <v>2252875</v>
      </c>
      <c r="BJ30" s="559">
        <v>0</v>
      </c>
      <c r="BL30" s="559">
        <v>698351</v>
      </c>
      <c r="BM30" s="559">
        <v>322611</v>
      </c>
      <c r="BN30" s="559">
        <v>0</v>
      </c>
      <c r="BO30" s="559">
        <v>6875221</v>
      </c>
      <c r="BP30" s="559">
        <v>107930997</v>
      </c>
      <c r="BQ30" s="559">
        <v>0</v>
      </c>
      <c r="BS30" s="559">
        <v>361501</v>
      </c>
      <c r="BU30" s="559">
        <v>0</v>
      </c>
      <c r="BV30" s="559">
        <v>10967985</v>
      </c>
      <c r="BW30" s="559">
        <v>3010857</v>
      </c>
      <c r="BX30" s="559">
        <v>10493487</v>
      </c>
      <c r="BY30" s="559">
        <v>2306105</v>
      </c>
      <c r="BZ30" s="559">
        <v>378859</v>
      </c>
      <c r="CA30" s="559">
        <v>1403207</v>
      </c>
      <c r="CB30" s="559">
        <v>616064</v>
      </c>
      <c r="CC30" s="559">
        <v>603950</v>
      </c>
      <c r="CE30" s="559">
        <v>4605748</v>
      </c>
      <c r="CF30" s="559">
        <v>0</v>
      </c>
      <c r="CG30" s="559">
        <v>1231263</v>
      </c>
      <c r="CH30" s="559">
        <v>0</v>
      </c>
    </row>
    <row r="31" spans="1:99" x14ac:dyDescent="0.3">
      <c r="A31" s="155">
        <v>88</v>
      </c>
      <c r="B31" s="180" t="s">
        <v>217</v>
      </c>
      <c r="C31" s="180"/>
      <c r="D31" s="180">
        <v>208036</v>
      </c>
      <c r="E31" s="180">
        <v>0</v>
      </c>
      <c r="F31" s="180">
        <v>366733</v>
      </c>
      <c r="G31" s="180">
        <v>101247</v>
      </c>
      <c r="H31" s="180"/>
      <c r="I31" s="180">
        <v>2720413</v>
      </c>
      <c r="J31" s="180">
        <v>0</v>
      </c>
      <c r="K31" s="180">
        <v>9207712</v>
      </c>
      <c r="L31" s="180">
        <v>0</v>
      </c>
      <c r="M31" s="180">
        <v>0</v>
      </c>
      <c r="N31" s="180">
        <v>2152016</v>
      </c>
      <c r="O31" s="180">
        <v>86858163</v>
      </c>
      <c r="P31" s="180">
        <v>0</v>
      </c>
      <c r="Q31" s="180">
        <v>0</v>
      </c>
      <c r="R31" s="180">
        <v>0</v>
      </c>
      <c r="S31" s="180">
        <v>0</v>
      </c>
      <c r="T31" s="180">
        <v>0</v>
      </c>
      <c r="U31" s="180">
        <v>0</v>
      </c>
      <c r="V31" s="180">
        <v>68034</v>
      </c>
      <c r="W31" s="180">
        <v>840653</v>
      </c>
      <c r="X31" s="180">
        <v>0</v>
      </c>
      <c r="Y31" s="180">
        <v>424449000</v>
      </c>
      <c r="Z31" s="180">
        <v>2897079</v>
      </c>
      <c r="AA31" s="180">
        <v>87371</v>
      </c>
      <c r="AB31" s="180">
        <v>0</v>
      </c>
      <c r="AC31" s="180"/>
      <c r="AD31" s="180">
        <v>2091998</v>
      </c>
      <c r="AE31" s="180">
        <v>654974</v>
      </c>
      <c r="AF31" s="180">
        <v>26097048</v>
      </c>
      <c r="AG31" s="180">
        <v>0</v>
      </c>
      <c r="AH31" s="180">
        <v>615497</v>
      </c>
      <c r="AI31" s="180">
        <v>6098784</v>
      </c>
      <c r="AJ31" s="180">
        <v>1198358</v>
      </c>
      <c r="AK31" s="180">
        <v>397248</v>
      </c>
      <c r="AL31" s="180">
        <v>298235</v>
      </c>
      <c r="AM31" s="180"/>
      <c r="AN31" s="180">
        <v>786088</v>
      </c>
      <c r="AO31" s="180"/>
      <c r="AP31" s="180">
        <v>0</v>
      </c>
      <c r="AQ31" s="180">
        <v>46216197</v>
      </c>
      <c r="AR31" s="180">
        <v>0</v>
      </c>
      <c r="AS31" s="180">
        <v>55784</v>
      </c>
      <c r="AT31" s="180">
        <v>5861728</v>
      </c>
      <c r="AU31" s="180">
        <v>491302</v>
      </c>
      <c r="AV31" s="570">
        <v>0</v>
      </c>
      <c r="AW31" s="180">
        <v>0</v>
      </c>
      <c r="AX31" s="180">
        <v>202779</v>
      </c>
      <c r="AY31" s="180">
        <v>0</v>
      </c>
      <c r="AZ31" s="180">
        <v>0</v>
      </c>
      <c r="BA31" s="180">
        <v>382543</v>
      </c>
      <c r="BB31" s="180">
        <v>95615</v>
      </c>
      <c r="BC31" s="180">
        <v>3030577</v>
      </c>
      <c r="BD31" s="180">
        <v>0</v>
      </c>
      <c r="BE31" s="180">
        <v>0</v>
      </c>
      <c r="BF31" s="180">
        <v>1666053</v>
      </c>
      <c r="BG31" s="180">
        <v>0</v>
      </c>
      <c r="BH31" s="180">
        <v>0</v>
      </c>
      <c r="BI31" s="180">
        <v>1876981</v>
      </c>
      <c r="BJ31" s="180">
        <v>0</v>
      </c>
      <c r="BK31" s="180"/>
      <c r="BL31" s="180">
        <v>724695</v>
      </c>
      <c r="BM31" s="180">
        <v>303259</v>
      </c>
      <c r="BN31" s="180">
        <v>0</v>
      </c>
      <c r="BO31" s="180">
        <v>7247465</v>
      </c>
      <c r="BP31" s="180">
        <v>122142838</v>
      </c>
      <c r="BQ31" s="180">
        <v>0</v>
      </c>
      <c r="BR31" s="180"/>
      <c r="BS31" s="180">
        <v>372111</v>
      </c>
      <c r="BT31" s="180"/>
      <c r="BU31" s="180">
        <v>0</v>
      </c>
      <c r="BV31" s="180">
        <v>10109518</v>
      </c>
      <c r="BW31" s="180">
        <v>2872710</v>
      </c>
      <c r="BX31" s="180">
        <v>10658606</v>
      </c>
      <c r="BY31" s="180">
        <v>1835432</v>
      </c>
      <c r="BZ31" s="180">
        <v>310000</v>
      </c>
      <c r="CA31" s="180">
        <v>1774711</v>
      </c>
      <c r="CB31" s="180">
        <v>553921</v>
      </c>
      <c r="CC31" s="180">
        <v>541820</v>
      </c>
      <c r="CD31" s="180"/>
      <c r="CE31" s="180">
        <v>5498643</v>
      </c>
      <c r="CF31" s="180">
        <v>0</v>
      </c>
      <c r="CG31" s="180">
        <v>1194983</v>
      </c>
      <c r="CH31" s="180">
        <v>0</v>
      </c>
      <c r="CI31" s="180"/>
      <c r="CJ31" s="180"/>
      <c r="CK31" s="180"/>
      <c r="CL31" s="180"/>
      <c r="CM31" s="180"/>
      <c r="CN31" s="180"/>
      <c r="CO31" s="180"/>
      <c r="CP31" s="180"/>
      <c r="CQ31" s="180"/>
      <c r="CR31" s="180"/>
      <c r="CS31" s="180"/>
      <c r="CT31" s="180"/>
      <c r="CU31" s="180"/>
    </row>
    <row r="32" spans="1:99" x14ac:dyDescent="0.3">
      <c r="A32" s="155">
        <v>89</v>
      </c>
      <c r="B32" s="180" t="s">
        <v>221</v>
      </c>
      <c r="C32" s="180"/>
      <c r="D32" s="180">
        <v>0</v>
      </c>
      <c r="E32" s="180">
        <v>0</v>
      </c>
      <c r="F32" s="180">
        <v>0</v>
      </c>
      <c r="G32" s="180">
        <v>151</v>
      </c>
      <c r="H32" s="180"/>
      <c r="I32" s="180">
        <v>47104</v>
      </c>
      <c r="J32" s="180">
        <v>0</v>
      </c>
      <c r="K32" s="180">
        <v>947847</v>
      </c>
      <c r="L32" s="180">
        <v>0</v>
      </c>
      <c r="M32" s="180">
        <v>0</v>
      </c>
      <c r="N32" s="180">
        <v>91822</v>
      </c>
      <c r="O32" s="180">
        <v>6096469</v>
      </c>
      <c r="P32" s="180">
        <v>0</v>
      </c>
      <c r="Q32" s="180">
        <v>0</v>
      </c>
      <c r="R32" s="180">
        <v>0</v>
      </c>
      <c r="S32" s="180">
        <v>0</v>
      </c>
      <c r="T32" s="180">
        <v>0</v>
      </c>
      <c r="U32" s="180">
        <v>0</v>
      </c>
      <c r="V32" s="180">
        <v>0</v>
      </c>
      <c r="W32" s="180">
        <v>59905</v>
      </c>
      <c r="X32" s="180">
        <v>0</v>
      </c>
      <c r="Y32" s="180">
        <v>60544000</v>
      </c>
      <c r="Z32" s="180">
        <v>145200</v>
      </c>
      <c r="AA32" s="180">
        <v>0</v>
      </c>
      <c r="AB32" s="180">
        <v>0</v>
      </c>
      <c r="AC32" s="180"/>
      <c r="AD32" s="180">
        <v>0</v>
      </c>
      <c r="AE32" s="180">
        <v>0</v>
      </c>
      <c r="AF32" s="180">
        <v>616212</v>
      </c>
      <c r="AG32" s="180">
        <v>0</v>
      </c>
      <c r="AH32" s="180">
        <v>0</v>
      </c>
      <c r="AI32" s="180">
        <v>156066</v>
      </c>
      <c r="AJ32" s="180">
        <v>0</v>
      </c>
      <c r="AK32" s="180">
        <v>0</v>
      </c>
      <c r="AL32" s="180">
        <v>17260</v>
      </c>
      <c r="AM32" s="180"/>
      <c r="AN32" s="180">
        <v>63983</v>
      </c>
      <c r="AO32" s="180"/>
      <c r="AP32" s="180">
        <v>0</v>
      </c>
      <c r="AQ32" s="180">
        <v>712204</v>
      </c>
      <c r="AR32" s="180">
        <v>0</v>
      </c>
      <c r="AS32" s="180">
        <v>0</v>
      </c>
      <c r="AT32" s="180">
        <v>2270</v>
      </c>
      <c r="AU32" s="180">
        <v>0</v>
      </c>
      <c r="AV32" s="570">
        <v>0</v>
      </c>
      <c r="AW32" s="180">
        <v>0</v>
      </c>
      <c r="AX32" s="180">
        <v>0</v>
      </c>
      <c r="AY32" s="180">
        <v>0</v>
      </c>
      <c r="AZ32" s="180">
        <v>0</v>
      </c>
      <c r="BA32" s="180">
        <v>0</v>
      </c>
      <c r="BB32" s="180">
        <v>0</v>
      </c>
      <c r="BC32" s="180">
        <v>77990</v>
      </c>
      <c r="BD32" s="180">
        <v>0</v>
      </c>
      <c r="BE32" s="180">
        <v>0</v>
      </c>
      <c r="BF32" s="180">
        <v>34476</v>
      </c>
      <c r="BG32" s="180">
        <v>0</v>
      </c>
      <c r="BH32" s="180">
        <v>0</v>
      </c>
      <c r="BI32" s="180">
        <v>44376</v>
      </c>
      <c r="BJ32" s="180">
        <v>0</v>
      </c>
      <c r="BK32" s="180"/>
      <c r="BL32" s="180">
        <v>0</v>
      </c>
      <c r="BM32" s="180">
        <v>0</v>
      </c>
      <c r="BN32" s="180">
        <v>0</v>
      </c>
      <c r="BO32" s="180">
        <v>195974</v>
      </c>
      <c r="BP32" s="180">
        <v>7486854</v>
      </c>
      <c r="BQ32" s="180">
        <v>0</v>
      </c>
      <c r="BR32" s="180"/>
      <c r="BS32" s="180">
        <v>0</v>
      </c>
      <c r="BT32" s="180"/>
      <c r="BU32" s="180">
        <v>0</v>
      </c>
      <c r="BV32" s="180">
        <v>49319</v>
      </c>
      <c r="BW32" s="180">
        <v>78541</v>
      </c>
      <c r="BX32" s="180">
        <v>20039</v>
      </c>
      <c r="BY32" s="180">
        <v>12658</v>
      </c>
      <c r="BZ32" s="180">
        <v>8873</v>
      </c>
      <c r="CA32" s="180">
        <v>44127</v>
      </c>
      <c r="CB32" s="180">
        <v>0</v>
      </c>
      <c r="CC32" s="180">
        <v>37659</v>
      </c>
      <c r="CD32" s="180"/>
      <c r="CE32" s="180">
        <v>31751</v>
      </c>
      <c r="CF32" s="180">
        <v>0</v>
      </c>
      <c r="CG32" s="180">
        <v>76850</v>
      </c>
      <c r="CH32" s="180">
        <v>0</v>
      </c>
      <c r="CI32" s="180"/>
      <c r="CJ32" s="180"/>
      <c r="CK32" s="180"/>
      <c r="CL32" s="180"/>
      <c r="CM32" s="180"/>
      <c r="CN32" s="180"/>
      <c r="CO32" s="180"/>
      <c r="CP32" s="180"/>
      <c r="CQ32" s="180"/>
      <c r="CR32" s="180"/>
      <c r="CS32" s="180"/>
      <c r="CT32" s="180"/>
      <c r="CU32" s="180"/>
    </row>
    <row r="33" spans="1:99" x14ac:dyDescent="0.3">
      <c r="A33" s="155">
        <v>90</v>
      </c>
      <c r="B33" s="180" t="s">
        <v>214</v>
      </c>
      <c r="C33" s="180"/>
      <c r="D33" s="180">
        <v>0</v>
      </c>
      <c r="E33" s="180">
        <v>0</v>
      </c>
      <c r="F33" s="180">
        <v>0</v>
      </c>
      <c r="G33" s="180">
        <v>0</v>
      </c>
      <c r="H33" s="180"/>
      <c r="I33" s="180">
        <v>0</v>
      </c>
      <c r="J33" s="180">
        <v>0</v>
      </c>
      <c r="K33" s="180">
        <v>0</v>
      </c>
      <c r="L33" s="180">
        <v>0</v>
      </c>
      <c r="M33" s="180">
        <v>0</v>
      </c>
      <c r="N33" s="180">
        <v>0</v>
      </c>
      <c r="O33" s="180">
        <v>0</v>
      </c>
      <c r="P33" s="180">
        <v>0</v>
      </c>
      <c r="Q33" s="180">
        <v>0</v>
      </c>
      <c r="R33" s="180">
        <v>0</v>
      </c>
      <c r="S33" s="180">
        <v>0</v>
      </c>
      <c r="T33" s="180">
        <v>0</v>
      </c>
      <c r="U33" s="180">
        <v>0</v>
      </c>
      <c r="V33" s="180">
        <v>0</v>
      </c>
      <c r="W33" s="180">
        <v>0</v>
      </c>
      <c r="X33" s="180">
        <v>0</v>
      </c>
      <c r="Y33" s="180">
        <v>0</v>
      </c>
      <c r="Z33" s="180">
        <v>3654926</v>
      </c>
      <c r="AA33" s="180">
        <v>0</v>
      </c>
      <c r="AB33" s="180">
        <v>0</v>
      </c>
      <c r="AC33" s="180"/>
      <c r="AD33" s="180">
        <v>0</v>
      </c>
      <c r="AE33" s="180">
        <v>0</v>
      </c>
      <c r="AF33" s="180">
        <v>2478992</v>
      </c>
      <c r="AG33" s="180">
        <v>0</v>
      </c>
      <c r="AH33" s="180">
        <v>0</v>
      </c>
      <c r="AI33" s="180">
        <v>0</v>
      </c>
      <c r="AJ33" s="180">
        <v>0</v>
      </c>
      <c r="AK33" s="180">
        <v>0</v>
      </c>
      <c r="AL33" s="180">
        <v>0</v>
      </c>
      <c r="AM33" s="180"/>
      <c r="AN33" s="180">
        <v>0</v>
      </c>
      <c r="AO33" s="180"/>
      <c r="AP33" s="180">
        <v>0</v>
      </c>
      <c r="AQ33" s="180">
        <v>80109033</v>
      </c>
      <c r="AR33" s="180">
        <v>0</v>
      </c>
      <c r="AS33" s="180">
        <v>0</v>
      </c>
      <c r="AT33" s="180">
        <v>0</v>
      </c>
      <c r="AU33" s="180">
        <v>0</v>
      </c>
      <c r="AV33" s="180">
        <v>0</v>
      </c>
      <c r="AW33" s="180">
        <v>6073963</v>
      </c>
      <c r="AX33" s="180">
        <v>0</v>
      </c>
      <c r="AY33" s="180">
        <v>0</v>
      </c>
      <c r="AZ33" s="180">
        <v>0</v>
      </c>
      <c r="BA33" s="180">
        <v>0</v>
      </c>
      <c r="BB33" s="180">
        <v>0</v>
      </c>
      <c r="BC33" s="180">
        <v>4235377</v>
      </c>
      <c r="BD33" s="180">
        <v>0</v>
      </c>
      <c r="BE33" s="180">
        <v>0</v>
      </c>
      <c r="BF33" s="180">
        <v>0</v>
      </c>
      <c r="BG33" s="180">
        <v>0</v>
      </c>
      <c r="BH33" s="180">
        <v>0</v>
      </c>
      <c r="BI33" s="180">
        <v>0</v>
      </c>
      <c r="BJ33" s="180">
        <v>0</v>
      </c>
      <c r="BK33" s="180"/>
      <c r="BL33" s="180">
        <v>4168239</v>
      </c>
      <c r="BM33" s="180">
        <v>0</v>
      </c>
      <c r="BN33" s="180">
        <v>0</v>
      </c>
      <c r="BO33" s="180">
        <v>0</v>
      </c>
      <c r="BP33" s="180">
        <v>0</v>
      </c>
      <c r="BQ33" s="180">
        <v>0</v>
      </c>
      <c r="BR33" s="180"/>
      <c r="BS33" s="180">
        <v>0</v>
      </c>
      <c r="BT33" s="180"/>
      <c r="BU33" s="180">
        <v>0</v>
      </c>
      <c r="BV33" s="180">
        <v>0</v>
      </c>
      <c r="BW33" s="180">
        <v>745050</v>
      </c>
      <c r="BX33" s="180">
        <v>4947727</v>
      </c>
      <c r="BY33" s="180">
        <v>0</v>
      </c>
      <c r="BZ33" s="180">
        <v>0</v>
      </c>
      <c r="CA33" s="180">
        <v>0</v>
      </c>
      <c r="CB33" s="180">
        <v>0</v>
      </c>
      <c r="CC33" s="180">
        <v>0</v>
      </c>
      <c r="CD33" s="180"/>
      <c r="CE33" s="180">
        <v>0</v>
      </c>
      <c r="CF33" s="180">
        <v>0</v>
      </c>
      <c r="CG33" s="180">
        <v>7264015</v>
      </c>
      <c r="CH33" s="180">
        <v>0</v>
      </c>
      <c r="CI33" s="180"/>
      <c r="CJ33" s="180"/>
      <c r="CK33" s="180"/>
      <c r="CL33" s="180"/>
      <c r="CM33" s="180"/>
      <c r="CN33" s="180"/>
      <c r="CO33" s="180"/>
      <c r="CP33" s="180"/>
      <c r="CQ33" s="180"/>
      <c r="CR33" s="180"/>
      <c r="CS33" s="180"/>
      <c r="CT33" s="180"/>
      <c r="CU33" s="180"/>
    </row>
    <row r="34" spans="1:99" x14ac:dyDescent="0.3">
      <c r="A34" s="155">
        <v>91</v>
      </c>
      <c r="B34" s="180" t="s">
        <v>215</v>
      </c>
      <c r="C34" s="180"/>
      <c r="D34" s="180">
        <v>0</v>
      </c>
      <c r="E34" s="180">
        <v>0</v>
      </c>
      <c r="F34" s="180">
        <v>0</v>
      </c>
      <c r="G34" s="180">
        <v>0</v>
      </c>
      <c r="H34" s="180"/>
      <c r="I34" s="180">
        <v>0</v>
      </c>
      <c r="J34" s="180">
        <v>0</v>
      </c>
      <c r="K34" s="180">
        <v>0</v>
      </c>
      <c r="L34" s="180">
        <v>0</v>
      </c>
      <c r="M34" s="180">
        <v>0</v>
      </c>
      <c r="N34" s="180">
        <v>0</v>
      </c>
      <c r="O34" s="180">
        <v>0</v>
      </c>
      <c r="P34" s="180">
        <v>0</v>
      </c>
      <c r="Q34" s="180">
        <v>0</v>
      </c>
      <c r="R34" s="180">
        <v>0</v>
      </c>
      <c r="S34" s="180">
        <v>0</v>
      </c>
      <c r="T34" s="180">
        <v>0</v>
      </c>
      <c r="U34" s="180">
        <v>0</v>
      </c>
      <c r="V34" s="180">
        <v>0</v>
      </c>
      <c r="W34" s="180">
        <v>0</v>
      </c>
      <c r="X34" s="180">
        <v>0</v>
      </c>
      <c r="Y34" s="180">
        <v>0</v>
      </c>
      <c r="Z34" s="180">
        <v>939167</v>
      </c>
      <c r="AA34" s="180">
        <v>0</v>
      </c>
      <c r="AB34" s="180">
        <v>0</v>
      </c>
      <c r="AC34" s="180"/>
      <c r="AD34" s="180">
        <v>0</v>
      </c>
      <c r="AE34" s="180">
        <v>0</v>
      </c>
      <c r="AF34" s="180">
        <v>1915503</v>
      </c>
      <c r="AG34" s="180">
        <v>0</v>
      </c>
      <c r="AH34" s="180">
        <v>0</v>
      </c>
      <c r="AI34" s="180">
        <v>0</v>
      </c>
      <c r="AJ34" s="180">
        <v>0</v>
      </c>
      <c r="AK34" s="180">
        <v>0</v>
      </c>
      <c r="AL34" s="180">
        <v>0</v>
      </c>
      <c r="AM34" s="180"/>
      <c r="AN34" s="180">
        <v>0</v>
      </c>
      <c r="AO34" s="180"/>
      <c r="AP34" s="180">
        <v>0</v>
      </c>
      <c r="AQ34" s="180">
        <v>13142799</v>
      </c>
      <c r="AR34" s="180">
        <v>0</v>
      </c>
      <c r="AS34" s="180">
        <v>0</v>
      </c>
      <c r="AT34" s="180">
        <v>0</v>
      </c>
      <c r="AU34" s="180">
        <v>0</v>
      </c>
      <c r="AV34" s="180">
        <v>0</v>
      </c>
      <c r="AW34" s="180">
        <v>693397</v>
      </c>
      <c r="AX34" s="180">
        <v>0</v>
      </c>
      <c r="AY34" s="180">
        <v>0</v>
      </c>
      <c r="AZ34" s="180">
        <v>0</v>
      </c>
      <c r="BA34" s="180">
        <v>0</v>
      </c>
      <c r="BB34" s="180">
        <v>0</v>
      </c>
      <c r="BC34" s="180">
        <v>918900</v>
      </c>
      <c r="BD34" s="180">
        <v>0</v>
      </c>
      <c r="BE34" s="180">
        <v>0</v>
      </c>
      <c r="BF34" s="180">
        <v>0</v>
      </c>
      <c r="BG34" s="180">
        <v>0</v>
      </c>
      <c r="BH34" s="180">
        <v>0</v>
      </c>
      <c r="BI34" s="180">
        <v>0</v>
      </c>
      <c r="BJ34" s="180">
        <v>0</v>
      </c>
      <c r="BK34" s="180"/>
      <c r="BL34" s="180">
        <v>218043</v>
      </c>
      <c r="BM34" s="180">
        <v>0</v>
      </c>
      <c r="BN34" s="180">
        <v>0</v>
      </c>
      <c r="BO34" s="180">
        <v>0</v>
      </c>
      <c r="BP34" s="180">
        <v>0</v>
      </c>
      <c r="BQ34" s="180">
        <v>0</v>
      </c>
      <c r="BR34" s="180"/>
      <c r="BS34" s="180">
        <v>0</v>
      </c>
      <c r="BT34" s="180"/>
      <c r="BU34" s="180">
        <v>0</v>
      </c>
      <c r="BV34" s="180">
        <v>0</v>
      </c>
      <c r="BW34" s="180">
        <v>128912</v>
      </c>
      <c r="BX34" s="180">
        <v>4930996</v>
      </c>
      <c r="BY34" s="180">
        <v>0</v>
      </c>
      <c r="BZ34" s="180">
        <v>0</v>
      </c>
      <c r="CA34" s="180">
        <v>0</v>
      </c>
      <c r="CB34" s="180">
        <v>0</v>
      </c>
      <c r="CC34" s="180">
        <v>0</v>
      </c>
      <c r="CD34" s="180"/>
      <c r="CE34" s="180">
        <v>0</v>
      </c>
      <c r="CF34" s="180">
        <v>0</v>
      </c>
      <c r="CG34" s="180">
        <v>849543</v>
      </c>
      <c r="CH34" s="180">
        <v>0</v>
      </c>
      <c r="CI34" s="180"/>
      <c r="CJ34" s="180"/>
      <c r="CK34" s="180"/>
      <c r="CL34" s="180"/>
      <c r="CM34" s="180"/>
      <c r="CN34" s="180"/>
      <c r="CO34" s="180"/>
      <c r="CP34" s="180"/>
      <c r="CQ34" s="180"/>
      <c r="CR34" s="180"/>
      <c r="CS34" s="180"/>
      <c r="CT34" s="180"/>
      <c r="CU34" s="180"/>
    </row>
    <row r="35" spans="1:99" x14ac:dyDescent="0.3">
      <c r="A35" s="155">
        <v>93</v>
      </c>
      <c r="B35" s="180" t="s">
        <v>228</v>
      </c>
      <c r="C35" s="180"/>
      <c r="D35" s="180">
        <v>0</v>
      </c>
      <c r="E35" s="180">
        <v>0</v>
      </c>
      <c r="F35" s="180">
        <v>0</v>
      </c>
      <c r="G35" s="180">
        <v>0</v>
      </c>
      <c r="H35" s="180"/>
      <c r="I35" s="180">
        <v>0</v>
      </c>
      <c r="J35" s="180">
        <v>0</v>
      </c>
      <c r="K35" s="180">
        <v>0</v>
      </c>
      <c r="L35" s="180">
        <v>0</v>
      </c>
      <c r="M35" s="180">
        <v>0</v>
      </c>
      <c r="N35" s="180">
        <v>0</v>
      </c>
      <c r="O35" s="180">
        <v>0</v>
      </c>
      <c r="P35" s="180">
        <v>0</v>
      </c>
      <c r="Q35" s="180">
        <v>0</v>
      </c>
      <c r="R35" s="180">
        <v>0</v>
      </c>
      <c r="S35" s="180">
        <v>0</v>
      </c>
      <c r="T35" s="180">
        <v>0</v>
      </c>
      <c r="U35" s="180">
        <v>0</v>
      </c>
      <c r="V35" s="180">
        <v>0</v>
      </c>
      <c r="W35" s="180">
        <v>0</v>
      </c>
      <c r="X35" s="180">
        <v>0</v>
      </c>
      <c r="Y35" s="180">
        <v>0</v>
      </c>
      <c r="Z35" s="180">
        <v>6130706</v>
      </c>
      <c r="AA35" s="180">
        <v>0</v>
      </c>
      <c r="AB35" s="180">
        <v>0</v>
      </c>
      <c r="AC35" s="180"/>
      <c r="AD35" s="180">
        <v>0</v>
      </c>
      <c r="AE35" s="180">
        <v>0</v>
      </c>
      <c r="AF35" s="180">
        <v>16641326</v>
      </c>
      <c r="AG35" s="180">
        <v>0</v>
      </c>
      <c r="AH35" s="180">
        <v>0</v>
      </c>
      <c r="AI35" s="180">
        <v>0</v>
      </c>
      <c r="AJ35" s="180">
        <v>0</v>
      </c>
      <c r="AK35" s="180">
        <v>0</v>
      </c>
      <c r="AL35" s="180">
        <v>0</v>
      </c>
      <c r="AM35" s="180"/>
      <c r="AN35" s="180">
        <v>0</v>
      </c>
      <c r="AO35" s="180"/>
      <c r="AP35" s="180">
        <v>0</v>
      </c>
      <c r="AQ35" s="180">
        <v>108896096</v>
      </c>
      <c r="AR35" s="180">
        <v>0</v>
      </c>
      <c r="AS35" s="180">
        <v>0</v>
      </c>
      <c r="AT35" s="180">
        <v>0</v>
      </c>
      <c r="AU35" s="180">
        <v>0</v>
      </c>
      <c r="AV35" s="180">
        <v>0</v>
      </c>
      <c r="AW35" s="180">
        <v>6877972</v>
      </c>
      <c r="AX35" s="180">
        <v>0</v>
      </c>
      <c r="AY35" s="180">
        <v>0</v>
      </c>
      <c r="AZ35" s="180">
        <v>0</v>
      </c>
      <c r="BA35" s="180">
        <v>0</v>
      </c>
      <c r="BB35" s="180">
        <v>0</v>
      </c>
      <c r="BC35" s="180">
        <v>7900263</v>
      </c>
      <c r="BD35" s="180">
        <v>0</v>
      </c>
      <c r="BE35" s="180">
        <v>0</v>
      </c>
      <c r="BF35" s="180">
        <v>0</v>
      </c>
      <c r="BG35" s="180">
        <v>0</v>
      </c>
      <c r="BH35" s="180">
        <v>0</v>
      </c>
      <c r="BI35" s="180">
        <v>0</v>
      </c>
      <c r="BJ35" s="180">
        <v>0</v>
      </c>
      <c r="BK35" s="180"/>
      <c r="BL35" s="180">
        <v>2260277</v>
      </c>
      <c r="BM35" s="180">
        <v>0</v>
      </c>
      <c r="BN35" s="180">
        <v>0</v>
      </c>
      <c r="BO35" s="180">
        <v>0</v>
      </c>
      <c r="BP35" s="180">
        <v>0</v>
      </c>
      <c r="BQ35" s="180">
        <v>0</v>
      </c>
      <c r="BR35" s="180"/>
      <c r="BS35" s="180">
        <v>0</v>
      </c>
      <c r="BT35" s="180"/>
      <c r="BU35" s="180">
        <v>0</v>
      </c>
      <c r="BV35" s="180">
        <v>0</v>
      </c>
      <c r="BW35" s="180">
        <v>12066992</v>
      </c>
      <c r="BX35" s="180">
        <v>31478277</v>
      </c>
      <c r="BY35" s="180">
        <v>0</v>
      </c>
      <c r="BZ35" s="180">
        <v>0</v>
      </c>
      <c r="CA35" s="180">
        <v>0</v>
      </c>
      <c r="CB35" s="180">
        <v>0</v>
      </c>
      <c r="CC35" s="180">
        <v>0</v>
      </c>
      <c r="CD35" s="180"/>
      <c r="CE35" s="180">
        <v>0</v>
      </c>
      <c r="CF35" s="180">
        <v>0</v>
      </c>
      <c r="CG35" s="180">
        <v>2472367</v>
      </c>
      <c r="CH35" s="180">
        <v>0</v>
      </c>
      <c r="CI35" s="180"/>
      <c r="CJ35" s="180"/>
      <c r="CK35" s="180"/>
      <c r="CL35" s="180"/>
      <c r="CM35" s="180"/>
      <c r="CN35" s="180"/>
      <c r="CO35" s="180"/>
      <c r="CP35" s="180"/>
      <c r="CQ35" s="180"/>
      <c r="CR35" s="180"/>
      <c r="CS35" s="180"/>
      <c r="CT35" s="180"/>
      <c r="CU35" s="180"/>
    </row>
    <row r="36" spans="1:99" x14ac:dyDescent="0.3">
      <c r="A36" s="155">
        <v>94</v>
      </c>
      <c r="B36" s="180" t="s">
        <v>231</v>
      </c>
      <c r="C36" s="180"/>
      <c r="D36" s="180">
        <v>0</v>
      </c>
      <c r="E36" s="180">
        <v>0</v>
      </c>
      <c r="F36" s="180">
        <v>0</v>
      </c>
      <c r="G36" s="180">
        <v>0</v>
      </c>
      <c r="H36" s="180"/>
      <c r="I36" s="180">
        <v>0</v>
      </c>
      <c r="J36" s="180">
        <v>0</v>
      </c>
      <c r="K36" s="180">
        <v>0</v>
      </c>
      <c r="L36" s="180">
        <v>0</v>
      </c>
      <c r="M36" s="180">
        <v>0</v>
      </c>
      <c r="N36" s="180">
        <v>0</v>
      </c>
      <c r="O36" s="180">
        <v>0</v>
      </c>
      <c r="P36" s="180">
        <v>0</v>
      </c>
      <c r="Q36" s="180">
        <v>0</v>
      </c>
      <c r="R36" s="180">
        <v>0</v>
      </c>
      <c r="S36" s="180">
        <v>0</v>
      </c>
      <c r="T36" s="180">
        <v>0</v>
      </c>
      <c r="U36" s="180">
        <v>0</v>
      </c>
      <c r="V36" s="180">
        <v>0</v>
      </c>
      <c r="W36" s="180">
        <v>0</v>
      </c>
      <c r="X36" s="180">
        <v>0</v>
      </c>
      <c r="Y36" s="180">
        <v>0</v>
      </c>
      <c r="Z36" s="180">
        <v>5935500</v>
      </c>
      <c r="AA36" s="180">
        <v>0</v>
      </c>
      <c r="AB36" s="180">
        <v>0</v>
      </c>
      <c r="AC36" s="180"/>
      <c r="AD36" s="180">
        <v>0</v>
      </c>
      <c r="AE36" s="180">
        <v>0</v>
      </c>
      <c r="AF36" s="180">
        <v>15248317</v>
      </c>
      <c r="AG36" s="180">
        <v>0</v>
      </c>
      <c r="AH36" s="180">
        <v>0</v>
      </c>
      <c r="AI36" s="180">
        <v>0</v>
      </c>
      <c r="AJ36" s="180">
        <v>0</v>
      </c>
      <c r="AK36" s="180">
        <v>0</v>
      </c>
      <c r="AL36" s="180">
        <v>0</v>
      </c>
      <c r="AM36" s="180"/>
      <c r="AN36" s="180">
        <v>0</v>
      </c>
      <c r="AO36" s="180"/>
      <c r="AP36" s="180">
        <v>0</v>
      </c>
      <c r="AQ36" s="180">
        <v>89891957</v>
      </c>
      <c r="AR36" s="180">
        <v>0</v>
      </c>
      <c r="AS36" s="180">
        <v>0</v>
      </c>
      <c r="AT36" s="180">
        <v>0</v>
      </c>
      <c r="AU36" s="180">
        <v>0</v>
      </c>
      <c r="AV36" s="180">
        <v>0</v>
      </c>
      <c r="AW36" s="180">
        <v>6795867</v>
      </c>
      <c r="AX36" s="180">
        <v>0</v>
      </c>
      <c r="AY36" s="180">
        <v>0</v>
      </c>
      <c r="AZ36" s="180">
        <v>0</v>
      </c>
      <c r="BA36" s="180">
        <v>0</v>
      </c>
      <c r="BB36" s="180">
        <v>0</v>
      </c>
      <c r="BC36" s="180">
        <v>8332570</v>
      </c>
      <c r="BD36" s="180">
        <v>0</v>
      </c>
      <c r="BE36" s="180">
        <v>0</v>
      </c>
      <c r="BF36" s="180">
        <v>0</v>
      </c>
      <c r="BG36" s="180">
        <v>0</v>
      </c>
      <c r="BH36" s="180">
        <v>0</v>
      </c>
      <c r="BI36" s="180">
        <v>0</v>
      </c>
      <c r="BJ36" s="180">
        <v>0</v>
      </c>
      <c r="BK36" s="180"/>
      <c r="BL36" s="180">
        <v>2129328</v>
      </c>
      <c r="BM36" s="180">
        <v>0</v>
      </c>
      <c r="BN36" s="180">
        <v>0</v>
      </c>
      <c r="BO36" s="180">
        <v>0</v>
      </c>
      <c r="BP36" s="180">
        <v>0</v>
      </c>
      <c r="BQ36" s="180">
        <v>0</v>
      </c>
      <c r="BR36" s="180"/>
      <c r="BS36" s="180">
        <v>0</v>
      </c>
      <c r="BT36" s="180"/>
      <c r="BU36" s="180">
        <v>0</v>
      </c>
      <c r="BV36" s="180">
        <v>0</v>
      </c>
      <c r="BW36" s="180">
        <v>12679299</v>
      </c>
      <c r="BX36" s="180">
        <v>31612024</v>
      </c>
      <c r="BY36" s="180">
        <v>0</v>
      </c>
      <c r="BZ36" s="180">
        <v>0</v>
      </c>
      <c r="CA36" s="180">
        <v>0</v>
      </c>
      <c r="CB36" s="180">
        <v>0</v>
      </c>
      <c r="CC36" s="180">
        <v>0</v>
      </c>
      <c r="CD36" s="180"/>
      <c r="CE36" s="180">
        <v>0</v>
      </c>
      <c r="CF36" s="180">
        <v>0</v>
      </c>
      <c r="CG36" s="180">
        <v>2515465</v>
      </c>
      <c r="CH36" s="180">
        <v>0</v>
      </c>
      <c r="CI36" s="180"/>
      <c r="CJ36" s="180"/>
      <c r="CK36" s="180"/>
      <c r="CL36" s="180"/>
      <c r="CM36" s="180"/>
      <c r="CN36" s="180"/>
      <c r="CO36" s="180"/>
      <c r="CP36" s="180"/>
      <c r="CQ36" s="180"/>
      <c r="CR36" s="180"/>
      <c r="CS36" s="180"/>
      <c r="CT36" s="180"/>
      <c r="CU36" s="180"/>
    </row>
    <row r="37" spans="1:99" x14ac:dyDescent="0.3">
      <c r="A37" s="155">
        <v>97</v>
      </c>
      <c r="B37" s="180" t="s">
        <v>227</v>
      </c>
      <c r="C37" s="180"/>
      <c r="D37" s="180">
        <v>0</v>
      </c>
      <c r="E37" s="180">
        <v>0</v>
      </c>
      <c r="F37" s="180">
        <v>0</v>
      </c>
      <c r="G37" s="180">
        <v>0</v>
      </c>
      <c r="H37" s="180"/>
      <c r="I37" s="180">
        <v>0</v>
      </c>
      <c r="J37" s="180">
        <v>0</v>
      </c>
      <c r="K37" s="180">
        <v>0</v>
      </c>
      <c r="L37" s="180">
        <v>0</v>
      </c>
      <c r="M37" s="180">
        <v>0</v>
      </c>
      <c r="N37" s="180">
        <v>0</v>
      </c>
      <c r="O37" s="180">
        <v>0</v>
      </c>
      <c r="P37" s="180">
        <v>0</v>
      </c>
      <c r="Q37" s="180">
        <v>0</v>
      </c>
      <c r="R37" s="180">
        <v>0</v>
      </c>
      <c r="S37" s="180">
        <v>0</v>
      </c>
      <c r="T37" s="180">
        <v>0</v>
      </c>
      <c r="U37" s="180">
        <v>0</v>
      </c>
      <c r="V37" s="180">
        <v>0</v>
      </c>
      <c r="W37" s="180">
        <v>0</v>
      </c>
      <c r="X37" s="180">
        <v>0</v>
      </c>
      <c r="Y37" s="180">
        <v>0</v>
      </c>
      <c r="Z37" s="180">
        <v>6116552</v>
      </c>
      <c r="AA37" s="180">
        <v>0</v>
      </c>
      <c r="AB37" s="180">
        <v>0</v>
      </c>
      <c r="AC37" s="180"/>
      <c r="AD37" s="180">
        <v>0</v>
      </c>
      <c r="AE37" s="180">
        <v>0</v>
      </c>
      <c r="AF37" s="180">
        <v>16439998</v>
      </c>
      <c r="AG37" s="180">
        <v>0</v>
      </c>
      <c r="AH37" s="180">
        <v>0</v>
      </c>
      <c r="AI37" s="180">
        <v>0</v>
      </c>
      <c r="AJ37" s="180">
        <v>0</v>
      </c>
      <c r="AK37" s="180">
        <v>0</v>
      </c>
      <c r="AL37" s="180">
        <v>0</v>
      </c>
      <c r="AM37" s="180"/>
      <c r="AN37" s="180">
        <v>0</v>
      </c>
      <c r="AO37" s="180"/>
      <c r="AP37" s="180">
        <v>0</v>
      </c>
      <c r="AQ37" s="180">
        <v>107396902</v>
      </c>
      <c r="AR37" s="180">
        <v>0</v>
      </c>
      <c r="AS37" s="180">
        <v>0</v>
      </c>
      <c r="AT37" s="180">
        <v>0</v>
      </c>
      <c r="AU37" s="180">
        <v>0</v>
      </c>
      <c r="AV37" s="180">
        <v>0</v>
      </c>
      <c r="AW37" s="180">
        <v>6873225</v>
      </c>
      <c r="AX37" s="180">
        <v>0</v>
      </c>
      <c r="AY37" s="180">
        <v>0</v>
      </c>
      <c r="AZ37" s="180">
        <v>0</v>
      </c>
      <c r="BA37" s="180">
        <v>0</v>
      </c>
      <c r="BB37" s="180">
        <v>0</v>
      </c>
      <c r="BC37" s="180">
        <v>7802437</v>
      </c>
      <c r="BD37" s="180">
        <v>0</v>
      </c>
      <c r="BE37" s="180">
        <v>0</v>
      </c>
      <c r="BF37" s="180">
        <v>0</v>
      </c>
      <c r="BG37" s="180">
        <v>0</v>
      </c>
      <c r="BH37" s="180">
        <v>0</v>
      </c>
      <c r="BI37" s="180">
        <v>0</v>
      </c>
      <c r="BJ37" s="180">
        <v>0</v>
      </c>
      <c r="BK37" s="180"/>
      <c r="BL37" s="180">
        <v>2215277</v>
      </c>
      <c r="BM37" s="180">
        <v>0</v>
      </c>
      <c r="BN37" s="180">
        <v>0</v>
      </c>
      <c r="BO37" s="180">
        <v>0</v>
      </c>
      <c r="BP37" s="180">
        <v>0</v>
      </c>
      <c r="BQ37" s="180">
        <v>0</v>
      </c>
      <c r="BR37" s="180"/>
      <c r="BS37" s="180">
        <v>0</v>
      </c>
      <c r="BT37" s="180"/>
      <c r="BU37" s="180">
        <v>0</v>
      </c>
      <c r="BV37" s="180">
        <v>0</v>
      </c>
      <c r="BW37" s="180">
        <v>12066992</v>
      </c>
      <c r="BX37" s="180">
        <v>31296677</v>
      </c>
      <c r="BY37" s="180">
        <v>0</v>
      </c>
      <c r="BZ37" s="180">
        <v>0</v>
      </c>
      <c r="CA37" s="180">
        <v>0</v>
      </c>
      <c r="CB37" s="180">
        <v>0</v>
      </c>
      <c r="CC37" s="180">
        <v>0</v>
      </c>
      <c r="CD37" s="180"/>
      <c r="CE37" s="180">
        <v>0</v>
      </c>
      <c r="CF37" s="180">
        <v>0</v>
      </c>
      <c r="CG37" s="180">
        <v>2472367</v>
      </c>
      <c r="CH37" s="180">
        <v>0</v>
      </c>
      <c r="CI37" s="180"/>
      <c r="CJ37" s="180"/>
      <c r="CK37" s="180"/>
      <c r="CL37" s="180"/>
      <c r="CM37" s="180"/>
      <c r="CN37" s="180"/>
      <c r="CO37" s="180"/>
      <c r="CP37" s="180"/>
      <c r="CQ37" s="180"/>
      <c r="CR37" s="180"/>
      <c r="CS37" s="180"/>
      <c r="CT37" s="180"/>
      <c r="CU37" s="180"/>
    </row>
    <row r="38" spans="1:99" x14ac:dyDescent="0.3">
      <c r="A38" s="155">
        <v>98</v>
      </c>
      <c r="B38" s="180" t="s">
        <v>232</v>
      </c>
      <c r="C38" s="180"/>
      <c r="D38" s="180">
        <v>0</v>
      </c>
      <c r="E38" s="180">
        <v>0</v>
      </c>
      <c r="F38" s="180">
        <v>0</v>
      </c>
      <c r="G38" s="180">
        <v>0</v>
      </c>
      <c r="H38" s="180"/>
      <c r="I38" s="180">
        <v>0</v>
      </c>
      <c r="J38" s="180">
        <v>0</v>
      </c>
      <c r="K38" s="180">
        <v>0</v>
      </c>
      <c r="L38" s="180">
        <v>0</v>
      </c>
      <c r="M38" s="180">
        <v>0</v>
      </c>
      <c r="N38" s="180">
        <v>0</v>
      </c>
      <c r="O38" s="180">
        <v>0</v>
      </c>
      <c r="P38" s="180">
        <v>0</v>
      </c>
      <c r="Q38" s="180">
        <v>0</v>
      </c>
      <c r="R38" s="180">
        <v>0</v>
      </c>
      <c r="S38" s="180">
        <v>0</v>
      </c>
      <c r="T38" s="180">
        <v>0</v>
      </c>
      <c r="U38" s="180">
        <v>0</v>
      </c>
      <c r="V38" s="180">
        <v>0</v>
      </c>
      <c r="W38" s="180">
        <v>0</v>
      </c>
      <c r="X38" s="180">
        <v>0</v>
      </c>
      <c r="Y38" s="180">
        <v>0</v>
      </c>
      <c r="Z38" s="180">
        <v>0</v>
      </c>
      <c r="AA38" s="180">
        <v>0</v>
      </c>
      <c r="AB38" s="180">
        <v>0</v>
      </c>
      <c r="AC38" s="180"/>
      <c r="AD38" s="180">
        <v>0</v>
      </c>
      <c r="AE38" s="180">
        <v>0</v>
      </c>
      <c r="AF38" s="180">
        <v>110068</v>
      </c>
      <c r="AG38" s="180">
        <v>0</v>
      </c>
      <c r="AH38" s="180">
        <v>0</v>
      </c>
      <c r="AI38" s="180">
        <v>0</v>
      </c>
      <c r="AJ38" s="180">
        <v>0</v>
      </c>
      <c r="AK38" s="180">
        <v>0</v>
      </c>
      <c r="AL38" s="180">
        <v>0</v>
      </c>
      <c r="AM38" s="180"/>
      <c r="AN38" s="180">
        <v>0</v>
      </c>
      <c r="AO38" s="180"/>
      <c r="AP38" s="180">
        <v>0</v>
      </c>
      <c r="AQ38" s="180">
        <v>352150</v>
      </c>
      <c r="AR38" s="180">
        <v>0</v>
      </c>
      <c r="AS38" s="180">
        <v>0</v>
      </c>
      <c r="AT38" s="180">
        <v>0</v>
      </c>
      <c r="AU38" s="180">
        <v>0</v>
      </c>
      <c r="AV38" s="180">
        <v>0</v>
      </c>
      <c r="AW38" s="180">
        <v>1699</v>
      </c>
      <c r="AX38" s="180">
        <v>0</v>
      </c>
      <c r="AY38" s="180">
        <v>0</v>
      </c>
      <c r="AZ38" s="180">
        <v>0</v>
      </c>
      <c r="BA38" s="180">
        <v>0</v>
      </c>
      <c r="BB38" s="180">
        <v>0</v>
      </c>
      <c r="BC38" s="180">
        <v>923</v>
      </c>
      <c r="BD38" s="180">
        <v>0</v>
      </c>
      <c r="BE38" s="180">
        <v>0</v>
      </c>
      <c r="BF38" s="180">
        <v>0</v>
      </c>
      <c r="BG38" s="180">
        <v>0</v>
      </c>
      <c r="BH38" s="180">
        <v>0</v>
      </c>
      <c r="BI38" s="180">
        <v>0</v>
      </c>
      <c r="BJ38" s="180">
        <v>0</v>
      </c>
      <c r="BK38" s="180"/>
      <c r="BL38" s="180">
        <v>0</v>
      </c>
      <c r="BM38" s="180">
        <v>0</v>
      </c>
      <c r="BN38" s="180">
        <v>0</v>
      </c>
      <c r="BO38" s="180">
        <v>0</v>
      </c>
      <c r="BP38" s="180">
        <v>0</v>
      </c>
      <c r="BQ38" s="180">
        <v>0</v>
      </c>
      <c r="BR38" s="180"/>
      <c r="BS38" s="180">
        <v>0</v>
      </c>
      <c r="BT38" s="180"/>
      <c r="BU38" s="180">
        <v>0</v>
      </c>
      <c r="BV38" s="180">
        <v>0</v>
      </c>
      <c r="BW38" s="180">
        <v>3415</v>
      </c>
      <c r="BX38" s="180">
        <v>23369</v>
      </c>
      <c r="BY38" s="180">
        <v>0</v>
      </c>
      <c r="BZ38" s="180">
        <v>0</v>
      </c>
      <c r="CA38" s="180">
        <v>0</v>
      </c>
      <c r="CB38" s="180">
        <v>0</v>
      </c>
      <c r="CC38" s="180">
        <v>0</v>
      </c>
      <c r="CD38" s="180"/>
      <c r="CE38" s="180">
        <v>0</v>
      </c>
      <c r="CF38" s="180">
        <v>0</v>
      </c>
      <c r="CG38" s="180">
        <v>0</v>
      </c>
      <c r="CH38" s="180">
        <v>0</v>
      </c>
      <c r="CI38" s="180"/>
      <c r="CJ38" s="180"/>
      <c r="CK38" s="180"/>
      <c r="CL38" s="180"/>
      <c r="CM38" s="180"/>
      <c r="CN38" s="180"/>
      <c r="CO38" s="180"/>
      <c r="CP38" s="180"/>
      <c r="CQ38" s="180"/>
      <c r="CR38" s="180"/>
      <c r="CS38" s="180"/>
      <c r="CT38" s="180"/>
      <c r="CU38" s="180"/>
    </row>
    <row r="39" spans="1:99" x14ac:dyDescent="0.3">
      <c r="A39" s="155">
        <v>99</v>
      </c>
      <c r="B39" s="180" t="s">
        <v>229</v>
      </c>
      <c r="C39" s="180"/>
      <c r="D39" s="180">
        <v>0</v>
      </c>
      <c r="E39" s="180">
        <v>0</v>
      </c>
      <c r="F39" s="180">
        <v>0</v>
      </c>
      <c r="G39" s="180">
        <v>0</v>
      </c>
      <c r="H39" s="180"/>
      <c r="I39" s="180">
        <v>0</v>
      </c>
      <c r="J39" s="180">
        <v>0</v>
      </c>
      <c r="K39" s="180">
        <v>0</v>
      </c>
      <c r="L39" s="180">
        <v>0</v>
      </c>
      <c r="M39" s="180">
        <v>0</v>
      </c>
      <c r="N39" s="180">
        <v>0</v>
      </c>
      <c r="O39" s="180">
        <v>0</v>
      </c>
      <c r="P39" s="180">
        <v>0</v>
      </c>
      <c r="Q39" s="180">
        <v>0</v>
      </c>
      <c r="R39" s="180">
        <v>0</v>
      </c>
      <c r="S39" s="180">
        <v>0</v>
      </c>
      <c r="T39" s="180">
        <v>0</v>
      </c>
      <c r="U39" s="180">
        <v>0</v>
      </c>
      <c r="V39" s="180">
        <v>0</v>
      </c>
      <c r="W39" s="180">
        <v>0</v>
      </c>
      <c r="X39" s="180">
        <v>0</v>
      </c>
      <c r="Y39" s="180">
        <v>0</v>
      </c>
      <c r="Z39" s="180">
        <v>3472561</v>
      </c>
      <c r="AA39" s="180">
        <v>0</v>
      </c>
      <c r="AB39" s="180">
        <v>0</v>
      </c>
      <c r="AC39" s="180"/>
      <c r="AD39" s="180">
        <v>0</v>
      </c>
      <c r="AE39" s="180">
        <v>0</v>
      </c>
      <c r="AF39" s="180">
        <v>12703269</v>
      </c>
      <c r="AG39" s="180">
        <v>0</v>
      </c>
      <c r="AH39" s="180">
        <v>0</v>
      </c>
      <c r="AI39" s="180">
        <v>0</v>
      </c>
      <c r="AJ39" s="180">
        <v>0</v>
      </c>
      <c r="AK39" s="180">
        <v>0</v>
      </c>
      <c r="AL39" s="180">
        <v>0</v>
      </c>
      <c r="AM39" s="180"/>
      <c r="AN39" s="180">
        <v>0</v>
      </c>
      <c r="AO39" s="180"/>
      <c r="AP39" s="180">
        <v>0</v>
      </c>
      <c r="AQ39" s="180">
        <v>66595595</v>
      </c>
      <c r="AR39" s="180">
        <v>0</v>
      </c>
      <c r="AS39" s="180">
        <v>0</v>
      </c>
      <c r="AT39" s="180">
        <v>0</v>
      </c>
      <c r="AU39" s="180">
        <v>0</v>
      </c>
      <c r="AV39" s="180">
        <v>0</v>
      </c>
      <c r="AW39" s="180">
        <v>4293873</v>
      </c>
      <c r="AX39" s="180">
        <v>0</v>
      </c>
      <c r="AY39" s="180">
        <v>0</v>
      </c>
      <c r="AZ39" s="180">
        <v>0</v>
      </c>
      <c r="BA39" s="180">
        <v>0</v>
      </c>
      <c r="BB39" s="180">
        <v>0</v>
      </c>
      <c r="BC39" s="180">
        <v>5680609</v>
      </c>
      <c r="BD39" s="180">
        <v>0</v>
      </c>
      <c r="BE39" s="180">
        <v>0</v>
      </c>
      <c r="BF39" s="180">
        <v>0</v>
      </c>
      <c r="BG39" s="180">
        <v>0</v>
      </c>
      <c r="BH39" s="180">
        <v>0</v>
      </c>
      <c r="BI39" s="180">
        <v>0</v>
      </c>
      <c r="BJ39" s="180">
        <v>0</v>
      </c>
      <c r="BK39" s="180"/>
      <c r="BL39" s="180">
        <v>1279432</v>
      </c>
      <c r="BM39" s="180">
        <v>0</v>
      </c>
      <c r="BN39" s="180">
        <v>0</v>
      </c>
      <c r="BO39" s="180">
        <v>0</v>
      </c>
      <c r="BP39" s="180">
        <v>0</v>
      </c>
      <c r="BQ39" s="180">
        <v>0</v>
      </c>
      <c r="BR39" s="180"/>
      <c r="BS39" s="180">
        <v>0</v>
      </c>
      <c r="BT39" s="180"/>
      <c r="BU39" s="180">
        <v>0</v>
      </c>
      <c r="BV39" s="180">
        <v>0</v>
      </c>
      <c r="BW39" s="180">
        <v>8567119</v>
      </c>
      <c r="BX39" s="180">
        <v>24848000</v>
      </c>
      <c r="BY39" s="180">
        <v>0</v>
      </c>
      <c r="BZ39" s="180">
        <v>0</v>
      </c>
      <c r="CA39" s="180">
        <v>0</v>
      </c>
      <c r="CB39" s="180">
        <v>0</v>
      </c>
      <c r="CC39" s="180">
        <v>0</v>
      </c>
      <c r="CD39" s="180"/>
      <c r="CE39" s="180">
        <v>0</v>
      </c>
      <c r="CF39" s="180">
        <v>0</v>
      </c>
      <c r="CG39" s="180">
        <v>1399601</v>
      </c>
      <c r="CH39" s="180">
        <v>0</v>
      </c>
      <c r="CI39" s="180"/>
      <c r="CJ39" s="180"/>
      <c r="CK39" s="180"/>
      <c r="CL39" s="180"/>
      <c r="CM39" s="180"/>
      <c r="CN39" s="180"/>
      <c r="CO39" s="180"/>
      <c r="CP39" s="180"/>
      <c r="CQ39" s="180"/>
      <c r="CR39" s="180"/>
      <c r="CS39" s="180"/>
      <c r="CT39" s="180"/>
      <c r="CU39" s="180"/>
    </row>
    <row r="40" spans="1:99" x14ac:dyDescent="0.3">
      <c r="A40" s="155">
        <v>100</v>
      </c>
      <c r="B40" s="180" t="s">
        <v>242</v>
      </c>
      <c r="C40" s="180"/>
      <c r="D40" s="180">
        <v>0</v>
      </c>
      <c r="E40" s="180">
        <v>0</v>
      </c>
      <c r="F40" s="180">
        <v>0</v>
      </c>
      <c r="G40" s="180">
        <v>0</v>
      </c>
      <c r="H40" s="180"/>
      <c r="I40" s="180">
        <v>0</v>
      </c>
      <c r="J40" s="180">
        <v>0</v>
      </c>
      <c r="K40" s="180">
        <v>0</v>
      </c>
      <c r="L40" s="180">
        <v>0</v>
      </c>
      <c r="M40" s="180">
        <v>0</v>
      </c>
      <c r="N40" s="180">
        <v>0</v>
      </c>
      <c r="O40" s="180">
        <v>0</v>
      </c>
      <c r="P40" s="180">
        <v>0</v>
      </c>
      <c r="Q40" s="180">
        <v>0</v>
      </c>
      <c r="R40" s="180">
        <v>0</v>
      </c>
      <c r="S40" s="180">
        <v>0</v>
      </c>
      <c r="T40" s="180">
        <v>0</v>
      </c>
      <c r="U40" s="180">
        <v>0</v>
      </c>
      <c r="V40" s="180">
        <v>0</v>
      </c>
      <c r="W40" s="180">
        <v>0</v>
      </c>
      <c r="X40" s="180">
        <v>0</v>
      </c>
      <c r="Y40" s="180">
        <v>0</v>
      </c>
      <c r="Z40" s="180">
        <v>0</v>
      </c>
      <c r="AA40" s="180">
        <v>0</v>
      </c>
      <c r="AB40" s="180">
        <v>0</v>
      </c>
      <c r="AC40" s="180"/>
      <c r="AD40" s="180">
        <v>0</v>
      </c>
      <c r="AE40" s="180">
        <v>0</v>
      </c>
      <c r="AF40" s="180">
        <v>454395</v>
      </c>
      <c r="AG40" s="180">
        <v>0</v>
      </c>
      <c r="AH40" s="180">
        <v>0</v>
      </c>
      <c r="AI40" s="180">
        <v>0</v>
      </c>
      <c r="AJ40" s="180">
        <v>0</v>
      </c>
      <c r="AK40" s="180">
        <v>0</v>
      </c>
      <c r="AL40" s="180">
        <v>0</v>
      </c>
      <c r="AM40" s="180"/>
      <c r="AN40" s="180">
        <v>0</v>
      </c>
      <c r="AO40" s="180"/>
      <c r="AP40" s="180">
        <v>0</v>
      </c>
      <c r="AQ40" s="180">
        <v>1111846</v>
      </c>
      <c r="AR40" s="180">
        <v>0</v>
      </c>
      <c r="AS40" s="180">
        <v>0</v>
      </c>
      <c r="AT40" s="180">
        <v>0</v>
      </c>
      <c r="AU40" s="180">
        <v>0</v>
      </c>
      <c r="AV40" s="180">
        <v>0</v>
      </c>
      <c r="AW40" s="180">
        <v>50000</v>
      </c>
      <c r="AX40" s="180">
        <v>0</v>
      </c>
      <c r="AY40" s="180">
        <v>0</v>
      </c>
      <c r="AZ40" s="180">
        <v>0</v>
      </c>
      <c r="BA40" s="180">
        <v>0</v>
      </c>
      <c r="BB40" s="180">
        <v>0</v>
      </c>
      <c r="BC40" s="180">
        <v>27015</v>
      </c>
      <c r="BD40" s="180">
        <v>0</v>
      </c>
      <c r="BE40" s="180">
        <v>0</v>
      </c>
      <c r="BF40" s="180">
        <v>0</v>
      </c>
      <c r="BG40" s="180">
        <v>0</v>
      </c>
      <c r="BH40" s="180">
        <v>0</v>
      </c>
      <c r="BI40" s="180">
        <v>0</v>
      </c>
      <c r="BJ40" s="180">
        <v>0</v>
      </c>
      <c r="BK40" s="180"/>
      <c r="BL40" s="180">
        <v>0</v>
      </c>
      <c r="BM40" s="180">
        <v>0</v>
      </c>
      <c r="BN40" s="180">
        <v>0</v>
      </c>
      <c r="BO40" s="180">
        <v>0</v>
      </c>
      <c r="BP40" s="180">
        <v>0</v>
      </c>
      <c r="BQ40" s="180">
        <v>0</v>
      </c>
      <c r="BR40" s="180"/>
      <c r="BS40" s="180">
        <v>0</v>
      </c>
      <c r="BT40" s="180"/>
      <c r="BU40" s="180">
        <v>0</v>
      </c>
      <c r="BV40" s="180">
        <v>0</v>
      </c>
      <c r="BW40" s="180">
        <v>42639</v>
      </c>
      <c r="BX40" s="180">
        <v>563300</v>
      </c>
      <c r="BY40" s="180">
        <v>0</v>
      </c>
      <c r="BZ40" s="180">
        <v>0</v>
      </c>
      <c r="CA40" s="180">
        <v>0</v>
      </c>
      <c r="CB40" s="180">
        <v>0</v>
      </c>
      <c r="CC40" s="180">
        <v>0</v>
      </c>
      <c r="CD40" s="180"/>
      <c r="CE40" s="180">
        <v>0</v>
      </c>
      <c r="CF40" s="180">
        <v>0</v>
      </c>
      <c r="CG40" s="180">
        <v>0</v>
      </c>
      <c r="CH40" s="180">
        <v>0</v>
      </c>
      <c r="CI40" s="180"/>
      <c r="CJ40" s="180"/>
      <c r="CK40" s="180"/>
      <c r="CL40" s="180"/>
      <c r="CM40" s="180"/>
      <c r="CN40" s="180"/>
      <c r="CO40" s="180"/>
      <c r="CP40" s="180"/>
      <c r="CQ40" s="180"/>
      <c r="CR40" s="180"/>
      <c r="CS40" s="180"/>
      <c r="CT40" s="180"/>
      <c r="CU40" s="180"/>
    </row>
    <row r="41" spans="1:99" x14ac:dyDescent="0.3">
      <c r="A41" s="155">
        <v>101</v>
      </c>
      <c r="B41" s="180" t="s">
        <v>241</v>
      </c>
      <c r="C41" s="180"/>
      <c r="D41" s="180">
        <v>0</v>
      </c>
      <c r="E41" s="180">
        <v>0</v>
      </c>
      <c r="F41" s="180">
        <v>0</v>
      </c>
      <c r="G41" s="180">
        <v>0</v>
      </c>
      <c r="H41" s="180"/>
      <c r="I41" s="180">
        <v>0</v>
      </c>
      <c r="J41" s="180">
        <v>0</v>
      </c>
      <c r="K41" s="180">
        <v>0</v>
      </c>
      <c r="L41" s="180">
        <v>0</v>
      </c>
      <c r="M41" s="180">
        <v>0</v>
      </c>
      <c r="N41" s="180">
        <v>0</v>
      </c>
      <c r="O41" s="180">
        <v>0</v>
      </c>
      <c r="P41" s="180">
        <v>0</v>
      </c>
      <c r="Q41" s="180">
        <v>0</v>
      </c>
      <c r="R41" s="180">
        <v>0</v>
      </c>
      <c r="S41" s="180">
        <v>0</v>
      </c>
      <c r="T41" s="180">
        <v>0</v>
      </c>
      <c r="U41" s="180">
        <v>0</v>
      </c>
      <c r="V41" s="180">
        <v>0</v>
      </c>
      <c r="W41" s="180">
        <v>0</v>
      </c>
      <c r="X41" s="180">
        <v>0</v>
      </c>
      <c r="Y41" s="180">
        <v>0</v>
      </c>
      <c r="Z41" s="180">
        <v>151805</v>
      </c>
      <c r="AA41" s="180">
        <v>0</v>
      </c>
      <c r="AB41" s="180">
        <v>0</v>
      </c>
      <c r="AC41" s="180"/>
      <c r="AD41" s="180">
        <v>0</v>
      </c>
      <c r="AE41" s="180">
        <v>0</v>
      </c>
      <c r="AF41" s="180">
        <v>2354208</v>
      </c>
      <c r="AG41" s="180">
        <v>0</v>
      </c>
      <c r="AH41" s="180">
        <v>0</v>
      </c>
      <c r="AI41" s="180">
        <v>0</v>
      </c>
      <c r="AJ41" s="180">
        <v>0</v>
      </c>
      <c r="AK41" s="180">
        <v>0</v>
      </c>
      <c r="AL41" s="180">
        <v>0</v>
      </c>
      <c r="AM41" s="180"/>
      <c r="AN41" s="180">
        <v>0</v>
      </c>
      <c r="AO41" s="180"/>
      <c r="AP41" s="180">
        <v>0</v>
      </c>
      <c r="AQ41" s="180">
        <v>27144043</v>
      </c>
      <c r="AR41" s="180">
        <v>0</v>
      </c>
      <c r="AS41" s="180">
        <v>0</v>
      </c>
      <c r="AT41" s="180">
        <v>0</v>
      </c>
      <c r="AU41" s="180">
        <v>0</v>
      </c>
      <c r="AV41" s="180">
        <v>0</v>
      </c>
      <c r="AW41" s="180">
        <v>655561</v>
      </c>
      <c r="AX41" s="180">
        <v>0</v>
      </c>
      <c r="AY41" s="180">
        <v>0</v>
      </c>
      <c r="AZ41" s="180">
        <v>0</v>
      </c>
      <c r="BA41" s="180">
        <v>0</v>
      </c>
      <c r="BB41" s="180">
        <v>0</v>
      </c>
      <c r="BC41" s="180">
        <v>285421</v>
      </c>
      <c r="BD41" s="180">
        <v>0</v>
      </c>
      <c r="BE41" s="180">
        <v>0</v>
      </c>
      <c r="BF41" s="180">
        <v>0</v>
      </c>
      <c r="BG41" s="180">
        <v>0</v>
      </c>
      <c r="BH41" s="180">
        <v>0</v>
      </c>
      <c r="BI41" s="180">
        <v>0</v>
      </c>
      <c r="BJ41" s="180">
        <v>0</v>
      </c>
      <c r="BK41" s="180"/>
      <c r="BL41" s="180">
        <v>0</v>
      </c>
      <c r="BM41" s="180">
        <v>0</v>
      </c>
      <c r="BN41" s="180">
        <v>0</v>
      </c>
      <c r="BO41" s="180">
        <v>0</v>
      </c>
      <c r="BP41" s="180">
        <v>0</v>
      </c>
      <c r="BQ41" s="180">
        <v>0</v>
      </c>
      <c r="BR41" s="180"/>
      <c r="BS41" s="180">
        <v>0</v>
      </c>
      <c r="BT41" s="180"/>
      <c r="BU41" s="180">
        <v>0</v>
      </c>
      <c r="BV41" s="180">
        <v>0</v>
      </c>
      <c r="BW41" s="180">
        <v>368225</v>
      </c>
      <c r="BX41" s="180">
        <v>1613773</v>
      </c>
      <c r="BY41" s="180">
        <v>0</v>
      </c>
      <c r="BZ41" s="180">
        <v>0</v>
      </c>
      <c r="CA41" s="180">
        <v>0</v>
      </c>
      <c r="CB41" s="180">
        <v>0</v>
      </c>
      <c r="CC41" s="180">
        <v>0</v>
      </c>
      <c r="CD41" s="180"/>
      <c r="CE41" s="180">
        <v>0</v>
      </c>
      <c r="CF41" s="180">
        <v>0</v>
      </c>
      <c r="CG41" s="180">
        <v>0</v>
      </c>
      <c r="CH41" s="180">
        <v>0</v>
      </c>
      <c r="CI41" s="180"/>
      <c r="CJ41" s="180"/>
      <c r="CK41" s="180"/>
      <c r="CL41" s="180"/>
      <c r="CM41" s="180"/>
      <c r="CN41" s="180"/>
      <c r="CO41" s="180"/>
      <c r="CP41" s="180"/>
      <c r="CQ41" s="180"/>
      <c r="CR41" s="180"/>
      <c r="CS41" s="180"/>
      <c r="CT41" s="180"/>
      <c r="CU41" s="180"/>
    </row>
    <row r="42" spans="1:99" x14ac:dyDescent="0.3">
      <c r="A42" s="155">
        <v>102</v>
      </c>
      <c r="B42" s="180" t="s">
        <v>255</v>
      </c>
      <c r="C42" s="180"/>
      <c r="D42" s="180">
        <v>0</v>
      </c>
      <c r="E42" s="180">
        <v>99.06</v>
      </c>
      <c r="F42" s="180">
        <v>94.96</v>
      </c>
      <c r="G42" s="180">
        <v>98.46</v>
      </c>
      <c r="H42" s="180"/>
      <c r="I42" s="180">
        <v>99.36</v>
      </c>
      <c r="J42" s="180">
        <v>99.48</v>
      </c>
      <c r="K42" s="180">
        <v>99.43</v>
      </c>
      <c r="L42" s="180">
        <v>99.56</v>
      </c>
      <c r="M42" s="180">
        <v>99.6</v>
      </c>
      <c r="N42" s="180">
        <v>99.06</v>
      </c>
      <c r="O42" s="180">
        <v>99.8</v>
      </c>
      <c r="P42" s="180">
        <v>96.14</v>
      </c>
      <c r="Q42" s="180">
        <v>96.95</v>
      </c>
      <c r="R42" s="180">
        <v>99.85</v>
      </c>
      <c r="S42" s="180">
        <v>98.57</v>
      </c>
      <c r="T42" s="180">
        <v>97.92</v>
      </c>
      <c r="U42" s="180">
        <v>99.97</v>
      </c>
      <c r="V42" s="180">
        <v>94.28</v>
      </c>
      <c r="W42" s="180">
        <v>96.19</v>
      </c>
      <c r="X42" s="180">
        <v>99.75</v>
      </c>
      <c r="Y42" s="180">
        <v>99.48</v>
      </c>
      <c r="Z42" s="180">
        <v>98.7</v>
      </c>
      <c r="AA42" s="180">
        <v>99.07</v>
      </c>
      <c r="AB42" s="180">
        <v>98.36</v>
      </c>
      <c r="AC42" s="180"/>
      <c r="AD42" s="180">
        <v>99.82</v>
      </c>
      <c r="AE42" s="180">
        <v>93.12</v>
      </c>
      <c r="AF42" s="180">
        <v>99.97</v>
      </c>
      <c r="AG42" s="180">
        <v>99.66</v>
      </c>
      <c r="AH42" s="180">
        <v>98.9</v>
      </c>
      <c r="AI42" s="180">
        <v>95.51</v>
      </c>
      <c r="AJ42" s="180">
        <v>96.78</v>
      </c>
      <c r="AK42" s="180">
        <v>99.09</v>
      </c>
      <c r="AL42" s="180">
        <v>98.92</v>
      </c>
      <c r="AM42" s="180"/>
      <c r="AN42" s="180">
        <v>92.72</v>
      </c>
      <c r="AO42" s="180"/>
      <c r="AP42" s="180">
        <v>94.62</v>
      </c>
      <c r="AQ42" s="180">
        <v>99.35</v>
      </c>
      <c r="AR42" s="180">
        <v>90.41</v>
      </c>
      <c r="AS42" s="180">
        <v>96.83</v>
      </c>
      <c r="AT42" s="180">
        <v>98.46</v>
      </c>
      <c r="AU42" s="180">
        <v>65.87</v>
      </c>
      <c r="AV42" s="180">
        <v>96.79</v>
      </c>
      <c r="AW42" s="180">
        <v>99.72</v>
      </c>
      <c r="AX42" s="180">
        <v>96.97</v>
      </c>
      <c r="AY42" s="180">
        <v>99.59</v>
      </c>
      <c r="AZ42" s="180">
        <v>99.42</v>
      </c>
      <c r="BA42" s="180">
        <v>94.64</v>
      </c>
      <c r="BB42" s="180">
        <v>98.26</v>
      </c>
      <c r="BC42" s="180">
        <v>99.07</v>
      </c>
      <c r="BD42" s="180">
        <v>98.63</v>
      </c>
      <c r="BE42" s="180">
        <v>99.81</v>
      </c>
      <c r="BF42" s="180">
        <v>97.59</v>
      </c>
      <c r="BG42" s="180">
        <v>98.51</v>
      </c>
      <c r="BH42" s="180">
        <v>82.28</v>
      </c>
      <c r="BI42" s="180">
        <v>99.76</v>
      </c>
      <c r="BJ42" s="180">
        <v>0</v>
      </c>
      <c r="BK42" s="180"/>
      <c r="BL42" s="180">
        <v>98.26</v>
      </c>
      <c r="BM42" s="180">
        <v>93.32</v>
      </c>
      <c r="BN42" s="180">
        <v>99.96</v>
      </c>
      <c r="BO42" s="180">
        <v>99.14</v>
      </c>
      <c r="BP42" s="180">
        <v>99.47</v>
      </c>
      <c r="BQ42" s="180">
        <v>94.72</v>
      </c>
      <c r="BR42" s="180"/>
      <c r="BS42" s="180">
        <v>96.22</v>
      </c>
      <c r="BT42" s="180"/>
      <c r="BU42" s="180">
        <v>99.1</v>
      </c>
      <c r="BV42" s="180">
        <v>98.35</v>
      </c>
      <c r="BW42" s="180">
        <v>97.95</v>
      </c>
      <c r="BX42" s="180">
        <v>95.97</v>
      </c>
      <c r="BY42" s="180">
        <v>96.79</v>
      </c>
      <c r="BZ42" s="180">
        <v>98.6</v>
      </c>
      <c r="CA42" s="180">
        <v>98.96</v>
      </c>
      <c r="CB42" s="180">
        <v>96.47</v>
      </c>
      <c r="CC42" s="180">
        <v>94.24</v>
      </c>
      <c r="CD42" s="180"/>
      <c r="CE42" s="180">
        <v>99.95</v>
      </c>
      <c r="CF42" s="180">
        <v>99.1</v>
      </c>
      <c r="CG42" s="180">
        <v>93.58</v>
      </c>
      <c r="CH42" s="180">
        <v>99.05</v>
      </c>
      <c r="CI42" s="180"/>
      <c r="CJ42" s="180"/>
      <c r="CK42" s="180"/>
      <c r="CL42" s="180"/>
      <c r="CM42" s="180"/>
      <c r="CN42" s="180"/>
      <c r="CO42" s="180"/>
      <c r="CP42" s="180"/>
      <c r="CQ42" s="180"/>
      <c r="CR42" s="180"/>
      <c r="CS42" s="180"/>
      <c r="CT42" s="180"/>
      <c r="CU42" s="180"/>
    </row>
    <row r="43" spans="1:99" x14ac:dyDescent="0.3">
      <c r="A43" s="155">
        <v>103</v>
      </c>
      <c r="B43" s="180" t="s">
        <v>256</v>
      </c>
      <c r="C43" s="180"/>
      <c r="D43" s="180">
        <v>0</v>
      </c>
      <c r="E43" s="180">
        <v>100</v>
      </c>
      <c r="F43" s="180">
        <v>100</v>
      </c>
      <c r="G43" s="180">
        <v>100</v>
      </c>
      <c r="H43" s="180"/>
      <c r="I43" s="180">
        <v>100</v>
      </c>
      <c r="J43" s="180">
        <v>100</v>
      </c>
      <c r="K43" s="180">
        <v>100</v>
      </c>
      <c r="L43" s="180">
        <v>100</v>
      </c>
      <c r="M43" s="180">
        <v>99.74</v>
      </c>
      <c r="N43" s="180">
        <v>99.93</v>
      </c>
      <c r="O43" s="180">
        <v>100</v>
      </c>
      <c r="P43" s="180">
        <v>100</v>
      </c>
      <c r="Q43" s="180">
        <v>0</v>
      </c>
      <c r="R43" s="180">
        <v>100</v>
      </c>
      <c r="S43" s="180">
        <v>100</v>
      </c>
      <c r="T43" s="180">
        <v>100</v>
      </c>
      <c r="U43" s="180">
        <v>100</v>
      </c>
      <c r="V43" s="180">
        <v>100</v>
      </c>
      <c r="W43" s="180">
        <v>100</v>
      </c>
      <c r="X43" s="180">
        <v>99.42</v>
      </c>
      <c r="Y43" s="180">
        <v>100</v>
      </c>
      <c r="Z43" s="180">
        <v>100</v>
      </c>
      <c r="AA43" s="180">
        <v>100</v>
      </c>
      <c r="AB43" s="180">
        <v>100</v>
      </c>
      <c r="AC43" s="180"/>
      <c r="AD43" s="180">
        <v>100</v>
      </c>
      <c r="AE43" s="180">
        <v>100</v>
      </c>
      <c r="AF43" s="180">
        <v>100</v>
      </c>
      <c r="AG43" s="180">
        <v>100</v>
      </c>
      <c r="AH43" s="180">
        <v>100</v>
      </c>
      <c r="AI43" s="180">
        <v>99.95</v>
      </c>
      <c r="AJ43" s="180">
        <v>100</v>
      </c>
      <c r="AK43" s="180">
        <v>100</v>
      </c>
      <c r="AL43" s="180">
        <v>100</v>
      </c>
      <c r="AM43" s="180"/>
      <c r="AN43" s="180">
        <v>100</v>
      </c>
      <c r="AO43" s="180"/>
      <c r="AP43" s="180">
        <v>100</v>
      </c>
      <c r="AQ43" s="180">
        <v>100</v>
      </c>
      <c r="AR43" s="180">
        <v>100</v>
      </c>
      <c r="AS43" s="180">
        <v>100</v>
      </c>
      <c r="AT43" s="180">
        <v>100</v>
      </c>
      <c r="AU43" s="180">
        <v>100</v>
      </c>
      <c r="AV43" s="180">
        <v>100</v>
      </c>
      <c r="AW43" s="180">
        <v>100</v>
      </c>
      <c r="AX43" s="180">
        <v>100</v>
      </c>
      <c r="AY43" s="180">
        <v>100</v>
      </c>
      <c r="AZ43" s="180">
        <v>99.87</v>
      </c>
      <c r="BA43" s="180">
        <v>100</v>
      </c>
      <c r="BB43" s="180">
        <v>100</v>
      </c>
      <c r="BC43" s="180">
        <v>100</v>
      </c>
      <c r="BD43" s="180">
        <v>100</v>
      </c>
      <c r="BE43" s="180">
        <v>100</v>
      </c>
      <c r="BF43" s="180">
        <v>100</v>
      </c>
      <c r="BG43" s="180">
        <v>100</v>
      </c>
      <c r="BH43" s="180">
        <v>100</v>
      </c>
      <c r="BI43" s="180">
        <v>100</v>
      </c>
      <c r="BJ43" s="180">
        <v>0</v>
      </c>
      <c r="BK43" s="180"/>
      <c r="BL43" s="180">
        <v>100</v>
      </c>
      <c r="BM43" s="180">
        <v>100</v>
      </c>
      <c r="BN43" s="180">
        <v>100</v>
      </c>
      <c r="BO43" s="180">
        <v>100</v>
      </c>
      <c r="BP43" s="180">
        <v>100</v>
      </c>
      <c r="BQ43" s="180">
        <v>100</v>
      </c>
      <c r="BR43" s="180"/>
      <c r="BS43" s="180">
        <v>100</v>
      </c>
      <c r="BT43" s="180"/>
      <c r="BU43" s="180">
        <v>100</v>
      </c>
      <c r="BV43" s="180">
        <v>100</v>
      </c>
      <c r="BW43" s="180">
        <v>100</v>
      </c>
      <c r="BX43" s="180">
        <v>100</v>
      </c>
      <c r="BY43" s="180">
        <v>100</v>
      </c>
      <c r="BZ43" s="180">
        <v>100</v>
      </c>
      <c r="CA43" s="180">
        <v>100</v>
      </c>
      <c r="CB43" s="180">
        <v>100</v>
      </c>
      <c r="CC43" s="180">
        <v>100</v>
      </c>
      <c r="CD43" s="180"/>
      <c r="CE43" s="180">
        <v>99.14</v>
      </c>
      <c r="CF43" s="180">
        <v>100</v>
      </c>
      <c r="CG43" s="180">
        <v>99.65</v>
      </c>
      <c r="CH43" s="180">
        <v>100</v>
      </c>
      <c r="CI43" s="180"/>
      <c r="CJ43" s="180"/>
      <c r="CK43" s="180"/>
      <c r="CL43" s="180"/>
      <c r="CM43" s="180"/>
      <c r="CN43" s="180"/>
      <c r="CO43" s="180"/>
      <c r="CP43" s="180"/>
      <c r="CQ43" s="180"/>
      <c r="CR43" s="180"/>
      <c r="CS43" s="180"/>
      <c r="CT43" s="180"/>
      <c r="CU43" s="180"/>
    </row>
    <row r="44" spans="1:99" x14ac:dyDescent="0.3">
      <c r="A44" s="155">
        <v>171</v>
      </c>
      <c r="B44" s="180" t="s">
        <v>208</v>
      </c>
      <c r="C44" s="180"/>
      <c r="D44" s="180">
        <v>0</v>
      </c>
      <c r="E44" s="180">
        <v>1914</v>
      </c>
      <c r="F44" s="180">
        <v>0</v>
      </c>
      <c r="G44" s="180">
        <v>12479</v>
      </c>
      <c r="H44" s="180"/>
      <c r="I44" s="180">
        <v>142356</v>
      </c>
      <c r="J44" s="180">
        <v>66146</v>
      </c>
      <c r="K44" s="180">
        <v>0</v>
      </c>
      <c r="L44" s="180">
        <v>0</v>
      </c>
      <c r="M44" s="180">
        <v>1125066</v>
      </c>
      <c r="N44" s="180">
        <v>0</v>
      </c>
      <c r="O44" s="180">
        <v>34656762</v>
      </c>
      <c r="P44" s="180">
        <v>0</v>
      </c>
      <c r="Q44" s="180">
        <v>0</v>
      </c>
      <c r="R44" s="180">
        <v>79116</v>
      </c>
      <c r="S44" s="180">
        <v>0</v>
      </c>
      <c r="T44" s="180">
        <v>173160</v>
      </c>
      <c r="U44" s="180">
        <v>0</v>
      </c>
      <c r="V44" s="180">
        <v>0</v>
      </c>
      <c r="W44" s="180">
        <v>0</v>
      </c>
      <c r="X44" s="180">
        <v>10824055</v>
      </c>
      <c r="Y44" s="180">
        <v>180764000</v>
      </c>
      <c r="Z44" s="180">
        <v>206654</v>
      </c>
      <c r="AA44" s="180">
        <v>36000</v>
      </c>
      <c r="AB44" s="180">
        <v>416008</v>
      </c>
      <c r="AC44" s="180"/>
      <c r="AD44" s="180">
        <v>167841</v>
      </c>
      <c r="AE44" s="180">
        <v>0</v>
      </c>
      <c r="AF44" s="180">
        <v>2439694</v>
      </c>
      <c r="AG44" s="180">
        <v>19647</v>
      </c>
      <c r="AH44" s="180">
        <v>0</v>
      </c>
      <c r="AI44" s="180">
        <v>580103</v>
      </c>
      <c r="AJ44" s="180">
        <v>0</v>
      </c>
      <c r="AK44" s="180">
        <v>0</v>
      </c>
      <c r="AL44" s="180">
        <v>0</v>
      </c>
      <c r="AM44" s="180"/>
      <c r="AN44" s="180">
        <v>0</v>
      </c>
      <c r="AO44" s="180"/>
      <c r="AP44" s="180">
        <v>0</v>
      </c>
      <c r="AQ44" s="180">
        <v>3023785</v>
      </c>
      <c r="AR44" s="180">
        <v>0</v>
      </c>
      <c r="AS44" s="180">
        <v>0</v>
      </c>
      <c r="AT44" s="180">
        <v>529472</v>
      </c>
      <c r="AU44" s="180">
        <v>0</v>
      </c>
      <c r="AV44" s="570">
        <v>0</v>
      </c>
      <c r="AW44" s="180">
        <v>3533711</v>
      </c>
      <c r="AX44" s="180">
        <v>0</v>
      </c>
      <c r="AY44" s="180">
        <v>650698</v>
      </c>
      <c r="AZ44" s="180">
        <v>67585</v>
      </c>
      <c r="BA44" s="180">
        <v>0</v>
      </c>
      <c r="BB44" s="180">
        <v>0</v>
      </c>
      <c r="BC44" s="180">
        <v>256425</v>
      </c>
      <c r="BD44" s="180">
        <v>0</v>
      </c>
      <c r="BE44" s="180">
        <v>2223351</v>
      </c>
      <c r="BF44" s="180">
        <v>0</v>
      </c>
      <c r="BG44" s="180">
        <v>0</v>
      </c>
      <c r="BH44" s="180">
        <v>0</v>
      </c>
      <c r="BI44" s="180">
        <v>45754</v>
      </c>
      <c r="BJ44" s="180">
        <v>0</v>
      </c>
      <c r="BK44" s="180"/>
      <c r="BL44" s="180">
        <v>0</v>
      </c>
      <c r="BM44" s="180">
        <v>30000</v>
      </c>
      <c r="BN44" s="180">
        <v>1113207</v>
      </c>
      <c r="BO44" s="180">
        <v>1178385</v>
      </c>
      <c r="BP44" s="180">
        <v>33951949</v>
      </c>
      <c r="BQ44" s="180">
        <v>0</v>
      </c>
      <c r="BR44" s="180"/>
      <c r="BS44" s="180">
        <v>0</v>
      </c>
      <c r="BT44" s="180"/>
      <c r="BU44" s="180">
        <v>78509</v>
      </c>
      <c r="BV44" s="180">
        <v>427588</v>
      </c>
      <c r="BW44" s="180">
        <v>515758</v>
      </c>
      <c r="BX44" s="180">
        <v>1728560</v>
      </c>
      <c r="BY44" s="180">
        <v>305908</v>
      </c>
      <c r="BZ44" s="180">
        <v>19287</v>
      </c>
      <c r="CA44" s="180">
        <v>395969</v>
      </c>
      <c r="CB44" s="180">
        <v>0</v>
      </c>
      <c r="CC44" s="180">
        <v>62100</v>
      </c>
      <c r="CD44" s="180"/>
      <c r="CE44" s="180">
        <v>105443</v>
      </c>
      <c r="CF44" s="180">
        <v>934861</v>
      </c>
      <c r="CG44" s="180">
        <v>58744</v>
      </c>
      <c r="CH44" s="180">
        <v>0</v>
      </c>
      <c r="CI44" s="180"/>
      <c r="CJ44" s="180"/>
      <c r="CK44" s="180"/>
      <c r="CL44" s="180"/>
      <c r="CM44" s="180"/>
      <c r="CN44" s="180"/>
      <c r="CO44" s="180"/>
      <c r="CP44" s="180"/>
      <c r="CQ44" s="180"/>
      <c r="CR44" s="180"/>
      <c r="CS44" s="180"/>
      <c r="CT44" s="180"/>
      <c r="CU44" s="180"/>
    </row>
    <row r="45" spans="1:99" x14ac:dyDescent="0.3">
      <c r="A45" s="155">
        <v>191</v>
      </c>
      <c r="B45" s="180" t="s">
        <v>224</v>
      </c>
      <c r="C45" s="180"/>
      <c r="D45" s="180">
        <v>0</v>
      </c>
      <c r="E45" s="180">
        <v>0</v>
      </c>
      <c r="F45" s="180">
        <v>0</v>
      </c>
      <c r="G45" s="180">
        <v>0</v>
      </c>
      <c r="H45" s="180"/>
      <c r="I45" s="180">
        <v>58440</v>
      </c>
      <c r="J45" s="180">
        <v>0</v>
      </c>
      <c r="K45" s="180">
        <v>214770</v>
      </c>
      <c r="L45" s="180">
        <v>0</v>
      </c>
      <c r="M45" s="180">
        <v>0</v>
      </c>
      <c r="N45" s="180">
        <v>2405214</v>
      </c>
      <c r="O45" s="180">
        <v>12527874</v>
      </c>
      <c r="P45" s="180">
        <v>0</v>
      </c>
      <c r="Q45" s="180">
        <v>0</v>
      </c>
      <c r="R45" s="180">
        <v>0</v>
      </c>
      <c r="S45" s="180">
        <v>0</v>
      </c>
      <c r="T45" s="180">
        <v>0</v>
      </c>
      <c r="U45" s="180">
        <v>0</v>
      </c>
      <c r="V45" s="180">
        <v>0</v>
      </c>
      <c r="W45" s="180">
        <v>129900</v>
      </c>
      <c r="X45" s="180">
        <v>0</v>
      </c>
      <c r="Y45" s="180">
        <v>116633000</v>
      </c>
      <c r="Z45" s="180">
        <v>0</v>
      </c>
      <c r="AA45" s="180">
        <v>0</v>
      </c>
      <c r="AB45" s="180">
        <v>0</v>
      </c>
      <c r="AC45" s="180"/>
      <c r="AD45" s="180">
        <v>2778405</v>
      </c>
      <c r="AE45" s="180">
        <v>4206</v>
      </c>
      <c r="AF45" s="180">
        <v>2156967</v>
      </c>
      <c r="AG45" s="180">
        <v>0</v>
      </c>
      <c r="AH45" s="180">
        <v>0</v>
      </c>
      <c r="AI45" s="180">
        <v>0</v>
      </c>
      <c r="AJ45" s="180">
        <v>110500</v>
      </c>
      <c r="AK45" s="180">
        <v>0</v>
      </c>
      <c r="AL45" s="180">
        <v>0</v>
      </c>
      <c r="AM45" s="180"/>
      <c r="AN45" s="180">
        <v>0</v>
      </c>
      <c r="AO45" s="180"/>
      <c r="AP45" s="180">
        <v>0</v>
      </c>
      <c r="AQ45" s="180">
        <v>14754395</v>
      </c>
      <c r="AR45" s="180">
        <v>0</v>
      </c>
      <c r="AS45" s="180">
        <v>0</v>
      </c>
      <c r="AT45" s="180">
        <v>317350</v>
      </c>
      <c r="AU45" s="180">
        <v>0</v>
      </c>
      <c r="AV45" s="180">
        <v>0</v>
      </c>
      <c r="AW45" s="180">
        <v>0</v>
      </c>
      <c r="AX45" s="180">
        <v>0</v>
      </c>
      <c r="AY45" s="180">
        <v>0</v>
      </c>
      <c r="AZ45" s="180">
        <v>0</v>
      </c>
      <c r="BA45" s="180">
        <v>74575</v>
      </c>
      <c r="BB45" s="180">
        <v>0</v>
      </c>
      <c r="BC45" s="180">
        <v>0</v>
      </c>
      <c r="BD45" s="180">
        <v>0</v>
      </c>
      <c r="BE45" s="180">
        <v>0</v>
      </c>
      <c r="BF45" s="180">
        <v>0</v>
      </c>
      <c r="BG45" s="180">
        <v>0</v>
      </c>
      <c r="BH45" s="180">
        <v>0</v>
      </c>
      <c r="BI45" s="180">
        <v>350000</v>
      </c>
      <c r="BJ45" s="180">
        <v>0</v>
      </c>
      <c r="BK45" s="180"/>
      <c r="BL45" s="180">
        <v>0</v>
      </c>
      <c r="BM45" s="180">
        <v>241281</v>
      </c>
      <c r="BN45" s="180">
        <v>0</v>
      </c>
      <c r="BO45" s="180">
        <v>3219330</v>
      </c>
      <c r="BP45" s="180">
        <v>6619866</v>
      </c>
      <c r="BQ45" s="180">
        <v>0</v>
      </c>
      <c r="BR45" s="180"/>
      <c r="BS45" s="180">
        <v>0</v>
      </c>
      <c r="BT45" s="180"/>
      <c r="BU45" s="180">
        <v>0</v>
      </c>
      <c r="BV45" s="180">
        <v>2528278</v>
      </c>
      <c r="BW45" s="180">
        <v>0</v>
      </c>
      <c r="BX45" s="180">
        <v>0</v>
      </c>
      <c r="BY45" s="180">
        <v>1250115</v>
      </c>
      <c r="BZ45" s="180">
        <v>0</v>
      </c>
      <c r="CA45" s="180">
        <v>0</v>
      </c>
      <c r="CB45" s="180">
        <v>0</v>
      </c>
      <c r="CC45" s="180">
        <v>1908200</v>
      </c>
      <c r="CD45" s="180"/>
      <c r="CE45" s="180">
        <v>0</v>
      </c>
      <c r="CF45" s="180">
        <v>0</v>
      </c>
      <c r="CG45" s="180">
        <v>1030914</v>
      </c>
      <c r="CH45" s="180">
        <v>0</v>
      </c>
      <c r="CI45" s="180"/>
      <c r="CJ45" s="180"/>
      <c r="CK45" s="180"/>
      <c r="CL45" s="180"/>
      <c r="CM45" s="180"/>
      <c r="CN45" s="180"/>
      <c r="CO45" s="180"/>
      <c r="CP45" s="180"/>
      <c r="CQ45" s="180"/>
      <c r="CR45" s="180"/>
      <c r="CS45" s="180"/>
      <c r="CT45" s="180"/>
      <c r="CU45" s="180"/>
    </row>
    <row r="46" spans="1:99" x14ac:dyDescent="0.3">
      <c r="A46" s="155">
        <v>192</v>
      </c>
      <c r="B46" s="180" t="s">
        <v>235</v>
      </c>
      <c r="C46" s="180"/>
      <c r="D46" s="180">
        <v>0</v>
      </c>
      <c r="E46" s="180">
        <v>0</v>
      </c>
      <c r="F46" s="180">
        <v>0</v>
      </c>
      <c r="G46" s="180">
        <v>0</v>
      </c>
      <c r="H46" s="180"/>
      <c r="I46" s="180">
        <v>0</v>
      </c>
      <c r="J46" s="180">
        <v>0</v>
      </c>
      <c r="K46" s="180">
        <v>0</v>
      </c>
      <c r="L46" s="180">
        <v>0</v>
      </c>
      <c r="M46" s="180">
        <v>0</v>
      </c>
      <c r="N46" s="180">
        <v>0</v>
      </c>
      <c r="O46" s="180">
        <v>0</v>
      </c>
      <c r="P46" s="180">
        <v>0</v>
      </c>
      <c r="Q46" s="180">
        <v>0</v>
      </c>
      <c r="R46" s="180">
        <v>0</v>
      </c>
      <c r="S46" s="180">
        <v>0</v>
      </c>
      <c r="T46" s="180">
        <v>0</v>
      </c>
      <c r="U46" s="180">
        <v>0</v>
      </c>
      <c r="V46" s="180">
        <v>0</v>
      </c>
      <c r="W46" s="180">
        <v>0</v>
      </c>
      <c r="X46" s="180">
        <v>0</v>
      </c>
      <c r="Y46" s="180">
        <v>0</v>
      </c>
      <c r="Z46" s="180">
        <v>0</v>
      </c>
      <c r="AA46" s="180">
        <v>0</v>
      </c>
      <c r="AB46" s="180">
        <v>0</v>
      </c>
      <c r="AC46" s="180"/>
      <c r="AD46" s="180">
        <v>0</v>
      </c>
      <c r="AE46" s="180">
        <v>0</v>
      </c>
      <c r="AF46" s="180">
        <v>0</v>
      </c>
      <c r="AG46" s="180">
        <v>0</v>
      </c>
      <c r="AH46" s="180">
        <v>0</v>
      </c>
      <c r="AI46" s="180">
        <v>0</v>
      </c>
      <c r="AJ46" s="180">
        <v>0</v>
      </c>
      <c r="AK46" s="180">
        <v>0</v>
      </c>
      <c r="AL46" s="180">
        <v>0</v>
      </c>
      <c r="AM46" s="180"/>
      <c r="AN46" s="180">
        <v>0</v>
      </c>
      <c r="AO46" s="180"/>
      <c r="AP46" s="180">
        <v>0</v>
      </c>
      <c r="AQ46" s="180">
        <v>4122488</v>
      </c>
      <c r="AR46" s="180">
        <v>0</v>
      </c>
      <c r="AS46" s="180">
        <v>0</v>
      </c>
      <c r="AT46" s="180">
        <v>0</v>
      </c>
      <c r="AU46" s="180">
        <v>0</v>
      </c>
      <c r="AV46" s="180">
        <v>0</v>
      </c>
      <c r="AW46" s="180">
        <v>0</v>
      </c>
      <c r="AX46" s="180">
        <v>0</v>
      </c>
      <c r="AY46" s="180">
        <v>0</v>
      </c>
      <c r="AZ46" s="180">
        <v>0</v>
      </c>
      <c r="BA46" s="180">
        <v>0</v>
      </c>
      <c r="BB46" s="180">
        <v>0</v>
      </c>
      <c r="BC46" s="180">
        <v>0</v>
      </c>
      <c r="BD46" s="180">
        <v>0</v>
      </c>
      <c r="BE46" s="180">
        <v>0</v>
      </c>
      <c r="BF46" s="180">
        <v>0</v>
      </c>
      <c r="BG46" s="180">
        <v>0</v>
      </c>
      <c r="BH46" s="180">
        <v>0</v>
      </c>
      <c r="BI46" s="180">
        <v>0</v>
      </c>
      <c r="BJ46" s="180">
        <v>0</v>
      </c>
      <c r="BK46" s="180"/>
      <c r="BL46" s="180">
        <v>0</v>
      </c>
      <c r="BM46" s="180">
        <v>0</v>
      </c>
      <c r="BN46" s="180">
        <v>0</v>
      </c>
      <c r="BO46" s="180">
        <v>0</v>
      </c>
      <c r="BP46" s="180">
        <v>0</v>
      </c>
      <c r="BQ46" s="180">
        <v>0</v>
      </c>
      <c r="BR46" s="180"/>
      <c r="BS46" s="180">
        <v>0</v>
      </c>
      <c r="BT46" s="180"/>
      <c r="BU46" s="180">
        <v>0</v>
      </c>
      <c r="BV46" s="180">
        <v>0</v>
      </c>
      <c r="BW46" s="180">
        <v>0</v>
      </c>
      <c r="BX46" s="180">
        <v>0</v>
      </c>
      <c r="BY46" s="180">
        <v>0</v>
      </c>
      <c r="BZ46" s="180">
        <v>0</v>
      </c>
      <c r="CA46" s="180">
        <v>0</v>
      </c>
      <c r="CB46" s="180">
        <v>0</v>
      </c>
      <c r="CC46" s="180">
        <v>0</v>
      </c>
      <c r="CD46" s="180"/>
      <c r="CE46" s="180">
        <v>0</v>
      </c>
      <c r="CF46" s="180">
        <v>0</v>
      </c>
      <c r="CG46" s="180">
        <v>0</v>
      </c>
      <c r="CH46" s="180">
        <v>0</v>
      </c>
      <c r="CI46" s="180"/>
      <c r="CJ46" s="180"/>
      <c r="CK46" s="180"/>
      <c r="CL46" s="180"/>
      <c r="CM46" s="180"/>
      <c r="CN46" s="180"/>
      <c r="CO46" s="180"/>
      <c r="CP46" s="180"/>
      <c r="CQ46" s="180"/>
      <c r="CR46" s="180"/>
      <c r="CS46" s="180"/>
      <c r="CT46" s="180"/>
      <c r="CU46" s="180"/>
    </row>
    <row r="47" spans="1:99" x14ac:dyDescent="0.3">
      <c r="A47" s="155">
        <v>252</v>
      </c>
      <c r="B47" s="180" t="s">
        <v>95</v>
      </c>
      <c r="C47" s="180"/>
      <c r="D47" s="180">
        <v>422853</v>
      </c>
      <c r="E47" s="180">
        <v>1316102</v>
      </c>
      <c r="F47" s="180">
        <v>131480</v>
      </c>
      <c r="G47" s="180">
        <v>301431</v>
      </c>
      <c r="H47" s="180"/>
      <c r="I47" s="180">
        <v>13720870</v>
      </c>
      <c r="J47" s="180">
        <v>2106502</v>
      </c>
      <c r="K47" s="180">
        <v>30439340</v>
      </c>
      <c r="L47" s="180">
        <v>3426242</v>
      </c>
      <c r="M47" s="180">
        <v>44431872</v>
      </c>
      <c r="N47" s="180">
        <v>1114423</v>
      </c>
      <c r="O47" s="180">
        <v>965083427</v>
      </c>
      <c r="P47" s="180">
        <v>56312</v>
      </c>
      <c r="Q47" s="180">
        <v>625059</v>
      </c>
      <c r="R47" s="180">
        <v>6287532</v>
      </c>
      <c r="S47" s="180">
        <v>1105424</v>
      </c>
      <c r="T47" s="180">
        <v>3452676</v>
      </c>
      <c r="U47" s="180">
        <v>249125</v>
      </c>
      <c r="V47" s="180">
        <v>768139</v>
      </c>
      <c r="W47" s="180">
        <v>2323634</v>
      </c>
      <c r="X47" s="180">
        <v>81211942</v>
      </c>
      <c r="Y47" s="180">
        <v>5145375000</v>
      </c>
      <c r="Z47" s="180">
        <v>5826350</v>
      </c>
      <c r="AA47" s="180">
        <v>1586277</v>
      </c>
      <c r="AB47" s="180">
        <v>1901070</v>
      </c>
      <c r="AC47" s="180"/>
      <c r="AD47" s="180">
        <v>8638122</v>
      </c>
      <c r="AE47" s="180">
        <v>685361</v>
      </c>
      <c r="AF47" s="180">
        <v>63002263</v>
      </c>
      <c r="AG47" s="180">
        <v>46888936</v>
      </c>
      <c r="AH47" s="180">
        <v>2295114</v>
      </c>
      <c r="AI47" s="180">
        <v>10093013</v>
      </c>
      <c r="AJ47" s="180">
        <v>1214149</v>
      </c>
      <c r="AK47" s="180">
        <v>1143714</v>
      </c>
      <c r="AL47" s="180">
        <v>908597</v>
      </c>
      <c r="AM47" s="180"/>
      <c r="AN47" s="180">
        <v>420789</v>
      </c>
      <c r="AO47" s="180"/>
      <c r="AP47" s="180">
        <v>33353</v>
      </c>
      <c r="AQ47" s="180">
        <v>497858819</v>
      </c>
      <c r="AR47" s="180">
        <v>52890</v>
      </c>
      <c r="AS47" s="180">
        <v>1409541</v>
      </c>
      <c r="AT47" s="180">
        <v>44554714</v>
      </c>
      <c r="AU47" s="180">
        <v>474448</v>
      </c>
      <c r="AV47" s="570">
        <v>773786</v>
      </c>
      <c r="AW47" s="180">
        <v>61305715</v>
      </c>
      <c r="AX47" s="180">
        <v>479795</v>
      </c>
      <c r="AY47" s="180">
        <v>8354348</v>
      </c>
      <c r="AZ47" s="180">
        <v>22084959</v>
      </c>
      <c r="BA47" s="180">
        <v>53175</v>
      </c>
      <c r="BB47" s="180">
        <v>132628</v>
      </c>
      <c r="BC47" s="180">
        <v>4708441</v>
      </c>
      <c r="BD47" s="180">
        <v>134569</v>
      </c>
      <c r="BE47" s="180">
        <v>37471366</v>
      </c>
      <c r="BF47" s="180">
        <v>1037842</v>
      </c>
      <c r="BG47" s="180">
        <v>950512</v>
      </c>
      <c r="BH47" s="180">
        <v>395576</v>
      </c>
      <c r="BI47" s="180">
        <v>1893862</v>
      </c>
      <c r="BJ47" s="180">
        <v>348166</v>
      </c>
      <c r="BK47" s="180"/>
      <c r="BL47" s="180">
        <v>2435553</v>
      </c>
      <c r="BM47" s="180">
        <v>377450</v>
      </c>
      <c r="BN47" s="180">
        <v>20147106</v>
      </c>
      <c r="BO47" s="180">
        <v>9167285</v>
      </c>
      <c r="BP47" s="180">
        <v>671235528</v>
      </c>
      <c r="BQ47" s="180">
        <v>49983</v>
      </c>
      <c r="BR47" s="180"/>
      <c r="BS47" s="180">
        <v>869517</v>
      </c>
      <c r="BT47" s="180"/>
      <c r="BU47" s="180">
        <v>3354258</v>
      </c>
      <c r="BV47" s="180">
        <v>22775157</v>
      </c>
      <c r="BW47" s="180">
        <v>5552986</v>
      </c>
      <c r="BX47" s="180">
        <v>28398853</v>
      </c>
      <c r="BY47" s="180">
        <v>17351658</v>
      </c>
      <c r="BZ47" s="180">
        <v>325242</v>
      </c>
      <c r="CA47" s="180">
        <v>8049637</v>
      </c>
      <c r="CB47" s="180">
        <v>204431</v>
      </c>
      <c r="CC47" s="180">
        <v>691950</v>
      </c>
      <c r="CD47" s="180"/>
      <c r="CE47" s="180">
        <v>8506709</v>
      </c>
      <c r="CF47" s="180">
        <v>23153626</v>
      </c>
      <c r="CG47" s="180">
        <v>8945526</v>
      </c>
      <c r="CH47" s="180">
        <v>4284252</v>
      </c>
      <c r="CI47" s="180"/>
      <c r="CJ47" s="180"/>
      <c r="CK47" s="180"/>
      <c r="CL47" s="180"/>
      <c r="CM47" s="180"/>
      <c r="CN47" s="180"/>
      <c r="CO47" s="180"/>
      <c r="CP47" s="180"/>
      <c r="CQ47" s="180"/>
      <c r="CR47" s="180"/>
      <c r="CS47" s="180"/>
      <c r="CT47" s="180"/>
      <c r="CU47" s="180"/>
    </row>
    <row r="48" spans="1:99" x14ac:dyDescent="0.3">
      <c r="A48" s="155">
        <v>253</v>
      </c>
      <c r="B48" s="180" t="s">
        <v>96</v>
      </c>
      <c r="C48" s="180"/>
      <c r="D48" s="180">
        <v>223056</v>
      </c>
      <c r="E48" s="180">
        <v>227633</v>
      </c>
      <c r="F48" s="180">
        <v>89596</v>
      </c>
      <c r="G48" s="180">
        <v>78226</v>
      </c>
      <c r="H48" s="180"/>
      <c r="I48" s="180">
        <v>2261565</v>
      </c>
      <c r="J48" s="180">
        <v>257873</v>
      </c>
      <c r="K48" s="180">
        <v>2266974</v>
      </c>
      <c r="L48" s="180">
        <v>511807</v>
      </c>
      <c r="M48" s="180">
        <v>3914681</v>
      </c>
      <c r="N48" s="180">
        <v>601410</v>
      </c>
      <c r="O48" s="180">
        <v>90496362</v>
      </c>
      <c r="P48" s="180">
        <v>4754</v>
      </c>
      <c r="Q48" s="180">
        <v>55045</v>
      </c>
      <c r="R48" s="180">
        <v>88140</v>
      </c>
      <c r="S48" s="180">
        <v>136625</v>
      </c>
      <c r="T48" s="180">
        <v>344797</v>
      </c>
      <c r="U48" s="180">
        <v>174685</v>
      </c>
      <c r="V48" s="180">
        <v>70601</v>
      </c>
      <c r="W48" s="180">
        <v>301197</v>
      </c>
      <c r="X48" s="180">
        <v>21940955</v>
      </c>
      <c r="Y48" s="180">
        <v>384832000</v>
      </c>
      <c r="Z48" s="180">
        <v>329401</v>
      </c>
      <c r="AA48" s="180">
        <v>22701</v>
      </c>
      <c r="AB48" s="180">
        <v>1029893</v>
      </c>
      <c r="AC48" s="180"/>
      <c r="AD48" s="180">
        <v>732290</v>
      </c>
      <c r="AE48" s="180">
        <v>158433</v>
      </c>
      <c r="AF48" s="180">
        <v>7965569</v>
      </c>
      <c r="AG48" s="180">
        <v>1431315</v>
      </c>
      <c r="AH48" s="180">
        <v>132655</v>
      </c>
      <c r="AI48" s="180">
        <v>1979396</v>
      </c>
      <c r="AJ48" s="180">
        <v>189022</v>
      </c>
      <c r="AK48" s="180">
        <v>250621</v>
      </c>
      <c r="AL48" s="180">
        <v>180970</v>
      </c>
      <c r="AM48" s="180"/>
      <c r="AN48" s="180">
        <v>61610</v>
      </c>
      <c r="AO48" s="180"/>
      <c r="AP48" s="180">
        <v>5689</v>
      </c>
      <c r="AQ48" s="180">
        <v>55140075</v>
      </c>
      <c r="AR48" s="180">
        <v>100092</v>
      </c>
      <c r="AS48" s="180">
        <v>390092</v>
      </c>
      <c r="AT48" s="180">
        <v>6134116</v>
      </c>
      <c r="AU48" s="180">
        <v>288077</v>
      </c>
      <c r="AV48" s="570">
        <v>124117</v>
      </c>
      <c r="AW48" s="180">
        <v>7708234</v>
      </c>
      <c r="AX48" s="180">
        <v>107384</v>
      </c>
      <c r="AY48" s="180">
        <v>836415</v>
      </c>
      <c r="AZ48" s="180">
        <v>958246</v>
      </c>
      <c r="BA48" s="180">
        <v>111288</v>
      </c>
      <c r="BB48" s="180">
        <v>56965</v>
      </c>
      <c r="BC48" s="180">
        <v>889800</v>
      </c>
      <c r="BD48" s="180">
        <v>24543</v>
      </c>
      <c r="BE48" s="180">
        <v>2173968</v>
      </c>
      <c r="BF48" s="180">
        <v>382587</v>
      </c>
      <c r="BG48" s="180">
        <v>25120</v>
      </c>
      <c r="BH48" s="180">
        <v>23082</v>
      </c>
      <c r="BI48" s="180">
        <v>442393</v>
      </c>
      <c r="BJ48" s="180">
        <v>65305</v>
      </c>
      <c r="BK48" s="180"/>
      <c r="BL48" s="180">
        <v>173122</v>
      </c>
      <c r="BM48" s="180">
        <v>167249</v>
      </c>
      <c r="BN48" s="180">
        <v>2706888</v>
      </c>
      <c r="BO48" s="180">
        <v>5996612</v>
      </c>
      <c r="BP48" s="180">
        <v>185338937</v>
      </c>
      <c r="BQ48" s="180">
        <v>54070</v>
      </c>
      <c r="BR48" s="180"/>
      <c r="BS48" s="180">
        <v>61303</v>
      </c>
      <c r="BT48" s="180"/>
      <c r="BU48" s="180">
        <v>440405</v>
      </c>
      <c r="BV48" s="180">
        <v>2838318</v>
      </c>
      <c r="BW48" s="180">
        <v>976977</v>
      </c>
      <c r="BX48" s="180">
        <v>3519744</v>
      </c>
      <c r="BY48" s="180">
        <v>3396637</v>
      </c>
      <c r="BZ48" s="180">
        <v>111562</v>
      </c>
      <c r="CA48" s="180">
        <v>1159445</v>
      </c>
      <c r="CB48" s="180">
        <v>100088</v>
      </c>
      <c r="CC48" s="180">
        <v>771955</v>
      </c>
      <c r="CD48" s="180"/>
      <c r="CE48" s="180">
        <v>1519349</v>
      </c>
      <c r="CF48" s="180">
        <v>9080680</v>
      </c>
      <c r="CG48" s="180">
        <v>497581</v>
      </c>
      <c r="CH48" s="180">
        <v>859686</v>
      </c>
      <c r="CI48" s="180"/>
      <c r="CJ48" s="180"/>
      <c r="CK48" s="180"/>
      <c r="CL48" s="180"/>
      <c r="CM48" s="180"/>
      <c r="CN48" s="180"/>
      <c r="CO48" s="180"/>
      <c r="CP48" s="180"/>
      <c r="CQ48" s="180"/>
      <c r="CR48" s="180"/>
      <c r="CS48" s="180"/>
      <c r="CT48" s="180"/>
      <c r="CU48" s="180"/>
    </row>
    <row r="49" spans="1:99" x14ac:dyDescent="0.3">
      <c r="A49" s="155">
        <v>254</v>
      </c>
      <c r="B49" s="180" t="s">
        <v>97</v>
      </c>
      <c r="C49" s="180"/>
      <c r="D49" s="180">
        <v>3603968</v>
      </c>
      <c r="E49" s="180">
        <v>3801069</v>
      </c>
      <c r="F49" s="180">
        <v>1002112</v>
      </c>
      <c r="G49" s="180">
        <v>566556</v>
      </c>
      <c r="H49" s="180"/>
      <c r="I49" s="180">
        <v>-7104381</v>
      </c>
      <c r="J49" s="180">
        <v>2641495</v>
      </c>
      <c r="K49" s="180">
        <v>-750782</v>
      </c>
      <c r="L49" s="180">
        <v>5986223</v>
      </c>
      <c r="M49" s="180">
        <v>-11281956</v>
      </c>
      <c r="N49" s="180">
        <v>1273214</v>
      </c>
      <c r="O49" s="180">
        <v>-90058460</v>
      </c>
      <c r="P49" s="180">
        <v>81599</v>
      </c>
      <c r="Q49" s="180">
        <v>343691</v>
      </c>
      <c r="R49" s="180">
        <v>4022791</v>
      </c>
      <c r="S49" s="180">
        <v>1017407</v>
      </c>
      <c r="T49" s="180">
        <v>1108926</v>
      </c>
      <c r="U49" s="180">
        <v>380133</v>
      </c>
      <c r="V49" s="180">
        <v>343828</v>
      </c>
      <c r="W49" s="180">
        <v>2265835</v>
      </c>
      <c r="X49" s="180">
        <v>-11464585</v>
      </c>
      <c r="Y49" s="180">
        <v>-194820000</v>
      </c>
      <c r="Z49" s="180">
        <v>-71469</v>
      </c>
      <c r="AA49" s="180">
        <v>619039</v>
      </c>
      <c r="AB49" s="180">
        <v>3463452</v>
      </c>
      <c r="AC49" s="180"/>
      <c r="AD49" s="180">
        <v>4943696</v>
      </c>
      <c r="AE49" s="180">
        <v>2731897</v>
      </c>
      <c r="AF49" s="180">
        <v>21612909</v>
      </c>
      <c r="AG49" s="180">
        <v>10839013</v>
      </c>
      <c r="AH49" s="180">
        <v>3129979</v>
      </c>
      <c r="AI49" s="180">
        <v>3739208</v>
      </c>
      <c r="AJ49" s="180">
        <v>1347378</v>
      </c>
      <c r="AK49" s="180">
        <v>1497431</v>
      </c>
      <c r="AL49" s="180">
        <v>738532</v>
      </c>
      <c r="AM49" s="180"/>
      <c r="AN49" s="180">
        <v>593174</v>
      </c>
      <c r="AO49" s="180"/>
      <c r="AP49" s="180">
        <v>86038</v>
      </c>
      <c r="AQ49" s="180">
        <v>59871225</v>
      </c>
      <c r="AR49" s="180">
        <v>332831</v>
      </c>
      <c r="AS49" s="180">
        <v>1889159</v>
      </c>
      <c r="AT49" s="180">
        <v>10259406</v>
      </c>
      <c r="AU49" s="180">
        <v>187495</v>
      </c>
      <c r="AV49" s="570">
        <v>1147751</v>
      </c>
      <c r="AW49" s="180">
        <v>38509853</v>
      </c>
      <c r="AX49" s="180">
        <v>178506</v>
      </c>
      <c r="AY49" s="180">
        <v>2447236</v>
      </c>
      <c r="AZ49" s="180">
        <v>7336894</v>
      </c>
      <c r="BA49" s="180">
        <v>528994</v>
      </c>
      <c r="BB49" s="180">
        <v>394478</v>
      </c>
      <c r="BC49" s="180">
        <v>5095435</v>
      </c>
      <c r="BD49" s="180">
        <v>216828</v>
      </c>
      <c r="BE49" s="180">
        <v>3629325</v>
      </c>
      <c r="BF49" s="180">
        <v>2741406</v>
      </c>
      <c r="BG49" s="180">
        <v>903997</v>
      </c>
      <c r="BH49" s="180">
        <v>551169</v>
      </c>
      <c r="BI49" s="180">
        <v>1048368</v>
      </c>
      <c r="BJ49" s="180">
        <v>3578630</v>
      </c>
      <c r="BK49" s="180"/>
      <c r="BL49" s="180">
        <v>1735198</v>
      </c>
      <c r="BM49" s="180">
        <v>868699</v>
      </c>
      <c r="BN49" s="180">
        <v>7333663</v>
      </c>
      <c r="BO49" s="180">
        <v>-2906114</v>
      </c>
      <c r="BP49" s="180">
        <v>-91107829</v>
      </c>
      <c r="BQ49" s="180">
        <v>55189</v>
      </c>
      <c r="BR49" s="180"/>
      <c r="BS49" s="180">
        <v>982695</v>
      </c>
      <c r="BT49" s="180"/>
      <c r="BU49" s="180">
        <v>8063272</v>
      </c>
      <c r="BV49" s="180">
        <v>1513349</v>
      </c>
      <c r="BW49" s="180">
        <v>790093</v>
      </c>
      <c r="BX49" s="180">
        <v>-6715435</v>
      </c>
      <c r="BY49" s="180">
        <v>-705256</v>
      </c>
      <c r="BZ49" s="180">
        <v>716488</v>
      </c>
      <c r="CA49" s="180">
        <v>5313516</v>
      </c>
      <c r="CB49" s="180">
        <v>758139</v>
      </c>
      <c r="CC49" s="180">
        <v>239971</v>
      </c>
      <c r="CD49" s="180"/>
      <c r="CE49" s="180">
        <v>7235546</v>
      </c>
      <c r="CF49" s="180">
        <v>244675</v>
      </c>
      <c r="CG49" s="180">
        <v>190292</v>
      </c>
      <c r="CH49" s="180">
        <v>5690690</v>
      </c>
      <c r="CI49" s="180"/>
      <c r="CJ49" s="180"/>
      <c r="CK49" s="180"/>
      <c r="CL49" s="180"/>
      <c r="CM49" s="180"/>
      <c r="CN49" s="180"/>
      <c r="CO49" s="180"/>
      <c r="CP49" s="180"/>
      <c r="CQ49" s="180"/>
      <c r="CR49" s="180"/>
      <c r="CS49" s="180"/>
      <c r="CT49" s="180"/>
      <c r="CU49" s="180"/>
    </row>
    <row r="50" spans="1:99" x14ac:dyDescent="0.3">
      <c r="A50" s="155">
        <v>255</v>
      </c>
      <c r="B50" s="180" t="s">
        <v>188</v>
      </c>
      <c r="C50" s="180"/>
      <c r="D50" s="180">
        <v>454291</v>
      </c>
      <c r="E50" s="180">
        <v>1198549</v>
      </c>
      <c r="F50" s="180">
        <v>103146</v>
      </c>
      <c r="G50" s="180">
        <v>-5696</v>
      </c>
      <c r="H50" s="180"/>
      <c r="I50" s="180">
        <v>5508208</v>
      </c>
      <c r="J50" s="180">
        <v>760387</v>
      </c>
      <c r="K50" s="180">
        <v>6353266</v>
      </c>
      <c r="L50" s="180">
        <v>1761666</v>
      </c>
      <c r="M50" s="180">
        <v>3221975</v>
      </c>
      <c r="N50" s="180">
        <v>239259</v>
      </c>
      <c r="O50" s="180">
        <v>13011534</v>
      </c>
      <c r="P50" s="180">
        <v>-4456</v>
      </c>
      <c r="Q50" s="180">
        <v>79629</v>
      </c>
      <c r="R50" s="180">
        <v>1104586</v>
      </c>
      <c r="S50" s="180">
        <v>283282</v>
      </c>
      <c r="T50" s="180">
        <v>551863</v>
      </c>
      <c r="U50" s="180">
        <v>113153</v>
      </c>
      <c r="V50" s="180">
        <v>33221</v>
      </c>
      <c r="W50" s="180">
        <v>365910</v>
      </c>
      <c r="X50" s="180">
        <v>9651939</v>
      </c>
      <c r="Y50" s="180">
        <v>137421000</v>
      </c>
      <c r="Z50" s="180">
        <v>214765</v>
      </c>
      <c r="AA50" s="180">
        <v>152523</v>
      </c>
      <c r="AB50" s="180">
        <v>1503815</v>
      </c>
      <c r="AC50" s="180"/>
      <c r="AD50" s="180">
        <v>1381086</v>
      </c>
      <c r="AE50" s="180">
        <v>175668</v>
      </c>
      <c r="AF50" s="180">
        <v>13414033</v>
      </c>
      <c r="AG50" s="180">
        <v>3091713</v>
      </c>
      <c r="AH50" s="180">
        <v>112238</v>
      </c>
      <c r="AI50" s="180">
        <v>-606</v>
      </c>
      <c r="AJ50" s="180">
        <v>157946</v>
      </c>
      <c r="AK50" s="180">
        <v>159187</v>
      </c>
      <c r="AL50" s="180">
        <v>-61267</v>
      </c>
      <c r="AM50" s="180"/>
      <c r="AN50" s="180">
        <v>-103646</v>
      </c>
      <c r="AO50" s="180"/>
      <c r="AP50" s="180">
        <v>5881</v>
      </c>
      <c r="AQ50" s="180">
        <v>61825776</v>
      </c>
      <c r="AR50" s="180">
        <v>18119</v>
      </c>
      <c r="AS50" s="180">
        <v>175335</v>
      </c>
      <c r="AT50" s="180">
        <v>4141662</v>
      </c>
      <c r="AU50" s="180">
        <v>-42435</v>
      </c>
      <c r="AV50" s="570">
        <v>84051</v>
      </c>
      <c r="AW50" s="180">
        <v>12858274</v>
      </c>
      <c r="AX50" s="180">
        <v>114126</v>
      </c>
      <c r="AY50" s="180">
        <v>717744</v>
      </c>
      <c r="AZ50" s="180">
        <v>-99941</v>
      </c>
      <c r="BA50" s="180">
        <v>34277</v>
      </c>
      <c r="BB50" s="180">
        <v>120303</v>
      </c>
      <c r="BC50" s="180">
        <v>301525</v>
      </c>
      <c r="BD50" s="180">
        <v>51887</v>
      </c>
      <c r="BE50" s="180">
        <v>7285939</v>
      </c>
      <c r="BF50" s="180">
        <v>544796</v>
      </c>
      <c r="BG50" s="180">
        <v>75355</v>
      </c>
      <c r="BH50" s="180">
        <v>122122</v>
      </c>
      <c r="BI50" s="180">
        <v>159432</v>
      </c>
      <c r="BJ50" s="180">
        <v>283920</v>
      </c>
      <c r="BK50" s="180"/>
      <c r="BL50" s="180">
        <v>997483</v>
      </c>
      <c r="BM50" s="180">
        <v>-122516</v>
      </c>
      <c r="BN50" s="180">
        <v>3241327</v>
      </c>
      <c r="BO50" s="180">
        <v>2385279</v>
      </c>
      <c r="BP50" s="180">
        <v>39713423</v>
      </c>
      <c r="BQ50" s="180">
        <v>29137</v>
      </c>
      <c r="BR50" s="180"/>
      <c r="BS50" s="180">
        <v>125939</v>
      </c>
      <c r="BT50" s="180"/>
      <c r="BU50" s="180">
        <v>1992493</v>
      </c>
      <c r="BV50" s="180">
        <v>2918396</v>
      </c>
      <c r="BW50" s="180">
        <v>1789837</v>
      </c>
      <c r="BX50" s="180">
        <v>4629239</v>
      </c>
      <c r="BY50" s="180">
        <v>411765</v>
      </c>
      <c r="BZ50" s="180">
        <v>242680</v>
      </c>
      <c r="CA50" s="180">
        <v>1327243</v>
      </c>
      <c r="CB50" s="180">
        <v>-42934</v>
      </c>
      <c r="CC50" s="180">
        <v>89756</v>
      </c>
      <c r="CD50" s="180"/>
      <c r="CE50" s="180">
        <v>698652</v>
      </c>
      <c r="CF50" s="180">
        <v>1544532</v>
      </c>
      <c r="CG50" s="180">
        <v>1075899</v>
      </c>
      <c r="CH50" s="180">
        <v>1311130</v>
      </c>
      <c r="CI50" s="180"/>
      <c r="CJ50" s="180"/>
      <c r="CK50" s="180"/>
      <c r="CL50" s="180"/>
      <c r="CM50" s="180"/>
      <c r="CN50" s="180"/>
      <c r="CO50" s="180"/>
      <c r="CP50" s="180"/>
      <c r="CQ50" s="180"/>
      <c r="CR50" s="180"/>
      <c r="CS50" s="180"/>
      <c r="CT50" s="180"/>
      <c r="CU50" s="180"/>
    </row>
    <row r="51" spans="1:99" x14ac:dyDescent="0.3">
      <c r="A51" s="155">
        <v>327</v>
      </c>
      <c r="B51" s="180" t="s">
        <v>881</v>
      </c>
      <c r="C51" s="180"/>
      <c r="D51" s="180">
        <v>0</v>
      </c>
      <c r="E51" s="180">
        <v>0</v>
      </c>
      <c r="F51" s="180">
        <v>6500</v>
      </c>
      <c r="G51" s="180">
        <v>43279</v>
      </c>
      <c r="H51" s="180"/>
      <c r="I51" s="180">
        <v>284666</v>
      </c>
      <c r="J51" s="180">
        <v>0</v>
      </c>
      <c r="K51" s="180">
        <v>475957</v>
      </c>
      <c r="L51" s="180">
        <v>0</v>
      </c>
      <c r="M51" s="180">
        <v>0</v>
      </c>
      <c r="N51" s="180">
        <v>1094247</v>
      </c>
      <c r="O51" s="180">
        <v>28019697</v>
      </c>
      <c r="P51" s="180">
        <v>0</v>
      </c>
      <c r="Q51" s="180">
        <v>0</v>
      </c>
      <c r="R51" s="180">
        <v>0</v>
      </c>
      <c r="S51" s="180">
        <v>0</v>
      </c>
      <c r="T51" s="180">
        <v>0</v>
      </c>
      <c r="U51" s="180">
        <v>0</v>
      </c>
      <c r="V51" s="180">
        <v>8650</v>
      </c>
      <c r="W51" s="180">
        <v>0</v>
      </c>
      <c r="X51" s="180">
        <v>0</v>
      </c>
      <c r="Y51" s="180">
        <v>66528000</v>
      </c>
      <c r="Z51" s="180">
        <v>102929</v>
      </c>
      <c r="AA51" s="180">
        <v>13364</v>
      </c>
      <c r="AB51" s="180">
        <v>0</v>
      </c>
      <c r="AC51" s="180"/>
      <c r="AD51" s="180">
        <v>83327</v>
      </c>
      <c r="AE51" s="180">
        <v>13628</v>
      </c>
      <c r="AF51" s="180">
        <v>17400838</v>
      </c>
      <c r="AG51" s="180">
        <v>0</v>
      </c>
      <c r="AH51" s="180">
        <v>66507</v>
      </c>
      <c r="AI51" s="180">
        <v>261439</v>
      </c>
      <c r="AJ51" s="180">
        <v>0</v>
      </c>
      <c r="AK51" s="180">
        <v>18344</v>
      </c>
      <c r="AL51" s="180">
        <v>8050</v>
      </c>
      <c r="AM51" s="180"/>
      <c r="AN51" s="180">
        <v>62652</v>
      </c>
      <c r="AO51" s="180"/>
      <c r="AP51" s="180">
        <v>0</v>
      </c>
      <c r="AQ51" s="180">
        <v>2403401</v>
      </c>
      <c r="AR51" s="180">
        <v>0</v>
      </c>
      <c r="AS51" s="180">
        <v>1500</v>
      </c>
      <c r="AT51" s="180">
        <v>305061</v>
      </c>
      <c r="AU51" s="180">
        <v>138202</v>
      </c>
      <c r="AV51" s="570">
        <v>0</v>
      </c>
      <c r="AW51" s="180">
        <v>0</v>
      </c>
      <c r="AX51" s="180">
        <v>145831</v>
      </c>
      <c r="AY51" s="180">
        <v>0</v>
      </c>
      <c r="AZ51" s="180">
        <v>0</v>
      </c>
      <c r="BA51" s="180">
        <v>0</v>
      </c>
      <c r="BB51" s="180">
        <v>81700</v>
      </c>
      <c r="BC51" s="180">
        <v>158909</v>
      </c>
      <c r="BD51" s="180">
        <v>0</v>
      </c>
      <c r="BE51" s="180">
        <v>0</v>
      </c>
      <c r="BF51" s="180">
        <v>174616</v>
      </c>
      <c r="BG51" s="180">
        <v>0</v>
      </c>
      <c r="BH51" s="180">
        <v>0</v>
      </c>
      <c r="BI51" s="180">
        <v>90466</v>
      </c>
      <c r="BJ51" s="180">
        <v>0</v>
      </c>
      <c r="BK51" s="180"/>
      <c r="BL51" s="180">
        <v>0</v>
      </c>
      <c r="BM51" s="180">
        <v>17441</v>
      </c>
      <c r="BN51" s="180">
        <v>0</v>
      </c>
      <c r="BO51" s="180">
        <v>286507</v>
      </c>
      <c r="BP51" s="180">
        <v>32839669</v>
      </c>
      <c r="BQ51" s="180">
        <v>0</v>
      </c>
      <c r="BR51" s="180"/>
      <c r="BS51" s="180">
        <v>3350</v>
      </c>
      <c r="BT51" s="180"/>
      <c r="BU51" s="180">
        <v>0</v>
      </c>
      <c r="BV51" s="180">
        <v>1826960</v>
      </c>
      <c r="BW51" s="180">
        <v>45216</v>
      </c>
      <c r="BX51" s="180">
        <v>172000</v>
      </c>
      <c r="BY51" s="180">
        <v>1250019</v>
      </c>
      <c r="BZ51" s="180">
        <v>18511</v>
      </c>
      <c r="CA51" s="180">
        <v>186269</v>
      </c>
      <c r="CB51" s="180">
        <v>0</v>
      </c>
      <c r="CC51" s="180">
        <v>1459727</v>
      </c>
      <c r="CD51" s="180"/>
      <c r="CE51" s="180">
        <v>0</v>
      </c>
      <c r="CF51" s="180">
        <v>0</v>
      </c>
      <c r="CG51" s="180">
        <v>21230</v>
      </c>
      <c r="CH51" s="180">
        <v>0</v>
      </c>
      <c r="CI51" s="180"/>
      <c r="CJ51" s="180"/>
      <c r="CK51" s="180"/>
      <c r="CL51" s="180"/>
      <c r="CM51" s="180"/>
      <c r="CN51" s="180"/>
      <c r="CO51" s="180"/>
      <c r="CP51" s="180"/>
      <c r="CQ51" s="180"/>
      <c r="CR51" s="180"/>
      <c r="CS51" s="180"/>
      <c r="CT51" s="180"/>
      <c r="CU51" s="180"/>
    </row>
    <row r="52" spans="1:99" x14ac:dyDescent="0.3">
      <c r="A52" s="155">
        <v>328</v>
      </c>
      <c r="B52" s="180" t="s">
        <v>304</v>
      </c>
      <c r="C52" s="180"/>
      <c r="D52" s="180">
        <v>0</v>
      </c>
      <c r="E52" s="180">
        <v>0</v>
      </c>
      <c r="F52" s="180">
        <v>0</v>
      </c>
      <c r="G52" s="180">
        <v>0</v>
      </c>
      <c r="H52" s="180"/>
      <c r="I52" s="180">
        <v>98533</v>
      </c>
      <c r="J52" s="180">
        <v>0</v>
      </c>
      <c r="K52" s="180">
        <v>3023722</v>
      </c>
      <c r="L52" s="180">
        <v>0</v>
      </c>
      <c r="M52" s="180">
        <v>0</v>
      </c>
      <c r="N52" s="180">
        <v>8909539</v>
      </c>
      <c r="O52" s="180">
        <v>219756771</v>
      </c>
      <c r="P52" s="180">
        <v>0</v>
      </c>
      <c r="Q52" s="180">
        <v>0</v>
      </c>
      <c r="R52" s="180">
        <v>0</v>
      </c>
      <c r="S52" s="180">
        <v>0</v>
      </c>
      <c r="T52" s="180">
        <v>0</v>
      </c>
      <c r="U52" s="180">
        <v>0</v>
      </c>
      <c r="V52" s="180">
        <v>0</v>
      </c>
      <c r="W52" s="180">
        <v>129900</v>
      </c>
      <c r="X52" s="180">
        <v>0</v>
      </c>
      <c r="Y52" s="180">
        <v>143767000</v>
      </c>
      <c r="Z52" s="180">
        <v>0</v>
      </c>
      <c r="AA52" s="180">
        <v>0</v>
      </c>
      <c r="AB52" s="180">
        <v>0</v>
      </c>
      <c r="AC52" s="180"/>
      <c r="AD52" s="180">
        <v>3207948</v>
      </c>
      <c r="AE52" s="180">
        <v>0</v>
      </c>
      <c r="AF52" s="180">
        <v>68752191</v>
      </c>
      <c r="AG52" s="180">
        <v>0</v>
      </c>
      <c r="AH52" s="180">
        <v>0</v>
      </c>
      <c r="AI52" s="180">
        <v>442618</v>
      </c>
      <c r="AJ52" s="180">
        <v>110500</v>
      </c>
      <c r="AK52" s="180">
        <v>0</v>
      </c>
      <c r="AL52" s="180">
        <v>0</v>
      </c>
      <c r="AM52" s="180"/>
      <c r="AN52" s="180">
        <v>0</v>
      </c>
      <c r="AO52" s="180"/>
      <c r="AP52" s="180">
        <v>0</v>
      </c>
      <c r="AQ52" s="180">
        <v>15258023</v>
      </c>
      <c r="AR52" s="180">
        <v>0</v>
      </c>
      <c r="AS52" s="180">
        <v>0</v>
      </c>
      <c r="AT52" s="180">
        <v>812542</v>
      </c>
      <c r="AU52" s="180">
        <v>0</v>
      </c>
      <c r="AV52" s="570">
        <v>0</v>
      </c>
      <c r="AW52" s="180">
        <v>0</v>
      </c>
      <c r="AX52" s="180">
        <v>0</v>
      </c>
      <c r="AY52" s="180">
        <v>0</v>
      </c>
      <c r="AZ52" s="180">
        <v>0</v>
      </c>
      <c r="BA52" s="180">
        <v>0</v>
      </c>
      <c r="BB52" s="180">
        <v>43678</v>
      </c>
      <c r="BC52" s="180">
        <v>448999</v>
      </c>
      <c r="BD52" s="180">
        <v>0</v>
      </c>
      <c r="BE52" s="180">
        <v>0</v>
      </c>
      <c r="BF52" s="180">
        <v>0</v>
      </c>
      <c r="BG52" s="180">
        <v>0</v>
      </c>
      <c r="BH52" s="180">
        <v>0</v>
      </c>
      <c r="BI52" s="180">
        <v>0</v>
      </c>
      <c r="BJ52" s="180">
        <v>0</v>
      </c>
      <c r="BK52" s="180"/>
      <c r="BL52" s="180">
        <v>0</v>
      </c>
      <c r="BM52" s="180">
        <v>161392</v>
      </c>
      <c r="BN52" s="180">
        <v>0</v>
      </c>
      <c r="BO52" s="180">
        <v>7756492</v>
      </c>
      <c r="BP52" s="180">
        <v>484945799</v>
      </c>
      <c r="BQ52" s="180">
        <v>0</v>
      </c>
      <c r="BR52" s="180"/>
      <c r="BS52" s="180">
        <v>0</v>
      </c>
      <c r="BT52" s="180"/>
      <c r="BU52" s="180">
        <v>0</v>
      </c>
      <c r="BV52" s="180">
        <v>18820377</v>
      </c>
      <c r="BW52" s="180">
        <v>4722556</v>
      </c>
      <c r="BX52" s="180">
        <v>1161991</v>
      </c>
      <c r="BY52" s="180">
        <v>1629360</v>
      </c>
      <c r="BZ52" s="180">
        <v>35173</v>
      </c>
      <c r="CA52" s="180">
        <v>0</v>
      </c>
      <c r="CB52" s="180">
        <v>0</v>
      </c>
      <c r="CC52" s="180">
        <v>140900</v>
      </c>
      <c r="CD52" s="180"/>
      <c r="CE52" s="180">
        <v>156132</v>
      </c>
      <c r="CF52" s="180">
        <v>0</v>
      </c>
      <c r="CG52" s="180">
        <v>1671473</v>
      </c>
      <c r="CH52" s="180">
        <v>0</v>
      </c>
      <c r="CI52" s="180"/>
      <c r="CJ52" s="180"/>
      <c r="CK52" s="180"/>
      <c r="CL52" s="180"/>
      <c r="CM52" s="180"/>
      <c r="CN52" s="180"/>
      <c r="CO52" s="180"/>
      <c r="CP52" s="180"/>
      <c r="CQ52" s="180"/>
      <c r="CR52" s="180"/>
      <c r="CS52" s="180"/>
      <c r="CT52" s="180"/>
      <c r="CU52" s="180"/>
    </row>
    <row r="53" spans="1:99" x14ac:dyDescent="0.3">
      <c r="A53" s="155">
        <v>331</v>
      </c>
      <c r="B53" s="180" t="s">
        <v>238</v>
      </c>
      <c r="C53" s="180"/>
      <c r="D53" s="180">
        <v>0</v>
      </c>
      <c r="E53" s="180">
        <v>0</v>
      </c>
      <c r="F53" s="180">
        <v>0</v>
      </c>
      <c r="G53" s="180">
        <v>3445</v>
      </c>
      <c r="H53" s="180"/>
      <c r="I53" s="180">
        <v>321916</v>
      </c>
      <c r="J53" s="180">
        <v>0</v>
      </c>
      <c r="K53" s="180">
        <v>1578788</v>
      </c>
      <c r="L53" s="180">
        <v>0</v>
      </c>
      <c r="M53" s="180">
        <v>0</v>
      </c>
      <c r="N53" s="180">
        <v>175758</v>
      </c>
      <c r="O53" s="180">
        <v>10885569</v>
      </c>
      <c r="P53" s="180">
        <v>0</v>
      </c>
      <c r="Q53" s="180">
        <v>0</v>
      </c>
      <c r="R53" s="180">
        <v>0</v>
      </c>
      <c r="S53" s="180">
        <v>0</v>
      </c>
      <c r="T53" s="180">
        <v>0</v>
      </c>
      <c r="U53" s="180">
        <v>0</v>
      </c>
      <c r="V53" s="180">
        <v>0</v>
      </c>
      <c r="W53" s="180">
        <v>131000</v>
      </c>
      <c r="X53" s="180">
        <v>0</v>
      </c>
      <c r="Y53" s="180">
        <v>74491000</v>
      </c>
      <c r="Z53" s="180">
        <v>195000</v>
      </c>
      <c r="AA53" s="180">
        <v>0</v>
      </c>
      <c r="AB53" s="180">
        <v>0</v>
      </c>
      <c r="AC53" s="180"/>
      <c r="AD53" s="180">
        <v>0</v>
      </c>
      <c r="AE53" s="180">
        <v>39316</v>
      </c>
      <c r="AF53" s="180">
        <v>6958915</v>
      </c>
      <c r="AG53" s="180">
        <v>0</v>
      </c>
      <c r="AH53" s="180">
        <v>0</v>
      </c>
      <c r="AI53" s="180">
        <v>367300</v>
      </c>
      <c r="AJ53" s="180">
        <v>20821</v>
      </c>
      <c r="AK53" s="180">
        <v>0</v>
      </c>
      <c r="AL53" s="180">
        <v>18000</v>
      </c>
      <c r="AM53" s="180"/>
      <c r="AN53" s="180">
        <v>50199</v>
      </c>
      <c r="AO53" s="180"/>
      <c r="AP53" s="180">
        <v>0</v>
      </c>
      <c r="AQ53" s="180">
        <v>2947059</v>
      </c>
      <c r="AR53" s="180">
        <v>0</v>
      </c>
      <c r="AS53" s="180">
        <v>0</v>
      </c>
      <c r="AT53" s="180">
        <v>223564</v>
      </c>
      <c r="AU53" s="180">
        <v>0</v>
      </c>
      <c r="AV53" s="570">
        <v>0</v>
      </c>
      <c r="AW53" s="180">
        <v>0</v>
      </c>
      <c r="AX53" s="180">
        <v>11400</v>
      </c>
      <c r="AY53" s="180">
        <v>0</v>
      </c>
      <c r="AZ53" s="180">
        <v>0</v>
      </c>
      <c r="BA53" s="180">
        <v>9417</v>
      </c>
      <c r="BB53" s="180">
        <v>0</v>
      </c>
      <c r="BC53" s="180">
        <v>183691</v>
      </c>
      <c r="BD53" s="180">
        <v>0</v>
      </c>
      <c r="BE53" s="180">
        <v>0</v>
      </c>
      <c r="BF53" s="180">
        <v>150452</v>
      </c>
      <c r="BG53" s="180">
        <v>0</v>
      </c>
      <c r="BH53" s="180">
        <v>0</v>
      </c>
      <c r="BI53" s="180">
        <v>86713</v>
      </c>
      <c r="BJ53" s="180">
        <v>0</v>
      </c>
      <c r="BK53" s="180"/>
      <c r="BL53" s="180">
        <v>23555</v>
      </c>
      <c r="BM53" s="180">
        <v>11114</v>
      </c>
      <c r="BN53" s="180">
        <v>0</v>
      </c>
      <c r="BO53" s="180">
        <v>966864</v>
      </c>
      <c r="BP53" s="180">
        <v>10674807</v>
      </c>
      <c r="BQ53" s="180">
        <v>0</v>
      </c>
      <c r="BR53" s="180"/>
      <c r="BS53" s="180">
        <v>0</v>
      </c>
      <c r="BT53" s="180"/>
      <c r="BU53" s="180">
        <v>0</v>
      </c>
      <c r="BV53" s="180">
        <v>763778</v>
      </c>
      <c r="BW53" s="180">
        <v>242084</v>
      </c>
      <c r="BX53" s="180">
        <v>643231</v>
      </c>
      <c r="BY53" s="180">
        <v>75380</v>
      </c>
      <c r="BZ53" s="180">
        <v>9000</v>
      </c>
      <c r="CA53" s="180">
        <v>151345</v>
      </c>
      <c r="CB53" s="180">
        <v>0</v>
      </c>
      <c r="CC53" s="180">
        <v>1771000</v>
      </c>
      <c r="CD53" s="180"/>
      <c r="CE53" s="180">
        <v>125257</v>
      </c>
      <c r="CF53" s="180">
        <v>0</v>
      </c>
      <c r="CG53" s="180">
        <v>101588</v>
      </c>
      <c r="CH53" s="180">
        <v>0</v>
      </c>
      <c r="CI53" s="180"/>
      <c r="CJ53" s="180"/>
      <c r="CK53" s="180"/>
      <c r="CL53" s="180"/>
      <c r="CM53" s="180"/>
      <c r="CN53" s="180"/>
      <c r="CO53" s="180"/>
      <c r="CP53" s="180"/>
      <c r="CQ53" s="180"/>
      <c r="CR53" s="180"/>
      <c r="CS53" s="180"/>
      <c r="CT53" s="180"/>
      <c r="CU53" s="180"/>
    </row>
    <row r="54" spans="1:99" x14ac:dyDescent="0.3">
      <c r="A54" s="155">
        <v>332</v>
      </c>
      <c r="B54" s="180" t="s">
        <v>239</v>
      </c>
      <c r="C54" s="180"/>
      <c r="D54" s="180">
        <v>66930</v>
      </c>
      <c r="E54" s="180">
        <v>0</v>
      </c>
      <c r="F54" s="180">
        <v>13576</v>
      </c>
      <c r="G54" s="180">
        <v>7369</v>
      </c>
      <c r="H54" s="180"/>
      <c r="I54" s="180">
        <v>1131977</v>
      </c>
      <c r="J54" s="180">
        <v>0</v>
      </c>
      <c r="K54" s="180">
        <v>1237118</v>
      </c>
      <c r="L54" s="180">
        <v>0</v>
      </c>
      <c r="M54" s="180">
        <v>0</v>
      </c>
      <c r="N54" s="180">
        <v>2060947</v>
      </c>
      <c r="O54" s="180">
        <v>32791708</v>
      </c>
      <c r="P54" s="180">
        <v>0</v>
      </c>
      <c r="Q54" s="180">
        <v>0</v>
      </c>
      <c r="R54" s="180">
        <v>0</v>
      </c>
      <c r="S54" s="180">
        <v>0</v>
      </c>
      <c r="T54" s="180">
        <v>0</v>
      </c>
      <c r="U54" s="180">
        <v>0</v>
      </c>
      <c r="V54" s="180">
        <v>25184</v>
      </c>
      <c r="W54" s="180">
        <v>159172</v>
      </c>
      <c r="X54" s="180">
        <v>0</v>
      </c>
      <c r="Y54" s="180">
        <v>477840000</v>
      </c>
      <c r="Z54" s="180">
        <v>508301</v>
      </c>
      <c r="AA54" s="180">
        <v>0</v>
      </c>
      <c r="AB54" s="180">
        <v>0</v>
      </c>
      <c r="AC54" s="180"/>
      <c r="AD54" s="180">
        <v>3014986</v>
      </c>
      <c r="AE54" s="180">
        <v>68860</v>
      </c>
      <c r="AF54" s="180">
        <v>45087251</v>
      </c>
      <c r="AG54" s="180">
        <v>0</v>
      </c>
      <c r="AH54" s="180">
        <v>809977</v>
      </c>
      <c r="AI54" s="180">
        <v>272738</v>
      </c>
      <c r="AJ54" s="180">
        <v>65874</v>
      </c>
      <c r="AK54" s="180">
        <v>102275</v>
      </c>
      <c r="AL54" s="180">
        <v>264051</v>
      </c>
      <c r="AM54" s="180"/>
      <c r="AN54" s="180">
        <v>0</v>
      </c>
      <c r="AO54" s="180"/>
      <c r="AP54" s="180">
        <v>0</v>
      </c>
      <c r="AQ54" s="180">
        <v>5953319</v>
      </c>
      <c r="AR54" s="180">
        <v>0</v>
      </c>
      <c r="AS54" s="180">
        <v>0</v>
      </c>
      <c r="AT54" s="180">
        <v>1935828</v>
      </c>
      <c r="AU54" s="180">
        <v>0</v>
      </c>
      <c r="AV54" s="570">
        <v>0</v>
      </c>
      <c r="AW54" s="180">
        <v>0</v>
      </c>
      <c r="AX54" s="180">
        <v>0</v>
      </c>
      <c r="AY54" s="180">
        <v>0</v>
      </c>
      <c r="AZ54" s="180">
        <v>0</v>
      </c>
      <c r="BA54" s="180">
        <v>76190</v>
      </c>
      <c r="BB54" s="180">
        <v>86258</v>
      </c>
      <c r="BC54" s="180">
        <v>871630</v>
      </c>
      <c r="BD54" s="180">
        <v>0</v>
      </c>
      <c r="BE54" s="180">
        <v>0</v>
      </c>
      <c r="BF54" s="180">
        <v>81987</v>
      </c>
      <c r="BG54" s="180">
        <v>0</v>
      </c>
      <c r="BH54" s="180">
        <v>0</v>
      </c>
      <c r="BI54" s="180">
        <v>225738</v>
      </c>
      <c r="BJ54" s="180">
        <v>0</v>
      </c>
      <c r="BK54" s="180"/>
      <c r="BL54" s="180">
        <v>0</v>
      </c>
      <c r="BM54" s="180">
        <v>192292</v>
      </c>
      <c r="BN54" s="180">
        <v>0</v>
      </c>
      <c r="BO54" s="180">
        <v>7077422</v>
      </c>
      <c r="BP54" s="180">
        <v>96558610</v>
      </c>
      <c r="BQ54" s="180">
        <v>0</v>
      </c>
      <c r="BR54" s="180"/>
      <c r="BS54" s="180">
        <v>13179</v>
      </c>
      <c r="BT54" s="180"/>
      <c r="BU54" s="180">
        <v>0</v>
      </c>
      <c r="BV54" s="180">
        <v>7083434</v>
      </c>
      <c r="BW54" s="180">
        <v>1259680</v>
      </c>
      <c r="BX54" s="180">
        <v>1168113</v>
      </c>
      <c r="BY54" s="180">
        <v>1374620</v>
      </c>
      <c r="BZ54" s="180">
        <v>17721</v>
      </c>
      <c r="CA54" s="180">
        <v>148010</v>
      </c>
      <c r="CB54" s="180">
        <v>20278</v>
      </c>
      <c r="CC54" s="180">
        <v>140900</v>
      </c>
      <c r="CD54" s="180"/>
      <c r="CE54" s="180">
        <v>250410</v>
      </c>
      <c r="CF54" s="180">
        <v>0</v>
      </c>
      <c r="CG54" s="180">
        <v>1030914</v>
      </c>
      <c r="CH54" s="180">
        <v>0</v>
      </c>
      <c r="CI54" s="180"/>
      <c r="CJ54" s="180"/>
      <c r="CK54" s="180"/>
      <c r="CL54" s="180"/>
      <c r="CM54" s="180"/>
      <c r="CN54" s="180"/>
      <c r="CO54" s="180"/>
      <c r="CP54" s="180"/>
      <c r="CQ54" s="180"/>
      <c r="CR54" s="180"/>
      <c r="CS54" s="180"/>
      <c r="CT54" s="180"/>
      <c r="CU54" s="180"/>
    </row>
    <row r="55" spans="1:99" x14ac:dyDescent="0.3">
      <c r="A55" s="155">
        <v>333</v>
      </c>
      <c r="B55" s="180" t="s">
        <v>176</v>
      </c>
      <c r="C55" s="180"/>
      <c r="D55" s="180">
        <v>3621805</v>
      </c>
      <c r="E55" s="180">
        <v>4073295</v>
      </c>
      <c r="F55" s="180">
        <v>1014312</v>
      </c>
      <c r="G55" s="180">
        <v>641370</v>
      </c>
      <c r="H55" s="180"/>
      <c r="I55" s="180">
        <v>9406883</v>
      </c>
      <c r="J55" s="180">
        <v>2291456</v>
      </c>
      <c r="K55" s="180">
        <v>11515552</v>
      </c>
      <c r="L55" s="180">
        <v>6844056</v>
      </c>
      <c r="M55" s="180">
        <v>20626834</v>
      </c>
      <c r="N55" s="180">
        <v>2577462</v>
      </c>
      <c r="O55" s="180">
        <v>221606107</v>
      </c>
      <c r="P55" s="180">
        <v>83608</v>
      </c>
      <c r="Q55" s="180">
        <v>335254</v>
      </c>
      <c r="R55" s="180">
        <v>4231329</v>
      </c>
      <c r="S55" s="180">
        <v>1521380</v>
      </c>
      <c r="T55" s="180">
        <v>1295628</v>
      </c>
      <c r="U55" s="180">
        <v>392138</v>
      </c>
      <c r="V55" s="180">
        <v>342856</v>
      </c>
      <c r="W55" s="180">
        <v>2497826</v>
      </c>
      <c r="X55" s="180">
        <v>43609453</v>
      </c>
      <c r="Y55" s="180">
        <v>919150000</v>
      </c>
      <c r="Z55" s="180">
        <v>3142690</v>
      </c>
      <c r="AA55" s="180">
        <v>658154</v>
      </c>
      <c r="AB55" s="180">
        <v>4253577</v>
      </c>
      <c r="AC55" s="180"/>
      <c r="AD55" s="180">
        <v>6192328</v>
      </c>
      <c r="AE55" s="180">
        <v>2802174</v>
      </c>
      <c r="AF55" s="180">
        <v>34617407</v>
      </c>
      <c r="AG55" s="180">
        <v>11978074</v>
      </c>
      <c r="AH55" s="180">
        <v>3438875</v>
      </c>
      <c r="AI55" s="180">
        <v>9042516</v>
      </c>
      <c r="AJ55" s="180">
        <v>1520639</v>
      </c>
      <c r="AK55" s="180">
        <v>1928476</v>
      </c>
      <c r="AL55" s="180">
        <v>609265</v>
      </c>
      <c r="AM55" s="180"/>
      <c r="AN55" s="180">
        <v>1163635</v>
      </c>
      <c r="AO55" s="180"/>
      <c r="AP55" s="180">
        <v>86003</v>
      </c>
      <c r="AQ55" s="180">
        <v>136099238</v>
      </c>
      <c r="AR55" s="180">
        <v>326125</v>
      </c>
      <c r="AS55" s="180">
        <v>2322303</v>
      </c>
      <c r="AT55" s="180">
        <v>15899580</v>
      </c>
      <c r="AU55" s="180">
        <v>477793</v>
      </c>
      <c r="AV55" s="570">
        <v>1161744</v>
      </c>
      <c r="AW55" s="180">
        <v>52687913</v>
      </c>
      <c r="AX55" s="180">
        <v>190973</v>
      </c>
      <c r="AY55" s="180">
        <v>4136749</v>
      </c>
      <c r="AZ55" s="180">
        <v>11065633</v>
      </c>
      <c r="BA55" s="180">
        <v>531347</v>
      </c>
      <c r="BB55" s="180">
        <v>396902</v>
      </c>
      <c r="BC55" s="180">
        <v>6289947</v>
      </c>
      <c r="BD55" s="180">
        <v>216920</v>
      </c>
      <c r="BE55" s="180">
        <v>23824470</v>
      </c>
      <c r="BF55" s="180">
        <v>3032218</v>
      </c>
      <c r="BG55" s="180">
        <v>908765</v>
      </c>
      <c r="BH55" s="180">
        <v>522573</v>
      </c>
      <c r="BI55" s="180">
        <v>1647488</v>
      </c>
      <c r="BJ55" s="180">
        <v>3582872</v>
      </c>
      <c r="BK55" s="180"/>
      <c r="BL55" s="180">
        <v>4821985</v>
      </c>
      <c r="BM55" s="180">
        <v>865930</v>
      </c>
      <c r="BN55" s="180">
        <v>9605426</v>
      </c>
      <c r="BO55" s="180">
        <v>8320164</v>
      </c>
      <c r="BP55" s="180">
        <v>343045457</v>
      </c>
      <c r="BQ55" s="180">
        <v>54419</v>
      </c>
      <c r="BR55" s="180"/>
      <c r="BS55" s="180">
        <v>1042784</v>
      </c>
      <c r="BT55" s="180"/>
      <c r="BU55" s="180">
        <v>8142161</v>
      </c>
      <c r="BV55" s="180">
        <v>15393602</v>
      </c>
      <c r="BW55" s="180">
        <v>3708954</v>
      </c>
      <c r="BX55" s="180">
        <v>10755181</v>
      </c>
      <c r="BY55" s="180">
        <v>1999751</v>
      </c>
      <c r="BZ55" s="180">
        <v>0</v>
      </c>
      <c r="CA55" s="180">
        <v>6369730</v>
      </c>
      <c r="CB55" s="180">
        <v>755337</v>
      </c>
      <c r="CC55" s="180">
        <v>399608</v>
      </c>
      <c r="CD55" s="180"/>
      <c r="CE55" s="180">
        <v>9051194</v>
      </c>
      <c r="CF55" s="180">
        <v>9837639</v>
      </c>
      <c r="CG55" s="180">
        <v>479426</v>
      </c>
      <c r="CH55" s="180">
        <v>7589774</v>
      </c>
      <c r="CI55" s="180"/>
      <c r="CJ55" s="180"/>
      <c r="CK55" s="180"/>
      <c r="CL55" s="180"/>
      <c r="CM55" s="180"/>
      <c r="CN55" s="180"/>
      <c r="CO55" s="180"/>
      <c r="CP55" s="180"/>
      <c r="CQ55" s="180"/>
      <c r="CR55" s="180"/>
      <c r="CS55" s="180"/>
      <c r="CT55" s="180"/>
      <c r="CU55" s="180"/>
    </row>
    <row r="56" spans="1:99" x14ac:dyDescent="0.3">
      <c r="A56" s="155">
        <v>334</v>
      </c>
      <c r="B56" s="180" t="s">
        <v>261</v>
      </c>
      <c r="C56" s="180"/>
      <c r="D56" s="180">
        <v>769179</v>
      </c>
      <c r="E56" s="180">
        <v>1097938</v>
      </c>
      <c r="F56" s="180">
        <v>549873</v>
      </c>
      <c r="G56" s="180">
        <v>251764</v>
      </c>
      <c r="H56" s="180"/>
      <c r="I56" s="180">
        <v>14899766</v>
      </c>
      <c r="J56" s="180">
        <v>3018388</v>
      </c>
      <c r="K56" s="180">
        <v>32113917</v>
      </c>
      <c r="L56" s="180">
        <v>8424336</v>
      </c>
      <c r="M56" s="180">
        <v>48990313</v>
      </c>
      <c r="N56" s="180">
        <v>4883668</v>
      </c>
      <c r="O56" s="180">
        <v>1188567079</v>
      </c>
      <c r="P56" s="180">
        <v>215877</v>
      </c>
      <c r="Q56" s="180">
        <v>399244</v>
      </c>
      <c r="R56" s="180">
        <v>3771181</v>
      </c>
      <c r="S56" s="180">
        <v>1778117</v>
      </c>
      <c r="T56" s="180">
        <v>818242</v>
      </c>
      <c r="U56" s="180">
        <v>269416</v>
      </c>
      <c r="V56" s="180">
        <v>874798</v>
      </c>
      <c r="W56" s="180">
        <v>3549396</v>
      </c>
      <c r="X56" s="180">
        <v>196850820</v>
      </c>
      <c r="Y56" s="180">
        <v>5215613000</v>
      </c>
      <c r="Z56" s="180">
        <v>14893474</v>
      </c>
      <c r="AA56" s="180">
        <v>1098054</v>
      </c>
      <c r="AB56" s="180">
        <v>7980334</v>
      </c>
      <c r="AC56" s="180"/>
      <c r="AD56" s="180">
        <v>14495762</v>
      </c>
      <c r="AE56" s="180">
        <v>1155417</v>
      </c>
      <c r="AF56" s="180">
        <v>74714353</v>
      </c>
      <c r="AG56" s="180">
        <v>59504332</v>
      </c>
      <c r="AH56" s="180">
        <v>0</v>
      </c>
      <c r="AI56" s="180">
        <v>25819879</v>
      </c>
      <c r="AJ56" s="180">
        <v>2225113</v>
      </c>
      <c r="AK56" s="180">
        <v>3127416</v>
      </c>
      <c r="AL56" s="180">
        <v>1026049</v>
      </c>
      <c r="AM56" s="180"/>
      <c r="AN56" s="180">
        <v>899479</v>
      </c>
      <c r="AO56" s="180"/>
      <c r="AP56" s="180">
        <v>115719</v>
      </c>
      <c r="AQ56" s="180">
        <v>995928461</v>
      </c>
      <c r="AR56" s="180">
        <v>230061</v>
      </c>
      <c r="AS56" s="180">
        <v>2246841</v>
      </c>
      <c r="AT56" s="180">
        <v>63174171</v>
      </c>
      <c r="AU56" s="180">
        <v>1049403</v>
      </c>
      <c r="AV56" s="570">
        <v>798209</v>
      </c>
      <c r="AW56" s="180">
        <v>95111953</v>
      </c>
      <c r="AX56" s="180">
        <v>267530</v>
      </c>
      <c r="AY56" s="180">
        <v>19711174</v>
      </c>
      <c r="AZ56" s="180">
        <v>20593070</v>
      </c>
      <c r="BA56" s="180">
        <v>329730</v>
      </c>
      <c r="BB56" s="180">
        <v>466031</v>
      </c>
      <c r="BC56" s="180">
        <v>10481913</v>
      </c>
      <c r="BD56" s="180">
        <v>173058</v>
      </c>
      <c r="BE56" s="180">
        <v>29863242</v>
      </c>
      <c r="BF56" s="180">
        <v>6138616</v>
      </c>
      <c r="BG56" s="180">
        <v>1018441</v>
      </c>
      <c r="BH56" s="180">
        <v>993435</v>
      </c>
      <c r="BI56" s="180">
        <v>4074697</v>
      </c>
      <c r="BJ56" s="180">
        <v>500119</v>
      </c>
      <c r="BK56" s="180"/>
      <c r="BL56" s="180">
        <v>2860087</v>
      </c>
      <c r="BM56" s="180">
        <v>2465870</v>
      </c>
      <c r="BN56" s="180">
        <v>31280480</v>
      </c>
      <c r="BO56" s="180">
        <v>22821328</v>
      </c>
      <c r="BP56" s="180">
        <v>1171024980</v>
      </c>
      <c r="BQ56" s="180">
        <v>128066</v>
      </c>
      <c r="BR56" s="180"/>
      <c r="BS56" s="180">
        <v>1183745</v>
      </c>
      <c r="BT56" s="180"/>
      <c r="BU56" s="180">
        <v>1991715</v>
      </c>
      <c r="BV56" s="180">
        <v>0</v>
      </c>
      <c r="BW56" s="180">
        <v>11404905</v>
      </c>
      <c r="BX56" s="180">
        <v>44530653</v>
      </c>
      <c r="BY56" s="180">
        <v>31269003</v>
      </c>
      <c r="BZ56" s="180">
        <v>1213314</v>
      </c>
      <c r="CA56" s="180">
        <v>15469712</v>
      </c>
      <c r="CB56" s="180">
        <v>244525</v>
      </c>
      <c r="CC56" s="180">
        <v>2482757</v>
      </c>
      <c r="CD56" s="180"/>
      <c r="CE56" s="180">
        <v>15476728</v>
      </c>
      <c r="CF56" s="180">
        <v>20940399</v>
      </c>
      <c r="CG56" s="180">
        <v>8221032</v>
      </c>
      <c r="CH56" s="180">
        <v>7409108</v>
      </c>
      <c r="CI56" s="180"/>
      <c r="CJ56" s="180"/>
      <c r="CK56" s="180"/>
      <c r="CL56" s="180"/>
      <c r="CM56" s="180"/>
      <c r="CN56" s="180"/>
      <c r="CO56" s="180"/>
      <c r="CP56" s="180"/>
      <c r="CQ56" s="180"/>
      <c r="CR56" s="180"/>
      <c r="CS56" s="180"/>
      <c r="CT56" s="180"/>
      <c r="CU56" s="180"/>
    </row>
    <row r="57" spans="1:99" x14ac:dyDescent="0.3">
      <c r="A57" s="155">
        <v>335</v>
      </c>
      <c r="B57" s="180" t="s">
        <v>109</v>
      </c>
      <c r="C57" s="180"/>
      <c r="D57" s="180">
        <v>0</v>
      </c>
      <c r="E57" s="180">
        <v>0</v>
      </c>
      <c r="F57" s="180">
        <v>0</v>
      </c>
      <c r="G57" s="180">
        <v>0</v>
      </c>
      <c r="H57" s="180"/>
      <c r="I57" s="180">
        <v>3855214</v>
      </c>
      <c r="J57" s="180">
        <v>0</v>
      </c>
      <c r="K57" s="180">
        <v>0</v>
      </c>
      <c r="L57" s="180">
        <v>0</v>
      </c>
      <c r="M57" s="180">
        <v>12510771</v>
      </c>
      <c r="N57" s="180">
        <v>0</v>
      </c>
      <c r="O57" s="180">
        <v>17615536</v>
      </c>
      <c r="P57" s="180">
        <v>29166</v>
      </c>
      <c r="Q57" s="180">
        <v>0</v>
      </c>
      <c r="R57" s="180">
        <v>1196860</v>
      </c>
      <c r="S57" s="180">
        <v>300000</v>
      </c>
      <c r="T57" s="180">
        <v>125582</v>
      </c>
      <c r="U57" s="180">
        <v>0</v>
      </c>
      <c r="V57" s="180">
        <v>59756</v>
      </c>
      <c r="W57" s="180">
        <v>0</v>
      </c>
      <c r="X57" s="180">
        <v>0</v>
      </c>
      <c r="Y57" s="180">
        <v>91704000</v>
      </c>
      <c r="Z57" s="180">
        <v>0</v>
      </c>
      <c r="AA57" s="180">
        <v>0</v>
      </c>
      <c r="AB57" s="180">
        <v>10155</v>
      </c>
      <c r="AC57" s="180"/>
      <c r="AD57" s="180">
        <v>63785</v>
      </c>
      <c r="AE57" s="180">
        <v>0</v>
      </c>
      <c r="AF57" s="180">
        <v>0</v>
      </c>
      <c r="AG57" s="180">
        <v>0</v>
      </c>
      <c r="AH57" s="180">
        <v>0</v>
      </c>
      <c r="AI57" s="180">
        <v>0</v>
      </c>
      <c r="AJ57" s="180">
        <v>0</v>
      </c>
      <c r="AK57" s="180">
        <v>0</v>
      </c>
      <c r="AL57" s="180">
        <v>0</v>
      </c>
      <c r="AM57" s="180"/>
      <c r="AN57" s="180">
        <v>0</v>
      </c>
      <c r="AO57" s="180"/>
      <c r="AP57" s="180">
        <v>0</v>
      </c>
      <c r="AQ57" s="180">
        <v>1312986</v>
      </c>
      <c r="AR57" s="180">
        <v>0</v>
      </c>
      <c r="AS57" s="180">
        <v>0</v>
      </c>
      <c r="AT57" s="180">
        <v>0</v>
      </c>
      <c r="AU57" s="180">
        <v>200</v>
      </c>
      <c r="AV57" s="570">
        <v>0</v>
      </c>
      <c r="AW57" s="180">
        <v>5565114</v>
      </c>
      <c r="AX57" s="180">
        <v>0</v>
      </c>
      <c r="AY57" s="180">
        <v>0</v>
      </c>
      <c r="AZ57" s="180">
        <v>0</v>
      </c>
      <c r="BA57" s="180">
        <v>0</v>
      </c>
      <c r="BB57" s="180">
        <v>0</v>
      </c>
      <c r="BC57" s="180">
        <v>1122792</v>
      </c>
      <c r="BD57" s="180">
        <v>58322</v>
      </c>
      <c r="BE57" s="180">
        <v>465500</v>
      </c>
      <c r="BF57" s="180">
        <v>0</v>
      </c>
      <c r="BG57" s="180">
        <v>0</v>
      </c>
      <c r="BH57" s="180">
        <v>0</v>
      </c>
      <c r="BI57" s="180">
        <v>0</v>
      </c>
      <c r="BJ57" s="180">
        <v>0</v>
      </c>
      <c r="BK57" s="180"/>
      <c r="BL57" s="180">
        <v>0</v>
      </c>
      <c r="BM57" s="180">
        <v>0</v>
      </c>
      <c r="BN57" s="180">
        <v>0</v>
      </c>
      <c r="BO57" s="180">
        <v>650000</v>
      </c>
      <c r="BP57" s="180">
        <v>44783671</v>
      </c>
      <c r="BQ57" s="180">
        <v>34128</v>
      </c>
      <c r="BR57" s="180"/>
      <c r="BS57" s="180">
        <v>113918</v>
      </c>
      <c r="BT57" s="180"/>
      <c r="BU57" s="180">
        <v>0</v>
      </c>
      <c r="BV57" s="180">
        <v>3118277</v>
      </c>
      <c r="BW57" s="180">
        <v>0</v>
      </c>
      <c r="BX57" s="180">
        <v>5403101</v>
      </c>
      <c r="BY57" s="180">
        <v>0</v>
      </c>
      <c r="BZ57" s="180">
        <v>0</v>
      </c>
      <c r="CA57" s="180">
        <v>0</v>
      </c>
      <c r="CB57" s="180">
        <v>265156</v>
      </c>
      <c r="CC57" s="180">
        <v>166220</v>
      </c>
      <c r="CD57" s="180"/>
      <c r="CE57" s="180">
        <v>0</v>
      </c>
      <c r="CF57" s="180">
        <v>0</v>
      </c>
      <c r="CG57" s="180">
        <v>0</v>
      </c>
      <c r="CH57" s="180">
        <v>0</v>
      </c>
      <c r="CI57" s="180"/>
      <c r="CJ57" s="180"/>
      <c r="CK57" s="180"/>
      <c r="CL57" s="180"/>
      <c r="CM57" s="180"/>
      <c r="CN57" s="180"/>
      <c r="CO57" s="180"/>
      <c r="CP57" s="180"/>
      <c r="CQ57" s="180"/>
      <c r="CR57" s="180"/>
      <c r="CS57" s="180"/>
      <c r="CT57" s="180"/>
      <c r="CU57" s="180"/>
    </row>
    <row r="58" spans="1:99" x14ac:dyDescent="0.3">
      <c r="A58" s="556">
        <v>336</v>
      </c>
      <c r="B58" s="557" t="s">
        <v>882</v>
      </c>
      <c r="C58" s="557"/>
      <c r="D58" s="557">
        <v>15389</v>
      </c>
      <c r="E58" s="557">
        <v>176690</v>
      </c>
      <c r="F58" s="557">
        <v>10056</v>
      </c>
      <c r="G58" s="557">
        <v>51883</v>
      </c>
      <c r="H58" s="557"/>
      <c r="I58" s="557">
        <v>5364542</v>
      </c>
      <c r="J58" s="557">
        <v>117269</v>
      </c>
      <c r="K58" s="557">
        <v>2984569</v>
      </c>
      <c r="L58" s="557">
        <v>0</v>
      </c>
      <c r="M58" s="557">
        <v>17192155</v>
      </c>
      <c r="N58" s="557">
        <v>858721</v>
      </c>
      <c r="O58" s="557">
        <v>74765827</v>
      </c>
      <c r="P58" s="557">
        <v>31539</v>
      </c>
      <c r="Q58" s="557">
        <v>4658</v>
      </c>
      <c r="R58" s="557">
        <v>1256176</v>
      </c>
      <c r="S58" s="557">
        <v>380305</v>
      </c>
      <c r="T58" s="557">
        <v>310518</v>
      </c>
      <c r="U58" s="557">
        <v>12107</v>
      </c>
      <c r="V58" s="557">
        <v>63484</v>
      </c>
      <c r="W58" s="557">
        <v>53716</v>
      </c>
      <c r="X58" s="557">
        <v>21492491</v>
      </c>
      <c r="Y58" s="557">
        <v>366340000</v>
      </c>
      <c r="Z58" s="557">
        <v>316568</v>
      </c>
      <c r="AA58" s="557">
        <v>255580</v>
      </c>
      <c r="AB58" s="557">
        <v>571157</v>
      </c>
      <c r="AC58" s="557"/>
      <c r="AD58" s="557">
        <v>774859</v>
      </c>
      <c r="AE58" s="557">
        <v>92172</v>
      </c>
      <c r="AF58" s="557">
        <v>2885068</v>
      </c>
      <c r="AG58" s="557">
        <v>2689937</v>
      </c>
      <c r="AH58" s="557">
        <v>15102</v>
      </c>
      <c r="AI58" s="557">
        <v>744209</v>
      </c>
      <c r="AJ58" s="557">
        <v>37171</v>
      </c>
      <c r="AK58" s="557">
        <v>8671</v>
      </c>
      <c r="AL58" s="557">
        <v>15155</v>
      </c>
      <c r="AM58" s="557"/>
      <c r="AN58" s="557">
        <v>19340</v>
      </c>
      <c r="AO58" s="557"/>
      <c r="AP58" s="557">
        <v>1257</v>
      </c>
      <c r="AQ58" s="557">
        <v>24003904</v>
      </c>
      <c r="AR58" s="557">
        <v>0</v>
      </c>
      <c r="AS58" s="557">
        <v>410843</v>
      </c>
      <c r="AT58" s="557">
        <v>1270014</v>
      </c>
      <c r="AU58" s="557">
        <v>99473</v>
      </c>
      <c r="AV58" s="1037">
        <v>2258</v>
      </c>
      <c r="AW58" s="557">
        <v>10646693</v>
      </c>
      <c r="AX58" s="557">
        <v>10479</v>
      </c>
      <c r="AY58" s="557">
        <v>728470</v>
      </c>
      <c r="AZ58" s="557">
        <v>307394</v>
      </c>
      <c r="BA58" s="557">
        <v>1362</v>
      </c>
      <c r="BB58" s="557">
        <v>3188</v>
      </c>
      <c r="BC58" s="557">
        <v>1441094</v>
      </c>
      <c r="BD58" s="557">
        <v>59203</v>
      </c>
      <c r="BE58" s="557">
        <v>3922745</v>
      </c>
      <c r="BF58" s="557">
        <v>153449</v>
      </c>
      <c r="BG58" s="557">
        <v>7895</v>
      </c>
      <c r="BH58" s="557">
        <v>23420</v>
      </c>
      <c r="BI58" s="557">
        <v>128982</v>
      </c>
      <c r="BJ58" s="557">
        <v>4242</v>
      </c>
      <c r="BK58" s="557"/>
      <c r="BL58" s="557">
        <v>2726316</v>
      </c>
      <c r="BM58" s="557">
        <v>137893</v>
      </c>
      <c r="BN58" s="557">
        <v>3363752</v>
      </c>
      <c r="BO58" s="557">
        <v>3419096</v>
      </c>
      <c r="BP58" s="557">
        <v>193143406</v>
      </c>
      <c r="BQ58" s="557">
        <v>34878</v>
      </c>
      <c r="BR58" s="557"/>
      <c r="BS58">
        <v>127056</v>
      </c>
      <c r="BU58">
        <v>95440</v>
      </c>
      <c r="BV58">
        <v>4175618</v>
      </c>
      <c r="BW58">
        <v>918990</v>
      </c>
      <c r="BX58">
        <v>7226286</v>
      </c>
      <c r="BY58">
        <v>575897</v>
      </c>
      <c r="BZ58">
        <v>22814</v>
      </c>
      <c r="CA58">
        <v>182667</v>
      </c>
      <c r="CB58">
        <v>266873</v>
      </c>
      <c r="CC58">
        <v>174452</v>
      </c>
      <c r="CE58">
        <v>4169269</v>
      </c>
      <c r="CF58">
        <v>1130716</v>
      </c>
      <c r="CG58">
        <v>36305</v>
      </c>
      <c r="CH58">
        <v>1058540</v>
      </c>
    </row>
    <row r="59" spans="1:99" x14ac:dyDescent="0.3">
      <c r="A59" s="155">
        <v>337</v>
      </c>
      <c r="B59" s="180" t="s">
        <v>245</v>
      </c>
      <c r="C59" s="180"/>
      <c r="D59" s="180">
        <v>0</v>
      </c>
      <c r="E59" s="180">
        <v>0</v>
      </c>
      <c r="F59" s="180">
        <v>0</v>
      </c>
      <c r="G59" s="180">
        <v>21234</v>
      </c>
      <c r="H59" s="180"/>
      <c r="I59" s="180">
        <v>1451438</v>
      </c>
      <c r="J59" s="180">
        <v>161235</v>
      </c>
      <c r="K59" s="180">
        <v>9257946</v>
      </c>
      <c r="L59" s="180">
        <v>0</v>
      </c>
      <c r="M59" s="180">
        <v>16506576</v>
      </c>
      <c r="N59" s="180">
        <v>737758</v>
      </c>
      <c r="O59" s="180">
        <v>233139098</v>
      </c>
      <c r="P59" s="180">
        <v>0</v>
      </c>
      <c r="Q59" s="180">
        <v>0</v>
      </c>
      <c r="R59" s="180">
        <v>177967</v>
      </c>
      <c r="S59" s="180">
        <v>0</v>
      </c>
      <c r="T59" s="180">
        <v>1006926</v>
      </c>
      <c r="U59" s="180">
        <v>0</v>
      </c>
      <c r="V59" s="180">
        <v>0</v>
      </c>
      <c r="W59" s="180">
        <v>190000</v>
      </c>
      <c r="X59" s="180">
        <v>104880716</v>
      </c>
      <c r="Y59" s="180">
        <v>1603394000</v>
      </c>
      <c r="Z59" s="180">
        <v>1891030</v>
      </c>
      <c r="AA59" s="180">
        <v>253433</v>
      </c>
      <c r="AB59" s="180">
        <v>2196525</v>
      </c>
      <c r="AC59" s="180"/>
      <c r="AD59" s="180">
        <v>286684</v>
      </c>
      <c r="AE59" s="180">
        <v>5283</v>
      </c>
      <c r="AF59" s="180">
        <v>20025003</v>
      </c>
      <c r="AG59" s="180">
        <v>0</v>
      </c>
      <c r="AH59" s="180">
        <v>0</v>
      </c>
      <c r="AI59" s="180">
        <v>1575672</v>
      </c>
      <c r="AJ59" s="180">
        <v>0</v>
      </c>
      <c r="AK59" s="180">
        <v>0</v>
      </c>
      <c r="AL59" s="180">
        <v>0</v>
      </c>
      <c r="AM59" s="180"/>
      <c r="AN59" s="180">
        <v>0</v>
      </c>
      <c r="AO59" s="180"/>
      <c r="AP59" s="180">
        <v>0</v>
      </c>
      <c r="AQ59" s="180">
        <v>20675283</v>
      </c>
      <c r="AR59" s="180">
        <v>0</v>
      </c>
      <c r="AS59" s="180">
        <v>0</v>
      </c>
      <c r="AT59" s="180">
        <v>3824386</v>
      </c>
      <c r="AU59" s="180">
        <v>0</v>
      </c>
      <c r="AV59" s="570">
        <v>0</v>
      </c>
      <c r="AW59" s="180">
        <v>24236827</v>
      </c>
      <c r="AX59" s="180">
        <v>0</v>
      </c>
      <c r="AY59" s="180">
        <v>4743523</v>
      </c>
      <c r="AZ59" s="180">
        <v>348250</v>
      </c>
      <c r="BA59" s="180">
        <v>0</v>
      </c>
      <c r="BB59" s="180">
        <v>0</v>
      </c>
      <c r="BC59" s="180">
        <v>1325404</v>
      </c>
      <c r="BD59" s="180">
        <v>0</v>
      </c>
      <c r="BE59" s="180">
        <v>22913732</v>
      </c>
      <c r="BF59" s="180">
        <v>629322</v>
      </c>
      <c r="BG59" s="180">
        <v>0</v>
      </c>
      <c r="BH59" s="180">
        <v>0</v>
      </c>
      <c r="BI59" s="180">
        <v>279985</v>
      </c>
      <c r="BJ59" s="180">
        <v>0</v>
      </c>
      <c r="BK59" s="180"/>
      <c r="BL59" s="180">
        <v>0</v>
      </c>
      <c r="BM59" s="180">
        <v>30000</v>
      </c>
      <c r="BN59" s="180">
        <v>5157711</v>
      </c>
      <c r="BO59" s="180">
        <v>8081023</v>
      </c>
      <c r="BP59" s="180">
        <v>247372210</v>
      </c>
      <c r="BQ59" s="180">
        <v>0</v>
      </c>
      <c r="BR59" s="180"/>
      <c r="BS59">
        <v>0</v>
      </c>
      <c r="BU59">
        <v>118022</v>
      </c>
      <c r="BV59">
        <v>3209418</v>
      </c>
      <c r="BW59">
        <v>3909541</v>
      </c>
      <c r="BX59">
        <v>2605286</v>
      </c>
      <c r="BY59">
        <v>5728012</v>
      </c>
      <c r="BZ59">
        <v>0</v>
      </c>
      <c r="CA59">
        <v>130196</v>
      </c>
      <c r="CB59">
        <v>0</v>
      </c>
      <c r="CC59">
        <v>320850</v>
      </c>
      <c r="CE59">
        <v>0</v>
      </c>
      <c r="CF59">
        <v>2714406</v>
      </c>
      <c r="CG59">
        <v>14166</v>
      </c>
      <c r="CH59">
        <v>0</v>
      </c>
    </row>
    <row r="60" spans="1:99" x14ac:dyDescent="0.3">
      <c r="A60" s="560">
        <v>338</v>
      </c>
      <c r="B60" s="561" t="s">
        <v>108</v>
      </c>
      <c r="C60" s="561"/>
      <c r="D60" s="561">
        <v>19865</v>
      </c>
      <c r="E60" s="561">
        <v>839770</v>
      </c>
      <c r="F60" s="561">
        <v>42703</v>
      </c>
      <c r="G60" s="561">
        <v>133724</v>
      </c>
      <c r="H60" s="561"/>
      <c r="I60" s="561">
        <v>20436347</v>
      </c>
      <c r="J60" s="561">
        <v>1340365</v>
      </c>
      <c r="K60" s="561">
        <v>28961291</v>
      </c>
      <c r="L60" s="561">
        <v>1437702</v>
      </c>
      <c r="M60" s="561">
        <v>67135264</v>
      </c>
      <c r="N60" s="561">
        <v>3029395</v>
      </c>
      <c r="O60" s="561">
        <v>551090908</v>
      </c>
      <c r="P60" s="561">
        <v>31539</v>
      </c>
      <c r="Q60" s="561">
        <v>4658</v>
      </c>
      <c r="R60" s="561">
        <v>1890537</v>
      </c>
      <c r="S60" s="561">
        <v>950854</v>
      </c>
      <c r="T60" s="561">
        <v>1370208</v>
      </c>
      <c r="U60" s="561">
        <v>66852</v>
      </c>
      <c r="V60" s="561">
        <v>63484</v>
      </c>
      <c r="W60" s="561">
        <v>1004346</v>
      </c>
      <c r="X60" s="561">
        <v>183414612</v>
      </c>
      <c r="Y60" s="561">
        <v>3820314000</v>
      </c>
      <c r="Z60" s="561">
        <v>8733691</v>
      </c>
      <c r="AA60" s="561">
        <v>292548</v>
      </c>
      <c r="AB60" s="561">
        <v>4764635</v>
      </c>
      <c r="AC60" s="561"/>
      <c r="AD60" s="561">
        <v>2323671</v>
      </c>
      <c r="AE60" s="561">
        <v>192449</v>
      </c>
      <c r="AF60" s="561">
        <v>39549654</v>
      </c>
      <c r="AG60" s="561">
        <v>3755731</v>
      </c>
      <c r="AH60" s="561">
        <v>712899</v>
      </c>
      <c r="AI60" s="561">
        <v>9494778</v>
      </c>
      <c r="AJ60" s="561">
        <v>233953</v>
      </c>
      <c r="AK60" s="561">
        <v>952823</v>
      </c>
      <c r="AL60" s="561">
        <v>144323</v>
      </c>
      <c r="AM60" s="561"/>
      <c r="AN60" s="561">
        <v>796655</v>
      </c>
      <c r="AO60" s="561"/>
      <c r="AP60" s="561">
        <v>1257</v>
      </c>
      <c r="AQ60" s="561">
        <v>129537389</v>
      </c>
      <c r="AR60" s="561">
        <v>0</v>
      </c>
      <c r="AS60" s="561">
        <v>468380</v>
      </c>
      <c r="AT60" s="561">
        <v>9354413</v>
      </c>
      <c r="AU60" s="561">
        <v>400974</v>
      </c>
      <c r="AV60" s="1038">
        <v>98288</v>
      </c>
      <c r="AW60" s="561">
        <v>43714066</v>
      </c>
      <c r="AX60" s="561">
        <v>34254</v>
      </c>
      <c r="AY60" s="561">
        <v>8500645</v>
      </c>
      <c r="AZ60" s="561">
        <v>6164356</v>
      </c>
      <c r="BA60" s="561">
        <v>20479</v>
      </c>
      <c r="BB60" s="561">
        <v>3188</v>
      </c>
      <c r="BC60" s="561">
        <v>4604342</v>
      </c>
      <c r="BD60" s="561">
        <v>59203</v>
      </c>
      <c r="BE60" s="561">
        <v>30219850</v>
      </c>
      <c r="BF60" s="561">
        <v>1165653</v>
      </c>
      <c r="BG60" s="561">
        <v>7895</v>
      </c>
      <c r="BH60" s="561">
        <v>137081</v>
      </c>
      <c r="BI60" s="561">
        <v>2246857</v>
      </c>
      <c r="BJ60" s="561">
        <v>103638</v>
      </c>
      <c r="BK60" s="561"/>
      <c r="BL60" s="561">
        <v>3442931</v>
      </c>
      <c r="BM60" s="561">
        <v>270635</v>
      </c>
      <c r="BN60" s="561">
        <v>10554047</v>
      </c>
      <c r="BO60" s="561">
        <v>22512447</v>
      </c>
      <c r="BP60" s="561">
        <v>636162859</v>
      </c>
      <c r="BQ60" s="561">
        <v>34878</v>
      </c>
      <c r="BR60" s="561"/>
      <c r="BS60">
        <v>259248</v>
      </c>
      <c r="BU60">
        <v>630413</v>
      </c>
      <c r="BV60">
        <v>27112416</v>
      </c>
      <c r="BW60">
        <v>8872856</v>
      </c>
      <c r="BX60">
        <v>33582182</v>
      </c>
      <c r="BY60">
        <v>8988037</v>
      </c>
      <c r="BZ60">
        <v>541314</v>
      </c>
      <c r="CA60">
        <v>2637107</v>
      </c>
      <c r="CB60">
        <v>278578</v>
      </c>
      <c r="CC60">
        <v>770121</v>
      </c>
      <c r="CE60">
        <v>8202569</v>
      </c>
      <c r="CF60">
        <v>8242095</v>
      </c>
      <c r="CG60">
        <v>803534</v>
      </c>
      <c r="CH60">
        <v>3657540</v>
      </c>
    </row>
    <row r="61" spans="1:99" x14ac:dyDescent="0.3">
      <c r="A61" s="155">
        <v>339</v>
      </c>
      <c r="B61" s="180" t="s">
        <v>181</v>
      </c>
      <c r="C61" s="180"/>
      <c r="D61" s="180">
        <v>0</v>
      </c>
      <c r="E61" s="180">
        <v>615493</v>
      </c>
      <c r="F61" s="180">
        <v>65802</v>
      </c>
      <c r="G61" s="180">
        <v>28434</v>
      </c>
      <c r="H61" s="180"/>
      <c r="I61" s="180">
        <v>680824</v>
      </c>
      <c r="J61" s="180">
        <v>136057</v>
      </c>
      <c r="K61" s="180">
        <v>9446445</v>
      </c>
      <c r="L61" s="180">
        <v>805169</v>
      </c>
      <c r="M61" s="180">
        <v>1720019</v>
      </c>
      <c r="N61" s="180">
        <v>281840</v>
      </c>
      <c r="O61" s="180">
        <v>41258460</v>
      </c>
      <c r="P61" s="180">
        <v>0</v>
      </c>
      <c r="Q61" s="180">
        <v>34637</v>
      </c>
      <c r="R61" s="180">
        <v>76046</v>
      </c>
      <c r="S61" s="180">
        <v>74806</v>
      </c>
      <c r="T61" s="180">
        <v>64667</v>
      </c>
      <c r="U61" s="180">
        <v>0</v>
      </c>
      <c r="V61" s="180">
        <v>33155</v>
      </c>
      <c r="W61" s="180">
        <v>323873</v>
      </c>
      <c r="X61" s="180">
        <v>9854613</v>
      </c>
      <c r="Y61" s="180">
        <v>168571000</v>
      </c>
      <c r="Z61" s="180">
        <v>867538</v>
      </c>
      <c r="AA61" s="180">
        <v>137610</v>
      </c>
      <c r="AB61" s="180">
        <v>290867</v>
      </c>
      <c r="AC61" s="180"/>
      <c r="AD61" s="180">
        <v>104361</v>
      </c>
      <c r="AE61" s="180">
        <v>94692</v>
      </c>
      <c r="AF61" s="180">
        <v>6491789</v>
      </c>
      <c r="AG61" s="180">
        <v>35128</v>
      </c>
      <c r="AH61" s="180">
        <v>0</v>
      </c>
      <c r="AI61" s="180">
        <v>1610253</v>
      </c>
      <c r="AJ61" s="180">
        <v>5900</v>
      </c>
      <c r="AK61" s="180">
        <v>271610</v>
      </c>
      <c r="AL61" s="180">
        <v>51196</v>
      </c>
      <c r="AM61" s="180"/>
      <c r="AN61" s="180">
        <v>14282</v>
      </c>
      <c r="AO61" s="180"/>
      <c r="AP61" s="180">
        <v>0</v>
      </c>
      <c r="AQ61" s="180">
        <v>8974832</v>
      </c>
      <c r="AR61" s="180">
        <v>0</v>
      </c>
      <c r="AS61" s="180">
        <v>0</v>
      </c>
      <c r="AT61" s="180">
        <v>891852</v>
      </c>
      <c r="AU61" s="180">
        <v>10777</v>
      </c>
      <c r="AV61" s="570">
        <v>61579</v>
      </c>
      <c r="AW61" s="180">
        <v>928728</v>
      </c>
      <c r="AX61" s="180">
        <v>1275</v>
      </c>
      <c r="AY61" s="180">
        <v>997460</v>
      </c>
      <c r="AZ61" s="180">
        <v>392205</v>
      </c>
      <c r="BA61" s="180">
        <v>0</v>
      </c>
      <c r="BB61" s="180">
        <v>0</v>
      </c>
      <c r="BC61" s="180">
        <v>734729</v>
      </c>
      <c r="BD61" s="180">
        <v>325</v>
      </c>
      <c r="BE61" s="180">
        <v>274544</v>
      </c>
      <c r="BF61" s="180">
        <v>96834</v>
      </c>
      <c r="BG61" s="180">
        <v>8610</v>
      </c>
      <c r="BH61" s="180">
        <v>32830</v>
      </c>
      <c r="BI61" s="180">
        <v>153613</v>
      </c>
      <c r="BJ61" s="180">
        <v>460</v>
      </c>
      <c r="BK61" s="180"/>
      <c r="BL61" s="180">
        <v>104570</v>
      </c>
      <c r="BM61" s="180">
        <v>222224</v>
      </c>
      <c r="BN61" s="180">
        <v>216484</v>
      </c>
      <c r="BO61" s="180">
        <v>1882306</v>
      </c>
      <c r="BP61" s="180">
        <v>33566282</v>
      </c>
      <c r="BQ61" s="180">
        <v>0</v>
      </c>
      <c r="BR61" s="180"/>
      <c r="BS61" s="180">
        <v>54</v>
      </c>
      <c r="BT61" s="180"/>
      <c r="BU61" s="180">
        <v>0</v>
      </c>
      <c r="BV61" s="180">
        <v>2935414</v>
      </c>
      <c r="BW61" s="180">
        <v>1840327</v>
      </c>
      <c r="BX61" s="180">
        <v>2217228</v>
      </c>
      <c r="BY61" s="180">
        <v>1610897</v>
      </c>
      <c r="BZ61" s="180">
        <v>0</v>
      </c>
      <c r="CA61" s="180">
        <v>753882</v>
      </c>
      <c r="CB61" s="180">
        <v>43265</v>
      </c>
      <c r="CC61" s="180">
        <v>204236</v>
      </c>
      <c r="CD61" s="180"/>
      <c r="CE61" s="180">
        <v>885731</v>
      </c>
      <c r="CF61" s="180">
        <v>3224750</v>
      </c>
      <c r="CG61" s="180">
        <v>213789</v>
      </c>
      <c r="CH61" s="180">
        <v>702374</v>
      </c>
      <c r="CI61" s="180"/>
      <c r="CJ61" s="180"/>
      <c r="CK61" s="180"/>
      <c r="CL61" s="180"/>
      <c r="CM61" s="180"/>
      <c r="CN61" s="180"/>
      <c r="CO61" s="180"/>
      <c r="CP61" s="180"/>
      <c r="CQ61" s="180"/>
      <c r="CR61" s="180"/>
      <c r="CS61" s="180"/>
      <c r="CT61" s="180"/>
      <c r="CU61" s="180"/>
    </row>
    <row r="62" spans="1:99" x14ac:dyDescent="0.3">
      <c r="A62" s="155">
        <v>341</v>
      </c>
      <c r="B62" s="180" t="s">
        <v>883</v>
      </c>
      <c r="C62" s="180"/>
      <c r="D62" s="180">
        <v>1616396</v>
      </c>
      <c r="E62" s="180">
        <v>1470943</v>
      </c>
      <c r="F62" s="180">
        <v>303480</v>
      </c>
      <c r="G62" s="180">
        <v>233232</v>
      </c>
      <c r="H62" s="180"/>
      <c r="I62" s="180">
        <v>7117148</v>
      </c>
      <c r="J62" s="180">
        <v>1856305</v>
      </c>
      <c r="K62" s="180">
        <v>12806541</v>
      </c>
      <c r="L62" s="180">
        <v>3166455</v>
      </c>
      <c r="M62" s="180">
        <v>27792833</v>
      </c>
      <c r="N62" s="180">
        <v>3411970</v>
      </c>
      <c r="O62" s="180">
        <v>202883257</v>
      </c>
      <c r="P62" s="180">
        <v>30914</v>
      </c>
      <c r="Q62" s="180">
        <v>168474</v>
      </c>
      <c r="R62" s="180">
        <v>1801802</v>
      </c>
      <c r="S62" s="180">
        <v>969305</v>
      </c>
      <c r="T62" s="180">
        <v>1438070</v>
      </c>
      <c r="U62" s="180">
        <v>234497</v>
      </c>
      <c r="V62" s="180">
        <v>199152</v>
      </c>
      <c r="W62" s="180">
        <v>1431430</v>
      </c>
      <c r="X62" s="180">
        <v>75908478</v>
      </c>
      <c r="Y62" s="180">
        <v>1024468000</v>
      </c>
      <c r="Z62" s="180">
        <v>4692905</v>
      </c>
      <c r="AA62" s="180">
        <v>268783</v>
      </c>
      <c r="AB62" s="180">
        <v>4238213</v>
      </c>
      <c r="AC62" s="180"/>
      <c r="AD62" s="180">
        <v>4287508</v>
      </c>
      <c r="AE62" s="180">
        <v>814815</v>
      </c>
      <c r="AF62" s="180">
        <v>31832994</v>
      </c>
      <c r="AG62" s="180">
        <v>7960027</v>
      </c>
      <c r="AH62" s="180">
        <v>1409872</v>
      </c>
      <c r="AI62" s="180">
        <v>9481677</v>
      </c>
      <c r="AJ62" s="180">
        <v>1179061</v>
      </c>
      <c r="AK62" s="180">
        <v>1530570</v>
      </c>
      <c r="AL62" s="180">
        <v>445954</v>
      </c>
      <c r="AM62" s="180"/>
      <c r="AN62" s="180">
        <v>606603</v>
      </c>
      <c r="AO62" s="180"/>
      <c r="AP62" s="180">
        <v>33447</v>
      </c>
      <c r="AQ62" s="180">
        <v>113194359</v>
      </c>
      <c r="AR62" s="180">
        <v>149727</v>
      </c>
      <c r="AS62" s="180">
        <v>711478</v>
      </c>
      <c r="AT62" s="180">
        <v>12529455</v>
      </c>
      <c r="AU62" s="180">
        <v>669938</v>
      </c>
      <c r="AV62" s="570">
        <v>503410</v>
      </c>
      <c r="AW62" s="180">
        <v>31494935</v>
      </c>
      <c r="AX62" s="180">
        <v>114606</v>
      </c>
      <c r="AY62" s="180">
        <v>6047064</v>
      </c>
      <c r="AZ62" s="180">
        <v>4712177</v>
      </c>
      <c r="BA62" s="180">
        <v>198159</v>
      </c>
      <c r="BB62" s="180">
        <v>218344</v>
      </c>
      <c r="BC62" s="180">
        <v>3361336</v>
      </c>
      <c r="BD62" s="180">
        <v>78040</v>
      </c>
      <c r="BE62" s="180">
        <v>17836373</v>
      </c>
      <c r="BF62" s="180">
        <v>1647459</v>
      </c>
      <c r="BG62" s="180">
        <v>236832</v>
      </c>
      <c r="BH62" s="180">
        <v>279154</v>
      </c>
      <c r="BI62" s="180">
        <v>2085955</v>
      </c>
      <c r="BJ62" s="180">
        <v>469994</v>
      </c>
      <c r="BK62" s="180"/>
      <c r="BL62" s="180">
        <v>1290176</v>
      </c>
      <c r="BM62" s="180">
        <v>173199</v>
      </c>
      <c r="BN62" s="180">
        <v>11285808</v>
      </c>
      <c r="BO62" s="180">
        <v>14780939</v>
      </c>
      <c r="BP62" s="180">
        <v>312612831</v>
      </c>
      <c r="BQ62" s="180">
        <v>44424</v>
      </c>
      <c r="BR62" s="180"/>
      <c r="BS62">
        <v>527492</v>
      </c>
      <c r="BT62" s="180"/>
      <c r="BU62" s="180">
        <v>2194649</v>
      </c>
      <c r="BV62" s="180">
        <v>14713506</v>
      </c>
      <c r="BW62" s="180">
        <v>4900183</v>
      </c>
      <c r="BX62" s="180">
        <v>20645165</v>
      </c>
      <c r="BY62" s="180">
        <v>3658827</v>
      </c>
      <c r="BZ62" s="180">
        <v>485384</v>
      </c>
      <c r="CA62" s="180">
        <v>6129305</v>
      </c>
      <c r="CB62" s="180">
        <v>151062</v>
      </c>
      <c r="CC62" s="180">
        <v>541378</v>
      </c>
      <c r="CD62" s="180"/>
      <c r="CE62" s="180">
        <v>8084320</v>
      </c>
      <c r="CF62" s="180">
        <v>9956097</v>
      </c>
      <c r="CG62" s="180">
        <v>1412599</v>
      </c>
      <c r="CH62" s="180">
        <v>3546623</v>
      </c>
      <c r="CI62" s="180"/>
      <c r="CJ62" s="180"/>
      <c r="CK62" s="180"/>
      <c r="CL62" s="180"/>
      <c r="CM62" s="180"/>
      <c r="CN62" s="180"/>
      <c r="CO62" s="180"/>
      <c r="CP62" s="180"/>
      <c r="CQ62" s="180"/>
      <c r="CR62" s="180"/>
      <c r="CS62" s="180"/>
      <c r="CT62" s="180"/>
      <c r="CU62" s="180"/>
    </row>
    <row r="63" spans="1:99" x14ac:dyDescent="0.3">
      <c r="A63" s="155">
        <v>343</v>
      </c>
      <c r="B63" s="180" t="s">
        <v>246</v>
      </c>
      <c r="C63" s="180"/>
      <c r="D63" s="180">
        <v>0</v>
      </c>
      <c r="E63" s="180">
        <v>1890</v>
      </c>
      <c r="F63" s="180">
        <v>0</v>
      </c>
      <c r="G63" s="180">
        <v>11324</v>
      </c>
      <c r="H63" s="180"/>
      <c r="I63" s="180">
        <v>115959</v>
      </c>
      <c r="J63" s="180">
        <v>60260</v>
      </c>
      <c r="K63" s="180">
        <v>1179840</v>
      </c>
      <c r="L63" s="180">
        <v>0</v>
      </c>
      <c r="M63" s="180">
        <v>750929</v>
      </c>
      <c r="N63" s="180">
        <v>175929</v>
      </c>
      <c r="O63" s="180">
        <v>26347605</v>
      </c>
      <c r="P63" s="180">
        <v>0</v>
      </c>
      <c r="Q63" s="180">
        <v>0</v>
      </c>
      <c r="R63" s="180">
        <v>79116</v>
      </c>
      <c r="S63" s="180">
        <v>0</v>
      </c>
      <c r="T63" s="180">
        <v>140574</v>
      </c>
      <c r="U63" s="180">
        <v>0</v>
      </c>
      <c r="V63" s="180">
        <v>0</v>
      </c>
      <c r="W63" s="180">
        <v>0</v>
      </c>
      <c r="X63" s="180">
        <v>8609887</v>
      </c>
      <c r="Y63" s="180">
        <v>123006000</v>
      </c>
      <c r="Z63" s="180">
        <v>156314</v>
      </c>
      <c r="AA63" s="180">
        <v>25167</v>
      </c>
      <c r="AB63" s="180">
        <v>329473</v>
      </c>
      <c r="AC63" s="180"/>
      <c r="AD63" s="180">
        <v>156787</v>
      </c>
      <c r="AE63" s="180">
        <v>0</v>
      </c>
      <c r="AF63" s="180">
        <v>1733224</v>
      </c>
      <c r="AG63" s="180">
        <v>0</v>
      </c>
      <c r="AH63" s="180">
        <v>0</v>
      </c>
      <c r="AI63" s="180">
        <v>454941</v>
      </c>
      <c r="AJ63" s="180">
        <v>0</v>
      </c>
      <c r="AK63" s="180">
        <v>0</v>
      </c>
      <c r="AL63" s="180">
        <v>0</v>
      </c>
      <c r="AM63" s="180"/>
      <c r="AN63" s="180">
        <v>0</v>
      </c>
      <c r="AO63" s="180"/>
      <c r="AP63" s="180">
        <v>0</v>
      </c>
      <c r="AQ63" s="180">
        <v>2316933</v>
      </c>
      <c r="AR63" s="180">
        <v>0</v>
      </c>
      <c r="AS63" s="180">
        <v>0</v>
      </c>
      <c r="AT63" s="180">
        <v>587001</v>
      </c>
      <c r="AU63" s="180">
        <v>0</v>
      </c>
      <c r="AV63" s="570">
        <v>0</v>
      </c>
      <c r="AW63" s="180">
        <v>2844167</v>
      </c>
      <c r="AX63" s="180">
        <v>0</v>
      </c>
      <c r="AY63" s="180">
        <v>532635</v>
      </c>
      <c r="AZ63" s="180">
        <v>49750</v>
      </c>
      <c r="BA63" s="180">
        <v>0</v>
      </c>
      <c r="BB63" s="180">
        <v>0</v>
      </c>
      <c r="BC63" s="180">
        <v>205944</v>
      </c>
      <c r="BD63" s="180">
        <v>0</v>
      </c>
      <c r="BE63" s="180">
        <v>1625980</v>
      </c>
      <c r="BF63" s="180">
        <v>33930</v>
      </c>
      <c r="BG63" s="180">
        <v>0</v>
      </c>
      <c r="BH63" s="180">
        <v>0</v>
      </c>
      <c r="BI63" s="180">
        <v>63514</v>
      </c>
      <c r="BJ63" s="180">
        <v>0</v>
      </c>
      <c r="BK63" s="180"/>
      <c r="BL63" s="180">
        <v>0</v>
      </c>
      <c r="BM63" s="180">
        <v>30000</v>
      </c>
      <c r="BN63" s="180">
        <v>975539</v>
      </c>
      <c r="BO63" s="180">
        <v>959310</v>
      </c>
      <c r="BP63" s="180">
        <v>55086568</v>
      </c>
      <c r="BQ63" s="180">
        <v>0</v>
      </c>
      <c r="BR63" s="180"/>
      <c r="BS63" s="180">
        <v>0</v>
      </c>
      <c r="BT63" s="180"/>
      <c r="BU63" s="180">
        <v>69876</v>
      </c>
      <c r="BV63" s="180">
        <v>333953</v>
      </c>
      <c r="BW63" s="180">
        <v>428797</v>
      </c>
      <c r="BX63" s="180">
        <v>1601784</v>
      </c>
      <c r="BY63" s="180">
        <v>399560</v>
      </c>
      <c r="BZ63" s="180">
        <v>7427</v>
      </c>
      <c r="CA63" s="180">
        <v>69214</v>
      </c>
      <c r="CB63" s="180">
        <v>0</v>
      </c>
      <c r="CC63" s="180">
        <v>62100</v>
      </c>
      <c r="CD63" s="180"/>
      <c r="CE63" s="180">
        <v>125257</v>
      </c>
      <c r="CF63" s="180">
        <v>813501</v>
      </c>
      <c r="CG63" s="180">
        <v>56667</v>
      </c>
      <c r="CH63" s="180">
        <v>0</v>
      </c>
      <c r="CI63" s="180"/>
      <c r="CJ63" s="180"/>
      <c r="CK63" s="180"/>
      <c r="CL63" s="180"/>
      <c r="CM63" s="180"/>
      <c r="CN63" s="180"/>
      <c r="CO63" s="180"/>
      <c r="CP63" s="180"/>
      <c r="CQ63" s="180"/>
      <c r="CR63" s="180"/>
      <c r="CS63" s="180"/>
      <c r="CT63" s="180"/>
      <c r="CU63" s="180"/>
    </row>
    <row r="64" spans="1:99" x14ac:dyDescent="0.3">
      <c r="A64" s="155">
        <v>344</v>
      </c>
      <c r="B64" s="180" t="s">
        <v>179</v>
      </c>
      <c r="C64" s="180"/>
      <c r="D64" s="180">
        <v>0</v>
      </c>
      <c r="E64" s="180">
        <v>24</v>
      </c>
      <c r="F64" s="180">
        <v>0</v>
      </c>
      <c r="G64" s="180">
        <v>1155</v>
      </c>
      <c r="H64" s="180"/>
      <c r="I64" s="180">
        <v>26397</v>
      </c>
      <c r="J64" s="180">
        <v>5886</v>
      </c>
      <c r="K64" s="180">
        <v>245134</v>
      </c>
      <c r="L64" s="180">
        <v>0</v>
      </c>
      <c r="M64" s="180">
        <v>468434</v>
      </c>
      <c r="N64" s="180">
        <v>33008</v>
      </c>
      <c r="O64" s="180">
        <v>5840052</v>
      </c>
      <c r="P64" s="180">
        <v>0</v>
      </c>
      <c r="Q64" s="180">
        <v>0</v>
      </c>
      <c r="R64" s="180">
        <v>0</v>
      </c>
      <c r="S64" s="180">
        <v>0</v>
      </c>
      <c r="T64" s="180">
        <v>32586</v>
      </c>
      <c r="U64" s="180">
        <v>0</v>
      </c>
      <c r="V64" s="180">
        <v>0</v>
      </c>
      <c r="W64" s="180">
        <v>0</v>
      </c>
      <c r="X64" s="180">
        <v>2214168</v>
      </c>
      <c r="Y64" s="180">
        <v>44779000</v>
      </c>
      <c r="Z64" s="180">
        <v>0</v>
      </c>
      <c r="AA64" s="180">
        <v>10833</v>
      </c>
      <c r="AB64" s="180">
        <v>84035</v>
      </c>
      <c r="AC64" s="180"/>
      <c r="AD64" s="180">
        <v>11054</v>
      </c>
      <c r="AE64" s="180">
        <v>0</v>
      </c>
      <c r="AF64" s="180">
        <v>706470</v>
      </c>
      <c r="AG64" s="180">
        <v>1379</v>
      </c>
      <c r="AH64" s="180">
        <v>0</v>
      </c>
      <c r="AI64" s="180">
        <v>125162</v>
      </c>
      <c r="AJ64" s="180">
        <v>0</v>
      </c>
      <c r="AK64" s="180">
        <v>0</v>
      </c>
      <c r="AL64" s="180">
        <v>0</v>
      </c>
      <c r="AM64" s="180"/>
      <c r="AN64" s="180">
        <v>0</v>
      </c>
      <c r="AO64" s="180"/>
      <c r="AP64" s="180">
        <v>0</v>
      </c>
      <c r="AQ64" s="180">
        <v>603439</v>
      </c>
      <c r="AR64" s="180">
        <v>0</v>
      </c>
      <c r="AS64" s="180">
        <v>0</v>
      </c>
      <c r="AT64" s="180">
        <v>85992</v>
      </c>
      <c r="AU64" s="180">
        <v>0</v>
      </c>
      <c r="AV64" s="570">
        <v>0</v>
      </c>
      <c r="AW64" s="180">
        <v>628469</v>
      </c>
      <c r="AX64" s="180">
        <v>0</v>
      </c>
      <c r="AY64" s="180">
        <v>161174</v>
      </c>
      <c r="AZ64" s="180">
        <v>3309</v>
      </c>
      <c r="BA64" s="180">
        <v>0</v>
      </c>
      <c r="BB64" s="180">
        <v>0</v>
      </c>
      <c r="BC64" s="180">
        <v>31363</v>
      </c>
      <c r="BD64" s="180">
        <v>0</v>
      </c>
      <c r="BE64" s="180">
        <v>722171</v>
      </c>
      <c r="BF64" s="180">
        <v>0</v>
      </c>
      <c r="BG64" s="180">
        <v>0</v>
      </c>
      <c r="BH64" s="180">
        <v>0</v>
      </c>
      <c r="BI64" s="180">
        <v>11206</v>
      </c>
      <c r="BJ64" s="180">
        <v>0</v>
      </c>
      <c r="BK64" s="180"/>
      <c r="BL64" s="180">
        <v>0</v>
      </c>
      <c r="BM64" s="180">
        <v>0</v>
      </c>
      <c r="BN64" s="180">
        <v>131049</v>
      </c>
      <c r="BO64" s="180">
        <v>231718</v>
      </c>
      <c r="BP64" s="180">
        <v>5449004</v>
      </c>
      <c r="BQ64" s="180">
        <v>0</v>
      </c>
      <c r="BR64" s="180"/>
      <c r="BS64" s="180">
        <v>0</v>
      </c>
      <c r="BT64" s="180"/>
      <c r="BU64" s="180">
        <v>8632</v>
      </c>
      <c r="BV64" s="180">
        <v>93635</v>
      </c>
      <c r="BW64" s="180">
        <v>80273</v>
      </c>
      <c r="BX64" s="180">
        <v>128697</v>
      </c>
      <c r="BY64" s="180">
        <v>118336</v>
      </c>
      <c r="BZ64" s="180">
        <v>11860</v>
      </c>
      <c r="CA64" s="180">
        <v>3042</v>
      </c>
      <c r="CB64" s="180">
        <v>0</v>
      </c>
      <c r="CC64" s="180">
        <v>0</v>
      </c>
      <c r="CD64" s="180"/>
      <c r="CE64" s="180">
        <v>14537</v>
      </c>
      <c r="CF64" s="180">
        <v>92151</v>
      </c>
      <c r="CG64" s="180">
        <v>1979</v>
      </c>
      <c r="CH64" s="180">
        <v>0</v>
      </c>
      <c r="CI64" s="180"/>
      <c r="CJ64" s="180"/>
      <c r="CK64" s="180"/>
      <c r="CL64" s="180"/>
      <c r="CM64" s="180"/>
      <c r="CN64" s="180"/>
      <c r="CO64" s="180"/>
      <c r="CP64" s="180"/>
      <c r="CQ64" s="180"/>
      <c r="CR64" s="180"/>
      <c r="CS64" s="180"/>
      <c r="CT64" s="180"/>
      <c r="CU64" s="180"/>
    </row>
    <row r="65" spans="1:99" x14ac:dyDescent="0.3">
      <c r="A65" s="155">
        <v>349</v>
      </c>
      <c r="B65" s="180" t="s">
        <v>114</v>
      </c>
      <c r="C65" s="180"/>
      <c r="D65" s="180">
        <v>3053</v>
      </c>
      <c r="E65" s="180">
        <v>0</v>
      </c>
      <c r="F65" s="180">
        <v>52661</v>
      </c>
      <c r="G65" s="180">
        <v>45436</v>
      </c>
      <c r="H65" s="180"/>
      <c r="I65" s="180">
        <v>5303876</v>
      </c>
      <c r="J65" s="180">
        <v>0</v>
      </c>
      <c r="K65" s="180">
        <v>30685984</v>
      </c>
      <c r="L65" s="180">
        <v>0</v>
      </c>
      <c r="M65" s="180">
        <v>0</v>
      </c>
      <c r="N65" s="180">
        <v>8341599</v>
      </c>
      <c r="O65" s="180">
        <v>309652012</v>
      </c>
      <c r="P65" s="180">
        <v>0</v>
      </c>
      <c r="Q65" s="180">
        <v>0</v>
      </c>
      <c r="R65" s="180">
        <v>0</v>
      </c>
      <c r="S65" s="180">
        <v>0</v>
      </c>
      <c r="T65" s="180">
        <v>0</v>
      </c>
      <c r="U65" s="180">
        <v>0</v>
      </c>
      <c r="V65" s="180">
        <v>8126</v>
      </c>
      <c r="W65" s="180">
        <v>3249322</v>
      </c>
      <c r="X65" s="180">
        <v>0</v>
      </c>
      <c r="Y65" s="180">
        <v>2380367000</v>
      </c>
      <c r="Z65" s="180">
        <v>7618350</v>
      </c>
      <c r="AA65" s="180">
        <v>175</v>
      </c>
      <c r="AB65" s="180">
        <v>0</v>
      </c>
      <c r="AC65" s="180"/>
      <c r="AD65" s="180">
        <v>1592030</v>
      </c>
      <c r="AE65" s="180">
        <v>480833</v>
      </c>
      <c r="AF65" s="180">
        <v>153334052</v>
      </c>
      <c r="AG65" s="180">
        <v>0</v>
      </c>
      <c r="AH65" s="180">
        <v>26217</v>
      </c>
      <c r="AI65" s="180">
        <v>9095373</v>
      </c>
      <c r="AJ65" s="180">
        <v>617709</v>
      </c>
      <c r="AK65" s="180">
        <v>241217</v>
      </c>
      <c r="AL65" s="180">
        <v>761600</v>
      </c>
      <c r="AM65" s="180"/>
      <c r="AN65" s="180">
        <v>2441989</v>
      </c>
      <c r="AO65" s="180"/>
      <c r="AP65" s="180">
        <v>0</v>
      </c>
      <c r="AQ65" s="180">
        <v>29441329</v>
      </c>
      <c r="AR65" s="180">
        <v>0</v>
      </c>
      <c r="AS65" s="180">
        <v>11500</v>
      </c>
      <c r="AT65" s="180">
        <v>3828030</v>
      </c>
      <c r="AU65" s="180">
        <v>558747</v>
      </c>
      <c r="AV65" s="570">
        <v>0</v>
      </c>
      <c r="AW65" s="180">
        <v>0</v>
      </c>
      <c r="AX65" s="180">
        <v>181032</v>
      </c>
      <c r="AY65" s="180">
        <v>0</v>
      </c>
      <c r="AZ65" s="180">
        <v>0</v>
      </c>
      <c r="BA65" s="180">
        <v>266268</v>
      </c>
      <c r="BB65" s="180">
        <v>106511</v>
      </c>
      <c r="BC65" s="180">
        <v>3405447</v>
      </c>
      <c r="BD65" s="180">
        <v>0</v>
      </c>
      <c r="BE65" s="180">
        <v>0</v>
      </c>
      <c r="BF65" s="180">
        <v>2507639</v>
      </c>
      <c r="BG65" s="180">
        <v>0</v>
      </c>
      <c r="BH65" s="180">
        <v>0</v>
      </c>
      <c r="BI65" s="180">
        <v>4178765</v>
      </c>
      <c r="BJ65" s="180">
        <v>0</v>
      </c>
      <c r="BK65" s="180"/>
      <c r="BL65" s="180">
        <v>441146</v>
      </c>
      <c r="BM65" s="180">
        <v>312184</v>
      </c>
      <c r="BN65" s="180">
        <v>0</v>
      </c>
      <c r="BO65" s="180">
        <v>14707687</v>
      </c>
      <c r="BP65" s="180">
        <v>388459225</v>
      </c>
      <c r="BQ65" s="180">
        <v>0</v>
      </c>
      <c r="BR65" s="180"/>
      <c r="BS65" s="180">
        <v>81852</v>
      </c>
      <c r="BT65" s="180"/>
      <c r="BU65" s="180">
        <v>0</v>
      </c>
      <c r="BV65" s="180">
        <v>24990552</v>
      </c>
      <c r="BW65" s="180">
        <v>6425615</v>
      </c>
      <c r="BX65" s="180">
        <v>9692533</v>
      </c>
      <c r="BY65" s="180">
        <v>1744749</v>
      </c>
      <c r="BZ65" s="180">
        <v>637538</v>
      </c>
      <c r="CA65" s="180">
        <v>2264027</v>
      </c>
      <c r="CB65" s="180">
        <v>89588</v>
      </c>
      <c r="CC65" s="180">
        <v>234659</v>
      </c>
      <c r="CD65" s="180"/>
      <c r="CE65" s="180">
        <v>2589383</v>
      </c>
      <c r="CF65" s="180">
        <v>0</v>
      </c>
      <c r="CG65" s="180">
        <v>1869988</v>
      </c>
      <c r="CH65" s="180">
        <v>0</v>
      </c>
      <c r="CI65" s="180"/>
      <c r="CJ65" s="180"/>
      <c r="CK65" s="180"/>
      <c r="CL65" s="180"/>
      <c r="CM65" s="180"/>
      <c r="CN65" s="180"/>
      <c r="CO65" s="180"/>
      <c r="CP65" s="180"/>
      <c r="CQ65" s="180"/>
      <c r="CR65" s="180"/>
      <c r="CS65" s="180"/>
      <c r="CT65" s="180"/>
      <c r="CU65" s="180"/>
    </row>
    <row r="66" spans="1:99" x14ac:dyDescent="0.3">
      <c r="A66" s="155">
        <v>350</v>
      </c>
      <c r="B66" s="180" t="s">
        <v>884</v>
      </c>
      <c r="C66" s="180"/>
      <c r="D66" s="180">
        <v>14929</v>
      </c>
      <c r="E66" s="180">
        <v>0</v>
      </c>
      <c r="F66" s="180">
        <v>1543</v>
      </c>
      <c r="G66" s="180">
        <v>651</v>
      </c>
      <c r="H66" s="180"/>
      <c r="I66" s="180">
        <v>1072368</v>
      </c>
      <c r="J66" s="180">
        <v>0</v>
      </c>
      <c r="K66" s="180">
        <v>608405</v>
      </c>
      <c r="L66" s="180">
        <v>0</v>
      </c>
      <c r="M66" s="180">
        <v>0</v>
      </c>
      <c r="N66" s="180">
        <v>28201</v>
      </c>
      <c r="O66" s="180">
        <v>12890046</v>
      </c>
      <c r="P66" s="180">
        <v>0</v>
      </c>
      <c r="Q66" s="180">
        <v>0</v>
      </c>
      <c r="R66" s="180">
        <v>0</v>
      </c>
      <c r="S66" s="180">
        <v>0</v>
      </c>
      <c r="T66" s="180">
        <v>0</v>
      </c>
      <c r="U66" s="180">
        <v>0</v>
      </c>
      <c r="V66" s="180">
        <v>1</v>
      </c>
      <c r="W66" s="180">
        <v>106654</v>
      </c>
      <c r="X66" s="180">
        <v>0</v>
      </c>
      <c r="Y66" s="180">
        <v>12084000</v>
      </c>
      <c r="Z66" s="180">
        <v>637516</v>
      </c>
      <c r="AA66" s="180">
        <v>6964</v>
      </c>
      <c r="AB66" s="180">
        <v>0</v>
      </c>
      <c r="AC66" s="180"/>
      <c r="AD66" s="180">
        <v>245056</v>
      </c>
      <c r="AE66" s="180">
        <v>1864</v>
      </c>
      <c r="AF66" s="180">
        <v>6640336</v>
      </c>
      <c r="AG66" s="180">
        <v>0</v>
      </c>
      <c r="AH66" s="180">
        <v>44268</v>
      </c>
      <c r="AI66" s="180">
        <v>102672</v>
      </c>
      <c r="AJ66" s="180">
        <v>261036</v>
      </c>
      <c r="AK66" s="180">
        <v>4285</v>
      </c>
      <c r="AL66" s="180">
        <v>0</v>
      </c>
      <c r="AM66" s="180"/>
      <c r="AN66" s="180">
        <v>140282</v>
      </c>
      <c r="AO66" s="180"/>
      <c r="AP66" s="180">
        <v>0</v>
      </c>
      <c r="AQ66" s="180">
        <v>706047</v>
      </c>
      <c r="AR66" s="180">
        <v>0</v>
      </c>
      <c r="AS66" s="180">
        <v>0</v>
      </c>
      <c r="AT66" s="180">
        <v>553721</v>
      </c>
      <c r="AU66" s="180">
        <v>117864</v>
      </c>
      <c r="AV66" s="570">
        <v>0</v>
      </c>
      <c r="AW66" s="180">
        <v>0</v>
      </c>
      <c r="AX66" s="180">
        <v>9</v>
      </c>
      <c r="AY66" s="180">
        <v>0</v>
      </c>
      <c r="AZ66" s="180">
        <v>0</v>
      </c>
      <c r="BA66" s="180">
        <v>33</v>
      </c>
      <c r="BB66" s="180">
        <v>3555</v>
      </c>
      <c r="BC66" s="180">
        <v>151431</v>
      </c>
      <c r="BD66" s="180">
        <v>0</v>
      </c>
      <c r="BE66" s="180">
        <v>0</v>
      </c>
      <c r="BF66" s="180">
        <v>78527</v>
      </c>
      <c r="BG66" s="180">
        <v>0</v>
      </c>
      <c r="BH66" s="180">
        <v>0</v>
      </c>
      <c r="BI66" s="180">
        <v>96734</v>
      </c>
      <c r="BJ66" s="180">
        <v>0</v>
      </c>
      <c r="BK66" s="180"/>
      <c r="BL66" s="180">
        <v>0</v>
      </c>
      <c r="BM66" s="180">
        <v>1495</v>
      </c>
      <c r="BN66" s="180">
        <v>0</v>
      </c>
      <c r="BO66" s="180">
        <v>241501</v>
      </c>
      <c r="BP66" s="180">
        <v>20590857</v>
      </c>
      <c r="BQ66" s="180">
        <v>0</v>
      </c>
      <c r="BR66" s="180"/>
      <c r="BS66" s="180">
        <v>657</v>
      </c>
      <c r="BT66" s="180"/>
      <c r="BU66" s="180">
        <v>0</v>
      </c>
      <c r="BV66" s="180">
        <v>139280</v>
      </c>
      <c r="BW66" s="180">
        <v>119811</v>
      </c>
      <c r="BX66" s="180">
        <v>1025434</v>
      </c>
      <c r="BY66" s="180">
        <v>1276</v>
      </c>
      <c r="BZ66" s="180">
        <v>4688</v>
      </c>
      <c r="CA66" s="180">
        <v>94772</v>
      </c>
      <c r="CB66" s="180">
        <v>4449</v>
      </c>
      <c r="CC66" s="180">
        <v>0</v>
      </c>
      <c r="CD66" s="180"/>
      <c r="CE66" s="180">
        <v>172880</v>
      </c>
      <c r="CF66" s="180">
        <v>0</v>
      </c>
      <c r="CG66" s="180">
        <v>0</v>
      </c>
      <c r="CH66" s="180">
        <v>0</v>
      </c>
      <c r="CI66" s="180"/>
      <c r="CJ66" s="180"/>
      <c r="CK66" s="180"/>
      <c r="CL66" s="180"/>
      <c r="CM66" s="180"/>
      <c r="CN66" s="180"/>
      <c r="CO66" s="180"/>
      <c r="CP66" s="180"/>
      <c r="CQ66" s="180"/>
      <c r="CR66" s="180"/>
      <c r="CS66" s="180"/>
      <c r="CT66" s="180"/>
      <c r="CU66" s="180"/>
    </row>
    <row r="67" spans="1:99" x14ac:dyDescent="0.3">
      <c r="A67" s="155">
        <v>351</v>
      </c>
      <c r="B67" s="180" t="s">
        <v>223</v>
      </c>
      <c r="C67" s="180"/>
      <c r="D67" s="180">
        <v>0</v>
      </c>
      <c r="E67" s="180">
        <v>0</v>
      </c>
      <c r="F67" s="180">
        <v>0</v>
      </c>
      <c r="G67" s="180">
        <v>0</v>
      </c>
      <c r="H67" s="180"/>
      <c r="I67" s="180">
        <v>50413</v>
      </c>
      <c r="J67" s="180">
        <v>0</v>
      </c>
      <c r="K67" s="180">
        <v>1021760</v>
      </c>
      <c r="L67" s="180">
        <v>0</v>
      </c>
      <c r="M67" s="180">
        <v>0</v>
      </c>
      <c r="N67" s="180">
        <v>91822</v>
      </c>
      <c r="O67" s="180">
        <v>7990185</v>
      </c>
      <c r="P67" s="180">
        <v>0</v>
      </c>
      <c r="Q67" s="180">
        <v>0</v>
      </c>
      <c r="R67" s="180">
        <v>0</v>
      </c>
      <c r="S67" s="180">
        <v>0</v>
      </c>
      <c r="T67" s="180">
        <v>0</v>
      </c>
      <c r="U67" s="180">
        <v>0</v>
      </c>
      <c r="V67" s="180">
        <v>0</v>
      </c>
      <c r="W67" s="180">
        <v>59905</v>
      </c>
      <c r="X67" s="180">
        <v>0</v>
      </c>
      <c r="Y67" s="180">
        <v>60544000</v>
      </c>
      <c r="Z67" s="180">
        <v>145200</v>
      </c>
      <c r="AA67" s="180">
        <v>0</v>
      </c>
      <c r="AB67" s="180">
        <v>0</v>
      </c>
      <c r="AC67" s="180"/>
      <c r="AD67" s="180">
        <v>764</v>
      </c>
      <c r="AE67" s="180">
        <v>0</v>
      </c>
      <c r="AF67" s="180">
        <v>616212</v>
      </c>
      <c r="AG67" s="180">
        <v>0</v>
      </c>
      <c r="AH67" s="180">
        <v>0</v>
      </c>
      <c r="AI67" s="180">
        <v>250866</v>
      </c>
      <c r="AJ67" s="180">
        <v>0</v>
      </c>
      <c r="AK67" s="180">
        <v>0</v>
      </c>
      <c r="AL67" s="180">
        <v>35260</v>
      </c>
      <c r="AM67" s="180"/>
      <c r="AN67" s="180">
        <v>63983</v>
      </c>
      <c r="AO67" s="180"/>
      <c r="AP67" s="180">
        <v>0</v>
      </c>
      <c r="AQ67" s="180">
        <v>712204</v>
      </c>
      <c r="AR67" s="180">
        <v>0</v>
      </c>
      <c r="AS67" s="180">
        <v>0</v>
      </c>
      <c r="AT67" s="180">
        <v>2270</v>
      </c>
      <c r="AU67" s="180">
        <v>0</v>
      </c>
      <c r="AV67" s="570">
        <v>0</v>
      </c>
      <c r="AW67" s="180">
        <v>0</v>
      </c>
      <c r="AX67" s="180">
        <v>0</v>
      </c>
      <c r="AY67" s="180">
        <v>0</v>
      </c>
      <c r="AZ67" s="180">
        <v>0</v>
      </c>
      <c r="BA67" s="180">
        <v>0</v>
      </c>
      <c r="BB67" s="180">
        <v>0</v>
      </c>
      <c r="BC67" s="180">
        <v>77990</v>
      </c>
      <c r="BD67" s="180">
        <v>0</v>
      </c>
      <c r="BE67" s="180">
        <v>0</v>
      </c>
      <c r="BF67" s="180">
        <v>34476</v>
      </c>
      <c r="BG67" s="180">
        <v>0</v>
      </c>
      <c r="BH67" s="180">
        <v>0</v>
      </c>
      <c r="BI67" s="180">
        <v>44376</v>
      </c>
      <c r="BJ67" s="180">
        <v>0</v>
      </c>
      <c r="BK67" s="180"/>
      <c r="BL67" s="180">
        <v>0</v>
      </c>
      <c r="BM67" s="180">
        <v>0</v>
      </c>
      <c r="BN67" s="180">
        <v>0</v>
      </c>
      <c r="BO67" s="180">
        <v>207213</v>
      </c>
      <c r="BP67" s="180">
        <v>7486854</v>
      </c>
      <c r="BQ67" s="180">
        <v>0</v>
      </c>
      <c r="BR67" s="180"/>
      <c r="BS67">
        <v>2699</v>
      </c>
      <c r="BT67" s="180"/>
      <c r="BU67" s="180">
        <v>0</v>
      </c>
      <c r="BV67" s="180">
        <v>49319</v>
      </c>
      <c r="BW67" s="180">
        <v>78541</v>
      </c>
      <c r="BX67" s="180">
        <v>20039</v>
      </c>
      <c r="BY67" s="180">
        <v>520158</v>
      </c>
      <c r="BZ67" s="180">
        <v>8873</v>
      </c>
      <c r="CA67" s="180">
        <v>44127</v>
      </c>
      <c r="CB67" s="180">
        <v>0</v>
      </c>
      <c r="CC67" s="180">
        <v>37659</v>
      </c>
      <c r="CD67" s="180"/>
      <c r="CE67" s="180">
        <v>497162</v>
      </c>
      <c r="CF67" s="180">
        <v>0</v>
      </c>
      <c r="CG67" s="180">
        <v>76850</v>
      </c>
      <c r="CH67" s="180">
        <v>0</v>
      </c>
      <c r="CI67" s="180"/>
      <c r="CJ67" s="180"/>
      <c r="CK67" s="180"/>
      <c r="CL67" s="180"/>
      <c r="CM67" s="180"/>
      <c r="CN67" s="180"/>
      <c r="CO67" s="180"/>
      <c r="CP67" s="180"/>
      <c r="CQ67" s="180"/>
      <c r="CR67" s="180"/>
      <c r="CS67" s="180"/>
      <c r="CT67" s="180"/>
      <c r="CU67" s="180"/>
    </row>
    <row r="68" spans="1:99" x14ac:dyDescent="0.3">
      <c r="A68" s="155">
        <v>352</v>
      </c>
      <c r="B68" s="180" t="s">
        <v>225</v>
      </c>
      <c r="C68" s="180"/>
      <c r="D68" s="180">
        <v>605267</v>
      </c>
      <c r="E68" s="180">
        <v>0</v>
      </c>
      <c r="F68" s="180">
        <v>0</v>
      </c>
      <c r="G68" s="180">
        <v>0</v>
      </c>
      <c r="H68" s="180"/>
      <c r="I68" s="180">
        <v>0</v>
      </c>
      <c r="J68" s="180">
        <v>0</v>
      </c>
      <c r="K68" s="180">
        <v>0</v>
      </c>
      <c r="L68" s="180">
        <v>0</v>
      </c>
      <c r="M68" s="180">
        <v>0</v>
      </c>
      <c r="N68" s="180">
        <v>0</v>
      </c>
      <c r="O68" s="180">
        <v>70000</v>
      </c>
      <c r="P68" s="180">
        <v>0</v>
      </c>
      <c r="Q68" s="180">
        <v>0</v>
      </c>
      <c r="R68" s="180">
        <v>0</v>
      </c>
      <c r="S68" s="180">
        <v>0</v>
      </c>
      <c r="T68" s="180">
        <v>0</v>
      </c>
      <c r="U68" s="180">
        <v>0</v>
      </c>
      <c r="V68" s="180">
        <v>29298</v>
      </c>
      <c r="W68" s="180">
        <v>0</v>
      </c>
      <c r="X68" s="180">
        <v>0</v>
      </c>
      <c r="Y68" s="180">
        <v>0</v>
      </c>
      <c r="Z68" s="180">
        <v>0</v>
      </c>
      <c r="AA68" s="180">
        <v>0</v>
      </c>
      <c r="AB68" s="180">
        <v>0</v>
      </c>
      <c r="AC68" s="180"/>
      <c r="AD68" s="180">
        <v>0</v>
      </c>
      <c r="AE68" s="180">
        <v>0</v>
      </c>
      <c r="AF68" s="180">
        <v>7649842</v>
      </c>
      <c r="AG68" s="180">
        <v>0</v>
      </c>
      <c r="AH68" s="180">
        <v>0</v>
      </c>
      <c r="AI68" s="180">
        <v>0</v>
      </c>
      <c r="AJ68" s="180">
        <v>0</v>
      </c>
      <c r="AK68" s="180">
        <v>665513</v>
      </c>
      <c r="AL68" s="180">
        <v>79855</v>
      </c>
      <c r="AM68" s="180"/>
      <c r="AN68" s="180">
        <v>0</v>
      </c>
      <c r="AO68" s="180"/>
      <c r="AP68" s="180">
        <v>0</v>
      </c>
      <c r="AQ68" s="180">
        <v>0</v>
      </c>
      <c r="AR68" s="180">
        <v>0</v>
      </c>
      <c r="AS68" s="180">
        <v>0</v>
      </c>
      <c r="AT68" s="180">
        <v>1360838</v>
      </c>
      <c r="AU68" s="180">
        <v>0</v>
      </c>
      <c r="AV68" s="180">
        <v>0</v>
      </c>
      <c r="AW68" s="180">
        <v>0</v>
      </c>
      <c r="AX68" s="180">
        <v>0</v>
      </c>
      <c r="AY68" s="180">
        <v>0</v>
      </c>
      <c r="AZ68" s="180">
        <v>0</v>
      </c>
      <c r="BA68" s="180">
        <v>0</v>
      </c>
      <c r="BB68" s="180">
        <v>19058</v>
      </c>
      <c r="BC68" s="180">
        <v>586000</v>
      </c>
      <c r="BD68" s="180">
        <v>0</v>
      </c>
      <c r="BE68" s="180">
        <v>0</v>
      </c>
      <c r="BF68" s="180">
        <v>0</v>
      </c>
      <c r="BG68" s="180">
        <v>0</v>
      </c>
      <c r="BH68" s="180">
        <v>0</v>
      </c>
      <c r="BI68" s="180">
        <v>350000</v>
      </c>
      <c r="BJ68" s="180">
        <v>0</v>
      </c>
      <c r="BK68" s="180"/>
      <c r="BL68" s="180">
        <v>0</v>
      </c>
      <c r="BM68" s="180">
        <v>0</v>
      </c>
      <c r="BN68" s="180">
        <v>0</v>
      </c>
      <c r="BO68" s="180">
        <v>2237716</v>
      </c>
      <c r="BP68" s="180">
        <v>0</v>
      </c>
      <c r="BQ68" s="180">
        <v>0</v>
      </c>
      <c r="BR68" s="180"/>
      <c r="BS68">
        <v>11368</v>
      </c>
      <c r="BT68" s="180"/>
      <c r="BU68" s="180">
        <v>0</v>
      </c>
      <c r="BV68" s="180">
        <v>501107</v>
      </c>
      <c r="BW68" s="180">
        <v>300000</v>
      </c>
      <c r="BX68" s="180">
        <v>0</v>
      </c>
      <c r="BY68" s="180">
        <v>0</v>
      </c>
      <c r="BZ68" s="180">
        <v>35375</v>
      </c>
      <c r="CA68" s="180">
        <v>0</v>
      </c>
      <c r="CB68" s="180">
        <v>0</v>
      </c>
      <c r="CC68" s="180">
        <v>0</v>
      </c>
      <c r="CD68" s="180"/>
      <c r="CE68" s="180">
        <v>0</v>
      </c>
      <c r="CF68" s="180">
        <v>0</v>
      </c>
      <c r="CG68" s="180">
        <v>0</v>
      </c>
      <c r="CH68" s="180">
        <v>0</v>
      </c>
      <c r="CI68" s="180"/>
      <c r="CJ68" s="180"/>
      <c r="CK68" s="180"/>
      <c r="CL68" s="180"/>
      <c r="CM68" s="180"/>
      <c r="CN68" s="180"/>
      <c r="CO68" s="180"/>
      <c r="CP68" s="180"/>
      <c r="CQ68" s="180"/>
      <c r="CR68" s="180"/>
      <c r="CS68" s="180"/>
      <c r="CT68" s="180"/>
      <c r="CU68" s="180"/>
    </row>
    <row r="69" spans="1:99" x14ac:dyDescent="0.3">
      <c r="A69" s="155">
        <v>353</v>
      </c>
      <c r="B69" s="180" t="s">
        <v>226</v>
      </c>
      <c r="C69" s="180"/>
      <c r="D69" s="180">
        <v>0</v>
      </c>
      <c r="E69" s="180">
        <v>0</v>
      </c>
      <c r="F69" s="180">
        <v>0</v>
      </c>
      <c r="G69" s="180">
        <v>0</v>
      </c>
      <c r="H69" s="180"/>
      <c r="I69" s="180">
        <v>0</v>
      </c>
      <c r="J69" s="180">
        <v>0</v>
      </c>
      <c r="K69" s="180">
        <v>750000</v>
      </c>
      <c r="L69" s="180">
        <v>0</v>
      </c>
      <c r="M69" s="180">
        <v>0</v>
      </c>
      <c r="N69" s="180">
        <v>0</v>
      </c>
      <c r="O69" s="180">
        <v>1000000</v>
      </c>
      <c r="P69" s="180">
        <v>0</v>
      </c>
      <c r="Q69" s="180">
        <v>0</v>
      </c>
      <c r="R69" s="180">
        <v>0</v>
      </c>
      <c r="S69" s="180">
        <v>0</v>
      </c>
      <c r="T69" s="180">
        <v>0</v>
      </c>
      <c r="U69" s="180">
        <v>0</v>
      </c>
      <c r="V69" s="180">
        <v>0</v>
      </c>
      <c r="W69" s="180">
        <v>0</v>
      </c>
      <c r="X69" s="180">
        <v>0</v>
      </c>
      <c r="Y69" s="180">
        <v>1712000</v>
      </c>
      <c r="Z69" s="180">
        <v>0</v>
      </c>
      <c r="AA69" s="180">
        <v>0</v>
      </c>
      <c r="AB69" s="180">
        <v>0</v>
      </c>
      <c r="AC69" s="180"/>
      <c r="AD69" s="180">
        <v>258000</v>
      </c>
      <c r="AE69" s="180">
        <v>0</v>
      </c>
      <c r="AF69" s="180">
        <v>0</v>
      </c>
      <c r="AG69" s="180">
        <v>0</v>
      </c>
      <c r="AH69" s="180">
        <v>0</v>
      </c>
      <c r="AI69" s="180">
        <v>0</v>
      </c>
      <c r="AJ69" s="180">
        <v>0</v>
      </c>
      <c r="AK69" s="180">
        <v>0</v>
      </c>
      <c r="AL69" s="180">
        <v>0</v>
      </c>
      <c r="AM69" s="180"/>
      <c r="AN69" s="180">
        <v>101</v>
      </c>
      <c r="AO69" s="180"/>
      <c r="AP69" s="180">
        <v>0</v>
      </c>
      <c r="AQ69" s="180">
        <v>0</v>
      </c>
      <c r="AR69" s="180">
        <v>0</v>
      </c>
      <c r="AS69" s="180">
        <v>0</v>
      </c>
      <c r="AT69" s="180">
        <v>0</v>
      </c>
      <c r="AU69" s="180">
        <v>0</v>
      </c>
      <c r="AV69" s="180">
        <v>0</v>
      </c>
      <c r="AW69" s="180">
        <v>0</v>
      </c>
      <c r="AX69" s="180">
        <v>0</v>
      </c>
      <c r="AY69" s="180">
        <v>0</v>
      </c>
      <c r="AZ69" s="180">
        <v>0</v>
      </c>
      <c r="BA69" s="180">
        <v>0</v>
      </c>
      <c r="BB69" s="180">
        <v>0</v>
      </c>
      <c r="BC69" s="180">
        <v>0</v>
      </c>
      <c r="BD69" s="180">
        <v>0</v>
      </c>
      <c r="BE69" s="180">
        <v>0</v>
      </c>
      <c r="BF69" s="180">
        <v>0</v>
      </c>
      <c r="BG69" s="180">
        <v>0</v>
      </c>
      <c r="BH69" s="180">
        <v>0</v>
      </c>
      <c r="BI69" s="180">
        <v>0</v>
      </c>
      <c r="BJ69" s="180">
        <v>0</v>
      </c>
      <c r="BK69" s="180"/>
      <c r="BL69" s="180">
        <v>0</v>
      </c>
      <c r="BM69" s="180">
        <v>0</v>
      </c>
      <c r="BN69" s="180">
        <v>0</v>
      </c>
      <c r="BO69" s="180">
        <v>0</v>
      </c>
      <c r="BP69" s="180">
        <v>0</v>
      </c>
      <c r="BQ69" s="180">
        <v>0</v>
      </c>
      <c r="BR69" s="180"/>
      <c r="BS69">
        <v>0</v>
      </c>
      <c r="BT69" s="180"/>
      <c r="BU69" s="180">
        <v>0</v>
      </c>
      <c r="BV69" s="180">
        <v>0</v>
      </c>
      <c r="BW69" s="180">
        <v>0</v>
      </c>
      <c r="BX69" s="180">
        <v>0</v>
      </c>
      <c r="BY69" s="180">
        <v>0</v>
      </c>
      <c r="BZ69" s="180">
        <v>0</v>
      </c>
      <c r="CA69" s="180">
        <v>0</v>
      </c>
      <c r="CB69" s="180">
        <v>0</v>
      </c>
      <c r="CC69" s="180">
        <v>0</v>
      </c>
      <c r="CD69" s="180"/>
      <c r="CE69" s="180">
        <v>0</v>
      </c>
      <c r="CF69" s="180">
        <v>0</v>
      </c>
      <c r="CG69" s="180">
        <v>0</v>
      </c>
      <c r="CH69" s="180">
        <v>0</v>
      </c>
      <c r="CI69" s="180"/>
      <c r="CJ69" s="180"/>
      <c r="CK69" s="180"/>
      <c r="CL69" s="180"/>
      <c r="CM69" s="180"/>
      <c r="CN69" s="180"/>
      <c r="CO69" s="180"/>
      <c r="CP69" s="180"/>
      <c r="CQ69" s="180"/>
      <c r="CR69" s="180"/>
      <c r="CS69" s="180"/>
      <c r="CT69" s="180"/>
      <c r="CU69" s="180"/>
    </row>
    <row r="70" spans="1:99" x14ac:dyDescent="0.3">
      <c r="A70" s="155">
        <v>356</v>
      </c>
      <c r="B70" s="180" t="s">
        <v>305</v>
      </c>
      <c r="C70" s="180"/>
      <c r="D70" s="180">
        <v>0</v>
      </c>
      <c r="E70" s="180">
        <v>0</v>
      </c>
      <c r="F70" s="180">
        <v>0</v>
      </c>
      <c r="G70" s="180">
        <v>0</v>
      </c>
      <c r="H70" s="180"/>
      <c r="I70" s="180">
        <v>0</v>
      </c>
      <c r="J70" s="180">
        <v>0</v>
      </c>
      <c r="K70" s="180">
        <v>0</v>
      </c>
      <c r="L70" s="180">
        <v>0</v>
      </c>
      <c r="M70" s="180">
        <v>0</v>
      </c>
      <c r="N70" s="180">
        <v>0</v>
      </c>
      <c r="O70" s="180">
        <v>0</v>
      </c>
      <c r="P70" s="180">
        <v>0</v>
      </c>
      <c r="Q70" s="180">
        <v>0</v>
      </c>
      <c r="R70" s="180">
        <v>0</v>
      </c>
      <c r="S70" s="180">
        <v>0</v>
      </c>
      <c r="T70" s="180">
        <v>0</v>
      </c>
      <c r="U70" s="180">
        <v>0</v>
      </c>
      <c r="V70" s="180">
        <v>0</v>
      </c>
      <c r="W70" s="180">
        <v>0</v>
      </c>
      <c r="X70" s="180">
        <v>0</v>
      </c>
      <c r="Y70" s="180">
        <v>0</v>
      </c>
      <c r="Z70" s="180">
        <v>5180485</v>
      </c>
      <c r="AA70" s="180">
        <v>0</v>
      </c>
      <c r="AB70" s="180">
        <v>0</v>
      </c>
      <c r="AC70" s="180"/>
      <c r="AD70" s="180">
        <v>0</v>
      </c>
      <c r="AE70" s="180">
        <v>0</v>
      </c>
      <c r="AF70" s="180">
        <v>28000813</v>
      </c>
      <c r="AG70" s="180">
        <v>0</v>
      </c>
      <c r="AH70" s="180">
        <v>0</v>
      </c>
      <c r="AI70" s="180">
        <v>0</v>
      </c>
      <c r="AJ70" s="180">
        <v>0</v>
      </c>
      <c r="AK70" s="180">
        <v>0</v>
      </c>
      <c r="AL70" s="180">
        <v>0</v>
      </c>
      <c r="AM70" s="180"/>
      <c r="AN70" s="180">
        <v>0</v>
      </c>
      <c r="AO70" s="180"/>
      <c r="AP70" s="180">
        <v>0</v>
      </c>
      <c r="AQ70" s="180">
        <v>166465219</v>
      </c>
      <c r="AR70" s="180">
        <v>0</v>
      </c>
      <c r="AS70" s="180">
        <v>0</v>
      </c>
      <c r="AT70" s="180">
        <v>0</v>
      </c>
      <c r="AU70" s="180">
        <v>0</v>
      </c>
      <c r="AV70" s="180">
        <v>0</v>
      </c>
      <c r="AW70" s="180">
        <v>13040262</v>
      </c>
      <c r="AX70" s="180">
        <v>0</v>
      </c>
      <c r="AY70" s="180">
        <v>0</v>
      </c>
      <c r="AZ70" s="180">
        <v>0</v>
      </c>
      <c r="BA70" s="180">
        <v>0</v>
      </c>
      <c r="BB70" s="180">
        <v>0</v>
      </c>
      <c r="BC70" s="180">
        <v>11517964</v>
      </c>
      <c r="BD70" s="180">
        <v>0</v>
      </c>
      <c r="BE70" s="180">
        <v>0</v>
      </c>
      <c r="BF70" s="180">
        <v>0</v>
      </c>
      <c r="BG70" s="180">
        <v>0</v>
      </c>
      <c r="BH70" s="180">
        <v>0</v>
      </c>
      <c r="BI70" s="180">
        <v>0</v>
      </c>
      <c r="BJ70" s="180">
        <v>0</v>
      </c>
      <c r="BK70" s="180"/>
      <c r="BL70" s="180">
        <v>1510822</v>
      </c>
      <c r="BM70" s="180">
        <v>0</v>
      </c>
      <c r="BN70" s="180">
        <v>0</v>
      </c>
      <c r="BO70" s="180">
        <v>0</v>
      </c>
      <c r="BP70" s="180">
        <v>0</v>
      </c>
      <c r="BQ70" s="180">
        <v>0</v>
      </c>
      <c r="BR70" s="180"/>
      <c r="BS70">
        <v>0</v>
      </c>
      <c r="BT70" s="180"/>
      <c r="BU70" s="180">
        <v>0</v>
      </c>
      <c r="BV70" s="180">
        <v>0</v>
      </c>
      <c r="BW70" s="180">
        <v>12109921</v>
      </c>
      <c r="BX70" s="180">
        <v>52107097</v>
      </c>
      <c r="BY70" s="180">
        <v>0</v>
      </c>
      <c r="BZ70" s="180">
        <v>0</v>
      </c>
      <c r="CA70" s="180">
        <v>0</v>
      </c>
      <c r="CB70" s="180">
        <v>0</v>
      </c>
      <c r="CC70" s="180">
        <v>0</v>
      </c>
      <c r="CD70" s="180"/>
      <c r="CE70" s="180">
        <v>0</v>
      </c>
      <c r="CF70" s="180">
        <v>0</v>
      </c>
      <c r="CG70" s="180">
        <v>2981022</v>
      </c>
      <c r="CH70" s="180">
        <v>0</v>
      </c>
      <c r="CI70" s="180"/>
      <c r="CJ70" s="180"/>
      <c r="CK70" s="180"/>
      <c r="CL70" s="180"/>
      <c r="CM70" s="180"/>
      <c r="CN70" s="180"/>
      <c r="CO70" s="180"/>
      <c r="CP70" s="180"/>
      <c r="CQ70" s="180"/>
      <c r="CR70" s="180"/>
      <c r="CS70" s="180"/>
      <c r="CT70" s="180"/>
      <c r="CU70" s="180"/>
    </row>
    <row r="71" spans="1:99" x14ac:dyDescent="0.3">
      <c r="A71" s="155">
        <v>357</v>
      </c>
      <c r="B71" s="180" t="s">
        <v>306</v>
      </c>
      <c r="C71" s="180"/>
      <c r="D71" s="180">
        <v>0</v>
      </c>
      <c r="E71" s="180">
        <v>0</v>
      </c>
      <c r="F71" s="180">
        <v>0</v>
      </c>
      <c r="G71" s="180">
        <v>0</v>
      </c>
      <c r="H71" s="180"/>
      <c r="I71" s="180">
        <v>0</v>
      </c>
      <c r="J71" s="180">
        <v>0</v>
      </c>
      <c r="K71" s="180">
        <v>0</v>
      </c>
      <c r="L71" s="180">
        <v>0</v>
      </c>
      <c r="M71" s="180">
        <v>0</v>
      </c>
      <c r="N71" s="180">
        <v>0</v>
      </c>
      <c r="O71" s="180">
        <v>0</v>
      </c>
      <c r="P71" s="180">
        <v>0</v>
      </c>
      <c r="Q71" s="180">
        <v>0</v>
      </c>
      <c r="R71" s="180">
        <v>0</v>
      </c>
      <c r="S71" s="180">
        <v>0</v>
      </c>
      <c r="T71" s="180">
        <v>0</v>
      </c>
      <c r="U71" s="180">
        <v>0</v>
      </c>
      <c r="V71" s="180">
        <v>0</v>
      </c>
      <c r="W71" s="180">
        <v>0</v>
      </c>
      <c r="X71" s="180">
        <v>0</v>
      </c>
      <c r="Y71" s="180">
        <v>0</v>
      </c>
      <c r="Z71" s="180">
        <v>3470640</v>
      </c>
      <c r="AA71" s="180">
        <v>0</v>
      </c>
      <c r="AB71" s="180">
        <v>0</v>
      </c>
      <c r="AC71" s="180"/>
      <c r="AD71" s="180">
        <v>0</v>
      </c>
      <c r="AE71" s="180">
        <v>0</v>
      </c>
      <c r="AF71" s="180">
        <v>9551029</v>
      </c>
      <c r="AG71" s="180">
        <v>0</v>
      </c>
      <c r="AH71" s="180">
        <v>0</v>
      </c>
      <c r="AI71" s="180">
        <v>0</v>
      </c>
      <c r="AJ71" s="180">
        <v>0</v>
      </c>
      <c r="AK71" s="180">
        <v>0</v>
      </c>
      <c r="AL71" s="180">
        <v>0</v>
      </c>
      <c r="AM71" s="180"/>
      <c r="AN71" s="180">
        <v>0</v>
      </c>
      <c r="AO71" s="180"/>
      <c r="AP71" s="180">
        <v>0</v>
      </c>
      <c r="AQ71" s="180">
        <v>102476158</v>
      </c>
      <c r="AR71" s="180">
        <v>0</v>
      </c>
      <c r="AS71" s="180">
        <v>0</v>
      </c>
      <c r="AT71" s="180">
        <v>0</v>
      </c>
      <c r="AU71" s="180">
        <v>0</v>
      </c>
      <c r="AV71" s="180">
        <v>0</v>
      </c>
      <c r="AW71" s="180">
        <v>8502419</v>
      </c>
      <c r="AX71" s="180">
        <v>0</v>
      </c>
      <c r="AY71" s="180">
        <v>0</v>
      </c>
      <c r="AZ71" s="180">
        <v>0</v>
      </c>
      <c r="BA71" s="180">
        <v>0</v>
      </c>
      <c r="BB71" s="180">
        <v>0</v>
      </c>
      <c r="BC71" s="180">
        <v>6805575</v>
      </c>
      <c r="BD71" s="180">
        <v>0</v>
      </c>
      <c r="BE71" s="180">
        <v>0</v>
      </c>
      <c r="BF71" s="180">
        <v>0</v>
      </c>
      <c r="BG71" s="180">
        <v>0</v>
      </c>
      <c r="BH71" s="180">
        <v>0</v>
      </c>
      <c r="BI71" s="180">
        <v>0</v>
      </c>
      <c r="BJ71" s="180">
        <v>0</v>
      </c>
      <c r="BK71" s="180"/>
      <c r="BL71" s="180">
        <v>1334081</v>
      </c>
      <c r="BM71" s="180">
        <v>0</v>
      </c>
      <c r="BN71" s="180">
        <v>0</v>
      </c>
      <c r="BO71" s="180">
        <v>0</v>
      </c>
      <c r="BP71" s="180">
        <v>0</v>
      </c>
      <c r="BQ71" s="180">
        <v>0</v>
      </c>
      <c r="BR71" s="180"/>
      <c r="BS71">
        <v>0</v>
      </c>
      <c r="BT71" s="180"/>
      <c r="BU71" s="180">
        <v>0</v>
      </c>
      <c r="BV71" s="180">
        <v>0</v>
      </c>
      <c r="BW71" s="180">
        <v>8844150</v>
      </c>
      <c r="BX71" s="180">
        <v>35386772</v>
      </c>
      <c r="BY71" s="180">
        <v>0</v>
      </c>
      <c r="BZ71" s="180">
        <v>0</v>
      </c>
      <c r="CA71" s="180">
        <v>0</v>
      </c>
      <c r="CB71" s="180">
        <v>0</v>
      </c>
      <c r="CC71" s="180">
        <v>0</v>
      </c>
      <c r="CD71" s="180"/>
      <c r="CE71" s="180">
        <v>0</v>
      </c>
      <c r="CF71" s="180">
        <v>0</v>
      </c>
      <c r="CG71" s="180">
        <v>2830267</v>
      </c>
      <c r="CH71" s="180">
        <v>0</v>
      </c>
      <c r="CI71" s="180"/>
      <c r="CJ71" s="180"/>
      <c r="CK71" s="180"/>
      <c r="CL71" s="180"/>
      <c r="CM71" s="180"/>
      <c r="CN71" s="180"/>
      <c r="CO71" s="180"/>
      <c r="CP71" s="180"/>
      <c r="CQ71" s="180"/>
      <c r="CR71" s="180"/>
      <c r="CS71" s="180"/>
      <c r="CT71" s="180"/>
      <c r="CU71" s="180"/>
    </row>
    <row r="72" spans="1:99" x14ac:dyDescent="0.3">
      <c r="A72" s="155">
        <v>359</v>
      </c>
      <c r="B72" s="180" t="s">
        <v>247</v>
      </c>
      <c r="C72" s="180"/>
      <c r="D72" s="180">
        <v>0</v>
      </c>
      <c r="E72" s="180">
        <v>0</v>
      </c>
      <c r="F72" s="180">
        <v>0</v>
      </c>
      <c r="G72" s="180">
        <v>0</v>
      </c>
      <c r="H72" s="180"/>
      <c r="I72" s="180">
        <v>0</v>
      </c>
      <c r="J72" s="180">
        <v>0</v>
      </c>
      <c r="K72" s="180">
        <v>0</v>
      </c>
      <c r="L72" s="180">
        <v>0</v>
      </c>
      <c r="M72" s="180">
        <v>0</v>
      </c>
      <c r="N72" s="180">
        <v>0</v>
      </c>
      <c r="O72" s="180">
        <v>0</v>
      </c>
      <c r="P72" s="180">
        <v>0</v>
      </c>
      <c r="Q72" s="180">
        <v>0</v>
      </c>
      <c r="R72" s="180">
        <v>0</v>
      </c>
      <c r="S72" s="180">
        <v>0</v>
      </c>
      <c r="T72" s="180">
        <v>0</v>
      </c>
      <c r="U72" s="180">
        <v>0</v>
      </c>
      <c r="V72" s="180">
        <v>0</v>
      </c>
      <c r="W72" s="180">
        <v>0</v>
      </c>
      <c r="X72" s="180">
        <v>0</v>
      </c>
      <c r="Y72" s="180">
        <v>0</v>
      </c>
      <c r="Z72" s="180">
        <v>0</v>
      </c>
      <c r="AA72" s="180">
        <v>0</v>
      </c>
      <c r="AB72" s="180">
        <v>0</v>
      </c>
      <c r="AC72" s="180"/>
      <c r="AD72" s="180">
        <v>0</v>
      </c>
      <c r="AE72" s="180">
        <v>0</v>
      </c>
      <c r="AF72" s="180">
        <v>4605072</v>
      </c>
      <c r="AG72" s="180">
        <v>0</v>
      </c>
      <c r="AH72" s="180">
        <v>0</v>
      </c>
      <c r="AI72" s="180">
        <v>0</v>
      </c>
      <c r="AJ72" s="180">
        <v>0</v>
      </c>
      <c r="AK72" s="180">
        <v>0</v>
      </c>
      <c r="AL72" s="180">
        <v>0</v>
      </c>
      <c r="AM72" s="180"/>
      <c r="AN72" s="180">
        <v>0</v>
      </c>
      <c r="AO72" s="180"/>
      <c r="AP72" s="180">
        <v>0</v>
      </c>
      <c r="AQ72" s="180">
        <v>8725916</v>
      </c>
      <c r="AR72" s="180">
        <v>0</v>
      </c>
      <c r="AS72" s="180">
        <v>0</v>
      </c>
      <c r="AT72" s="180">
        <v>0</v>
      </c>
      <c r="AU72" s="180">
        <v>0</v>
      </c>
      <c r="AV72" s="180">
        <v>0</v>
      </c>
      <c r="AW72" s="180">
        <v>151000</v>
      </c>
      <c r="AX72" s="180">
        <v>0</v>
      </c>
      <c r="AY72" s="180">
        <v>0</v>
      </c>
      <c r="AZ72" s="180">
        <v>0</v>
      </c>
      <c r="BA72" s="180">
        <v>0</v>
      </c>
      <c r="BB72" s="180">
        <v>0</v>
      </c>
      <c r="BC72" s="180">
        <v>74823</v>
      </c>
      <c r="BD72" s="180">
        <v>0</v>
      </c>
      <c r="BE72" s="180">
        <v>0</v>
      </c>
      <c r="BF72" s="180">
        <v>0</v>
      </c>
      <c r="BG72" s="180">
        <v>0</v>
      </c>
      <c r="BH72" s="180">
        <v>0</v>
      </c>
      <c r="BI72" s="180">
        <v>0</v>
      </c>
      <c r="BJ72" s="180">
        <v>0</v>
      </c>
      <c r="BK72" s="180"/>
      <c r="BL72" s="180">
        <v>0</v>
      </c>
      <c r="BM72" s="180">
        <v>0</v>
      </c>
      <c r="BN72" s="180">
        <v>3248716</v>
      </c>
      <c r="BO72" s="180">
        <v>0</v>
      </c>
      <c r="BP72" s="180">
        <v>0</v>
      </c>
      <c r="BQ72" s="180">
        <v>0</v>
      </c>
      <c r="BR72" s="180"/>
      <c r="BS72">
        <v>0</v>
      </c>
      <c r="BT72" s="180"/>
      <c r="BU72" s="180">
        <v>0</v>
      </c>
      <c r="BV72" s="180">
        <v>0</v>
      </c>
      <c r="BW72" s="180">
        <v>85278</v>
      </c>
      <c r="BX72" s="180">
        <v>962622</v>
      </c>
      <c r="BY72" s="180">
        <v>0</v>
      </c>
      <c r="BZ72" s="180">
        <v>0</v>
      </c>
      <c r="CA72" s="180">
        <v>0</v>
      </c>
      <c r="CB72" s="180">
        <v>0</v>
      </c>
      <c r="CC72" s="180">
        <v>0</v>
      </c>
      <c r="CD72" s="180"/>
      <c r="CE72" s="180">
        <v>0</v>
      </c>
      <c r="CF72" s="180">
        <v>0</v>
      </c>
      <c r="CG72" s="180">
        <v>0</v>
      </c>
      <c r="CH72" s="180">
        <v>0</v>
      </c>
      <c r="CI72" s="180"/>
      <c r="CJ72" s="180"/>
      <c r="CK72" s="180"/>
      <c r="CL72" s="180"/>
      <c r="CM72" s="180"/>
      <c r="CN72" s="180"/>
      <c r="CO72" s="180"/>
      <c r="CP72" s="180"/>
      <c r="CQ72" s="180"/>
      <c r="CR72" s="180"/>
      <c r="CS72" s="180"/>
      <c r="CT72" s="180"/>
      <c r="CU72" s="180"/>
    </row>
    <row r="73" spans="1:99" x14ac:dyDescent="0.3">
      <c r="A73" s="155">
        <v>360</v>
      </c>
      <c r="B73" s="180" t="s">
        <v>117</v>
      </c>
      <c r="C73" s="180"/>
      <c r="D73" s="180">
        <v>0</v>
      </c>
      <c r="E73" s="180">
        <v>0</v>
      </c>
      <c r="F73" s="180">
        <v>0</v>
      </c>
      <c r="G73" s="180">
        <v>0</v>
      </c>
      <c r="H73" s="180"/>
      <c r="I73" s="180">
        <v>0</v>
      </c>
      <c r="J73" s="180">
        <v>0</v>
      </c>
      <c r="K73" s="180">
        <v>0</v>
      </c>
      <c r="L73" s="180">
        <v>0</v>
      </c>
      <c r="M73" s="180">
        <v>0</v>
      </c>
      <c r="N73" s="180">
        <v>0</v>
      </c>
      <c r="O73" s="180">
        <v>0</v>
      </c>
      <c r="P73" s="180">
        <v>0</v>
      </c>
      <c r="Q73" s="180">
        <v>0</v>
      </c>
      <c r="R73" s="180">
        <v>0</v>
      </c>
      <c r="S73" s="180">
        <v>0</v>
      </c>
      <c r="T73" s="180">
        <v>0</v>
      </c>
      <c r="U73" s="180">
        <v>0</v>
      </c>
      <c r="V73" s="180">
        <v>0</v>
      </c>
      <c r="W73" s="180">
        <v>0</v>
      </c>
      <c r="X73" s="180">
        <v>0</v>
      </c>
      <c r="Y73" s="180">
        <v>0</v>
      </c>
      <c r="Z73" s="180">
        <v>1327417</v>
      </c>
      <c r="AA73" s="180">
        <v>0</v>
      </c>
      <c r="AB73" s="180">
        <v>0</v>
      </c>
      <c r="AC73" s="180"/>
      <c r="AD73" s="180">
        <v>0</v>
      </c>
      <c r="AE73" s="180">
        <v>0</v>
      </c>
      <c r="AF73" s="180">
        <v>7745511</v>
      </c>
      <c r="AG73" s="180">
        <v>0</v>
      </c>
      <c r="AH73" s="180">
        <v>0</v>
      </c>
      <c r="AI73" s="180">
        <v>0</v>
      </c>
      <c r="AJ73" s="180">
        <v>0</v>
      </c>
      <c r="AK73" s="180">
        <v>0</v>
      </c>
      <c r="AL73" s="180">
        <v>0</v>
      </c>
      <c r="AM73" s="180"/>
      <c r="AN73" s="180">
        <v>0</v>
      </c>
      <c r="AO73" s="180"/>
      <c r="AP73" s="180">
        <v>0</v>
      </c>
      <c r="AQ73" s="180">
        <v>21612992</v>
      </c>
      <c r="AR73" s="180">
        <v>0</v>
      </c>
      <c r="AS73" s="180">
        <v>0</v>
      </c>
      <c r="AT73" s="180">
        <v>0</v>
      </c>
      <c r="AU73" s="180">
        <v>0</v>
      </c>
      <c r="AV73" s="180">
        <v>0</v>
      </c>
      <c r="AW73" s="180">
        <v>1265665</v>
      </c>
      <c r="AX73" s="180">
        <v>0</v>
      </c>
      <c r="AY73" s="180">
        <v>0</v>
      </c>
      <c r="AZ73" s="180">
        <v>0</v>
      </c>
      <c r="BA73" s="180">
        <v>0</v>
      </c>
      <c r="BB73" s="180">
        <v>0</v>
      </c>
      <c r="BC73" s="180">
        <v>2019865</v>
      </c>
      <c r="BD73" s="180">
        <v>0</v>
      </c>
      <c r="BE73" s="180">
        <v>0</v>
      </c>
      <c r="BF73" s="180">
        <v>0</v>
      </c>
      <c r="BG73" s="180">
        <v>0</v>
      </c>
      <c r="BH73" s="180">
        <v>0</v>
      </c>
      <c r="BI73" s="180">
        <v>0</v>
      </c>
      <c r="BJ73" s="180">
        <v>0</v>
      </c>
      <c r="BK73" s="180"/>
      <c r="BL73" s="180">
        <v>402128</v>
      </c>
      <c r="BM73" s="180">
        <v>0</v>
      </c>
      <c r="BN73" s="180">
        <v>0</v>
      </c>
      <c r="BO73" s="180">
        <v>0</v>
      </c>
      <c r="BP73" s="180">
        <v>0</v>
      </c>
      <c r="BQ73" s="180">
        <v>0</v>
      </c>
      <c r="BR73" s="180"/>
      <c r="BS73" s="180">
        <v>0</v>
      </c>
      <c r="BT73" s="180"/>
      <c r="BU73" s="180">
        <v>0</v>
      </c>
      <c r="BV73" s="180">
        <v>0</v>
      </c>
      <c r="BW73" s="180">
        <v>2187621</v>
      </c>
      <c r="BX73" s="180">
        <v>8777924</v>
      </c>
      <c r="BY73" s="180">
        <v>0</v>
      </c>
      <c r="BZ73" s="180">
        <v>0</v>
      </c>
      <c r="CA73" s="180">
        <v>0</v>
      </c>
      <c r="CB73" s="180">
        <v>0</v>
      </c>
      <c r="CC73" s="180">
        <v>0</v>
      </c>
      <c r="CD73" s="180"/>
      <c r="CE73" s="180">
        <v>0</v>
      </c>
      <c r="CF73" s="180">
        <v>0</v>
      </c>
      <c r="CG73" s="180">
        <v>891558</v>
      </c>
      <c r="CH73" s="180">
        <v>0</v>
      </c>
      <c r="CI73" s="180"/>
      <c r="CJ73" s="180"/>
      <c r="CK73" s="180"/>
      <c r="CL73" s="180"/>
      <c r="CM73" s="180"/>
      <c r="CN73" s="180"/>
      <c r="CO73" s="180"/>
      <c r="CP73" s="180"/>
      <c r="CQ73" s="180"/>
      <c r="CR73" s="180"/>
      <c r="CS73" s="180"/>
      <c r="CT73" s="180"/>
      <c r="CU73" s="180"/>
    </row>
    <row r="74" spans="1:99" x14ac:dyDescent="0.3">
      <c r="A74" s="155">
        <v>361</v>
      </c>
      <c r="B74" s="180" t="s">
        <v>98</v>
      </c>
      <c r="C74" s="180"/>
      <c r="D74" s="180">
        <v>0</v>
      </c>
      <c r="E74" s="180">
        <v>0</v>
      </c>
      <c r="F74" s="180">
        <v>0</v>
      </c>
      <c r="G74" s="180">
        <v>0</v>
      </c>
      <c r="H74" s="180"/>
      <c r="I74" s="180">
        <v>0</v>
      </c>
      <c r="J74" s="180">
        <v>0</v>
      </c>
      <c r="K74" s="180">
        <v>0</v>
      </c>
      <c r="L74" s="180">
        <v>0</v>
      </c>
      <c r="M74" s="180">
        <v>0</v>
      </c>
      <c r="N74" s="180">
        <v>0</v>
      </c>
      <c r="O74" s="180">
        <v>0</v>
      </c>
      <c r="P74" s="180">
        <v>0</v>
      </c>
      <c r="Q74" s="180">
        <v>0</v>
      </c>
      <c r="R74" s="180">
        <v>0</v>
      </c>
      <c r="S74" s="180">
        <v>0</v>
      </c>
      <c r="T74" s="180">
        <v>0</v>
      </c>
      <c r="U74" s="180">
        <v>0</v>
      </c>
      <c r="V74" s="180">
        <v>0</v>
      </c>
      <c r="W74" s="180">
        <v>0</v>
      </c>
      <c r="X74" s="180">
        <v>0</v>
      </c>
      <c r="Y74" s="180">
        <v>0</v>
      </c>
      <c r="Z74" s="180">
        <v>4370739</v>
      </c>
      <c r="AA74" s="180">
        <v>0</v>
      </c>
      <c r="AB74" s="180">
        <v>0</v>
      </c>
      <c r="AC74" s="180"/>
      <c r="AD74" s="180">
        <v>0</v>
      </c>
      <c r="AE74" s="180">
        <v>0</v>
      </c>
      <c r="AF74" s="180">
        <v>5226664</v>
      </c>
      <c r="AG74" s="180">
        <v>0</v>
      </c>
      <c r="AH74" s="180">
        <v>0</v>
      </c>
      <c r="AI74" s="180">
        <v>0</v>
      </c>
      <c r="AJ74" s="180">
        <v>0</v>
      </c>
      <c r="AK74" s="180">
        <v>0</v>
      </c>
      <c r="AL74" s="180">
        <v>0</v>
      </c>
      <c r="AM74" s="180"/>
      <c r="AN74" s="180">
        <v>0</v>
      </c>
      <c r="AO74" s="180"/>
      <c r="AP74" s="180">
        <v>0</v>
      </c>
      <c r="AQ74" s="180">
        <v>94264548</v>
      </c>
      <c r="AR74" s="180">
        <v>0</v>
      </c>
      <c r="AS74" s="180">
        <v>0</v>
      </c>
      <c r="AT74" s="180">
        <v>0</v>
      </c>
      <c r="AU74" s="180">
        <v>0</v>
      </c>
      <c r="AV74" s="180">
        <v>0</v>
      </c>
      <c r="AW74" s="180">
        <v>5929764</v>
      </c>
      <c r="AX74" s="180">
        <v>0</v>
      </c>
      <c r="AY74" s="180">
        <v>0</v>
      </c>
      <c r="AZ74" s="180">
        <v>0</v>
      </c>
      <c r="BA74" s="180">
        <v>0</v>
      </c>
      <c r="BB74" s="180">
        <v>0</v>
      </c>
      <c r="BC74" s="180">
        <v>4325798</v>
      </c>
      <c r="BD74" s="180">
        <v>0</v>
      </c>
      <c r="BE74" s="180">
        <v>0</v>
      </c>
      <c r="BF74" s="180">
        <v>0</v>
      </c>
      <c r="BG74" s="180">
        <v>0</v>
      </c>
      <c r="BH74" s="180">
        <v>0</v>
      </c>
      <c r="BI74" s="180">
        <v>0</v>
      </c>
      <c r="BJ74" s="180">
        <v>0</v>
      </c>
      <c r="BK74" s="180"/>
      <c r="BL74" s="180">
        <v>4158199</v>
      </c>
      <c r="BM74" s="180">
        <v>0</v>
      </c>
      <c r="BN74" s="180">
        <v>0</v>
      </c>
      <c r="BO74" s="180">
        <v>0</v>
      </c>
      <c r="BP74" s="180">
        <v>0</v>
      </c>
      <c r="BQ74" s="180">
        <v>0</v>
      </c>
      <c r="BR74" s="180"/>
      <c r="BS74" s="180">
        <v>0</v>
      </c>
      <c r="BT74" s="180"/>
      <c r="BU74" s="180">
        <v>0</v>
      </c>
      <c r="BV74" s="180">
        <v>0</v>
      </c>
      <c r="BW74" s="180">
        <v>505117</v>
      </c>
      <c r="BX74" s="180">
        <v>8037729</v>
      </c>
      <c r="BY74" s="180">
        <v>0</v>
      </c>
      <c r="BZ74" s="180">
        <v>0</v>
      </c>
      <c r="CA74" s="180">
        <v>0</v>
      </c>
      <c r="CB74" s="180">
        <v>0</v>
      </c>
      <c r="CC74" s="180">
        <v>0</v>
      </c>
      <c r="CD74" s="180"/>
      <c r="CE74" s="180">
        <v>0</v>
      </c>
      <c r="CF74" s="180">
        <v>0</v>
      </c>
      <c r="CG74" s="180">
        <v>7578087</v>
      </c>
      <c r="CH74" s="180">
        <v>0</v>
      </c>
      <c r="CI74" s="180"/>
      <c r="CJ74" s="180"/>
      <c r="CK74" s="180"/>
      <c r="CL74" s="180"/>
      <c r="CM74" s="180"/>
      <c r="CN74" s="180"/>
      <c r="CO74" s="180"/>
      <c r="CP74" s="180"/>
      <c r="CQ74" s="180"/>
      <c r="CR74" s="180"/>
      <c r="CS74" s="180"/>
      <c r="CT74" s="180"/>
      <c r="CU74" s="180"/>
    </row>
    <row r="75" spans="1:99" x14ac:dyDescent="0.3">
      <c r="A75" s="155">
        <v>362</v>
      </c>
      <c r="B75" s="180" t="s">
        <v>99</v>
      </c>
      <c r="C75" s="180"/>
      <c r="D75" s="180">
        <v>0</v>
      </c>
      <c r="E75" s="180">
        <v>0</v>
      </c>
      <c r="F75" s="180">
        <v>0</v>
      </c>
      <c r="G75" s="180">
        <v>0</v>
      </c>
      <c r="H75" s="180"/>
      <c r="I75" s="180">
        <v>0</v>
      </c>
      <c r="J75" s="180">
        <v>0</v>
      </c>
      <c r="K75" s="180">
        <v>0</v>
      </c>
      <c r="L75" s="180">
        <v>0</v>
      </c>
      <c r="M75" s="180">
        <v>0</v>
      </c>
      <c r="N75" s="180">
        <v>0</v>
      </c>
      <c r="O75" s="180">
        <v>0</v>
      </c>
      <c r="P75" s="180">
        <v>0</v>
      </c>
      <c r="Q75" s="180">
        <v>0</v>
      </c>
      <c r="R75" s="180">
        <v>0</v>
      </c>
      <c r="S75" s="180">
        <v>0</v>
      </c>
      <c r="T75" s="180">
        <v>0</v>
      </c>
      <c r="U75" s="180">
        <v>0</v>
      </c>
      <c r="V75" s="180">
        <v>0</v>
      </c>
      <c r="W75" s="180">
        <v>0</v>
      </c>
      <c r="X75" s="180">
        <v>0</v>
      </c>
      <c r="Y75" s="180">
        <v>0</v>
      </c>
      <c r="Z75" s="180">
        <v>6119532</v>
      </c>
      <c r="AA75" s="180">
        <v>0</v>
      </c>
      <c r="AB75" s="180">
        <v>0</v>
      </c>
      <c r="AC75" s="180"/>
      <c r="AD75" s="180">
        <v>0</v>
      </c>
      <c r="AE75" s="180">
        <v>0</v>
      </c>
      <c r="AF75" s="180">
        <v>19091376</v>
      </c>
      <c r="AG75" s="180">
        <v>0</v>
      </c>
      <c r="AH75" s="180">
        <v>0</v>
      </c>
      <c r="AI75" s="180">
        <v>0</v>
      </c>
      <c r="AJ75" s="180">
        <v>0</v>
      </c>
      <c r="AK75" s="180">
        <v>0</v>
      </c>
      <c r="AL75" s="180">
        <v>0</v>
      </c>
      <c r="AM75" s="180"/>
      <c r="AN75" s="180">
        <v>0</v>
      </c>
      <c r="AO75" s="180"/>
      <c r="AP75" s="180">
        <v>0</v>
      </c>
      <c r="AQ75" s="180">
        <v>207491453</v>
      </c>
      <c r="AR75" s="180">
        <v>0</v>
      </c>
      <c r="AS75" s="180">
        <v>0</v>
      </c>
      <c r="AT75" s="180">
        <v>0</v>
      </c>
      <c r="AU75" s="180">
        <v>0</v>
      </c>
      <c r="AV75" s="180">
        <v>0</v>
      </c>
      <c r="AW75" s="180">
        <v>10584246</v>
      </c>
      <c r="AX75" s="180">
        <v>0</v>
      </c>
      <c r="AY75" s="180">
        <v>0</v>
      </c>
      <c r="AZ75" s="180">
        <v>0</v>
      </c>
      <c r="BA75" s="180">
        <v>0</v>
      </c>
      <c r="BB75" s="180">
        <v>0</v>
      </c>
      <c r="BC75" s="180">
        <v>9035172</v>
      </c>
      <c r="BD75" s="180">
        <v>0</v>
      </c>
      <c r="BE75" s="180">
        <v>0</v>
      </c>
      <c r="BF75" s="180">
        <v>0</v>
      </c>
      <c r="BG75" s="180">
        <v>0</v>
      </c>
      <c r="BH75" s="180">
        <v>0</v>
      </c>
      <c r="BI75" s="180">
        <v>0</v>
      </c>
      <c r="BJ75" s="180">
        <v>0</v>
      </c>
      <c r="BK75" s="180"/>
      <c r="BL75" s="180">
        <v>4334940</v>
      </c>
      <c r="BM75" s="180">
        <v>0</v>
      </c>
      <c r="BN75" s="180">
        <v>0</v>
      </c>
      <c r="BO75" s="180">
        <v>0</v>
      </c>
      <c r="BP75" s="180">
        <v>0</v>
      </c>
      <c r="BQ75" s="180">
        <v>0</v>
      </c>
      <c r="BR75" s="180"/>
      <c r="BS75" s="180">
        <v>0</v>
      </c>
      <c r="BT75" s="180"/>
      <c r="BU75" s="180">
        <v>0</v>
      </c>
      <c r="BV75" s="180">
        <v>0</v>
      </c>
      <c r="BW75" s="180">
        <v>3769757</v>
      </c>
      <c r="BX75" s="180">
        <v>26122451</v>
      </c>
      <c r="BY75" s="180">
        <v>0</v>
      </c>
      <c r="BZ75" s="180">
        <v>0</v>
      </c>
      <c r="CA75" s="180">
        <v>0</v>
      </c>
      <c r="CB75" s="180">
        <v>0</v>
      </c>
      <c r="CC75" s="180">
        <v>0</v>
      </c>
      <c r="CD75" s="180"/>
      <c r="CE75" s="180">
        <v>0</v>
      </c>
      <c r="CF75" s="180">
        <v>0</v>
      </c>
      <c r="CG75" s="180">
        <v>7737642</v>
      </c>
      <c r="CH75" s="180">
        <v>0</v>
      </c>
      <c r="CI75" s="180"/>
      <c r="CJ75" s="180"/>
      <c r="CK75" s="180"/>
      <c r="CL75" s="180"/>
      <c r="CM75" s="180"/>
      <c r="CN75" s="180"/>
      <c r="CO75" s="180"/>
      <c r="CP75" s="180"/>
      <c r="CQ75" s="180"/>
      <c r="CR75" s="180"/>
      <c r="CS75" s="180"/>
      <c r="CT75" s="180"/>
      <c r="CU75" s="180"/>
    </row>
    <row r="76" spans="1:99" x14ac:dyDescent="0.3">
      <c r="A76" s="155">
        <v>363</v>
      </c>
      <c r="B76" s="180" t="s">
        <v>233</v>
      </c>
      <c r="C76" s="180"/>
      <c r="D76" s="180">
        <v>0</v>
      </c>
      <c r="E76" s="180">
        <v>0</v>
      </c>
      <c r="F76" s="180">
        <v>0</v>
      </c>
      <c r="G76" s="180">
        <v>0</v>
      </c>
      <c r="H76" s="180"/>
      <c r="I76" s="180">
        <v>0</v>
      </c>
      <c r="J76" s="180">
        <v>0</v>
      </c>
      <c r="K76" s="180">
        <v>0</v>
      </c>
      <c r="L76" s="180">
        <v>0</v>
      </c>
      <c r="M76" s="180">
        <v>0</v>
      </c>
      <c r="N76" s="180">
        <v>0</v>
      </c>
      <c r="O76" s="180">
        <v>0</v>
      </c>
      <c r="P76" s="180">
        <v>0</v>
      </c>
      <c r="Q76" s="180">
        <v>0</v>
      </c>
      <c r="R76" s="180">
        <v>0</v>
      </c>
      <c r="S76" s="180">
        <v>0</v>
      </c>
      <c r="T76" s="180">
        <v>0</v>
      </c>
      <c r="U76" s="180">
        <v>0</v>
      </c>
      <c r="V76" s="180">
        <v>0</v>
      </c>
      <c r="W76" s="180">
        <v>0</v>
      </c>
      <c r="X76" s="180">
        <v>0</v>
      </c>
      <c r="Y76" s="180">
        <v>0</v>
      </c>
      <c r="Z76" s="180">
        <v>21013</v>
      </c>
      <c r="AA76" s="180">
        <v>0</v>
      </c>
      <c r="AB76" s="180">
        <v>0</v>
      </c>
      <c r="AC76" s="180"/>
      <c r="AD76" s="180">
        <v>0</v>
      </c>
      <c r="AE76" s="180">
        <v>0</v>
      </c>
      <c r="AF76" s="180">
        <v>337622</v>
      </c>
      <c r="AG76" s="180">
        <v>0</v>
      </c>
      <c r="AH76" s="180">
        <v>0</v>
      </c>
      <c r="AI76" s="180">
        <v>0</v>
      </c>
      <c r="AJ76" s="180">
        <v>0</v>
      </c>
      <c r="AK76" s="180">
        <v>0</v>
      </c>
      <c r="AL76" s="180">
        <v>0</v>
      </c>
      <c r="AM76" s="180"/>
      <c r="AN76" s="180">
        <v>0</v>
      </c>
      <c r="AO76" s="180"/>
      <c r="AP76" s="180">
        <v>0</v>
      </c>
      <c r="AQ76" s="180">
        <v>831909</v>
      </c>
      <c r="AR76" s="180">
        <v>0</v>
      </c>
      <c r="AS76" s="180">
        <v>0</v>
      </c>
      <c r="AT76" s="180">
        <v>0</v>
      </c>
      <c r="AU76" s="180">
        <v>0</v>
      </c>
      <c r="AV76" s="180">
        <v>0</v>
      </c>
      <c r="AW76" s="180">
        <v>174328</v>
      </c>
      <c r="AX76" s="180">
        <v>0</v>
      </c>
      <c r="AY76" s="180">
        <v>0</v>
      </c>
      <c r="AZ76" s="180">
        <v>0</v>
      </c>
      <c r="BA76" s="180">
        <v>0</v>
      </c>
      <c r="BB76" s="180">
        <v>0</v>
      </c>
      <c r="BC76" s="180">
        <v>136932</v>
      </c>
      <c r="BD76" s="180">
        <v>0</v>
      </c>
      <c r="BE76" s="180">
        <v>0</v>
      </c>
      <c r="BF76" s="180">
        <v>0</v>
      </c>
      <c r="BG76" s="180">
        <v>0</v>
      </c>
      <c r="BH76" s="180">
        <v>0</v>
      </c>
      <c r="BI76" s="180">
        <v>0</v>
      </c>
      <c r="BJ76" s="180">
        <v>0</v>
      </c>
      <c r="BK76" s="180"/>
      <c r="BL76" s="180">
        <v>0</v>
      </c>
      <c r="BM76" s="180">
        <v>0</v>
      </c>
      <c r="BN76" s="180">
        <v>0</v>
      </c>
      <c r="BO76" s="180">
        <v>0</v>
      </c>
      <c r="BP76" s="180">
        <v>0</v>
      </c>
      <c r="BQ76" s="180">
        <v>0</v>
      </c>
      <c r="BR76" s="180"/>
      <c r="BS76" s="180">
        <v>0</v>
      </c>
      <c r="BT76" s="180"/>
      <c r="BU76" s="180">
        <v>0</v>
      </c>
      <c r="BV76" s="180">
        <v>0</v>
      </c>
      <c r="BW76" s="180">
        <v>4235</v>
      </c>
      <c r="BX76" s="180">
        <v>338770</v>
      </c>
      <c r="BY76" s="180">
        <v>0</v>
      </c>
      <c r="BZ76" s="180">
        <v>0</v>
      </c>
      <c r="CA76" s="180">
        <v>0</v>
      </c>
      <c r="CB76" s="180">
        <v>0</v>
      </c>
      <c r="CC76" s="180">
        <v>0</v>
      </c>
      <c r="CD76" s="180"/>
      <c r="CE76" s="180">
        <v>0</v>
      </c>
      <c r="CF76" s="180">
        <v>0</v>
      </c>
      <c r="CG76" s="180">
        <v>17562</v>
      </c>
      <c r="CH76" s="180">
        <v>0</v>
      </c>
      <c r="CI76" s="180"/>
      <c r="CJ76" s="180"/>
      <c r="CK76" s="180"/>
      <c r="CL76" s="180"/>
      <c r="CM76" s="180"/>
      <c r="CN76" s="180"/>
      <c r="CO76" s="180"/>
      <c r="CP76" s="180"/>
      <c r="CQ76" s="180"/>
      <c r="CR76" s="180"/>
      <c r="CS76" s="180"/>
      <c r="CT76" s="180"/>
      <c r="CU76" s="180"/>
    </row>
    <row r="77" spans="1:99" x14ac:dyDescent="0.3">
      <c r="A77" s="155">
        <v>364</v>
      </c>
      <c r="B77" s="180" t="s">
        <v>234</v>
      </c>
      <c r="C77" s="180"/>
      <c r="D77" s="180">
        <v>0</v>
      </c>
      <c r="E77" s="180">
        <v>0</v>
      </c>
      <c r="F77" s="180">
        <v>0</v>
      </c>
      <c r="G77" s="180">
        <v>0</v>
      </c>
      <c r="H77" s="180"/>
      <c r="I77" s="180">
        <v>0</v>
      </c>
      <c r="J77" s="180">
        <v>0</v>
      </c>
      <c r="K77" s="180">
        <v>0</v>
      </c>
      <c r="L77" s="180">
        <v>0</v>
      </c>
      <c r="M77" s="180">
        <v>0</v>
      </c>
      <c r="N77" s="180">
        <v>0</v>
      </c>
      <c r="O77" s="180">
        <v>0</v>
      </c>
      <c r="P77" s="180">
        <v>0</v>
      </c>
      <c r="Q77" s="180">
        <v>0</v>
      </c>
      <c r="R77" s="180">
        <v>0</v>
      </c>
      <c r="S77" s="180">
        <v>0</v>
      </c>
      <c r="T77" s="180">
        <v>0</v>
      </c>
      <c r="U77" s="180">
        <v>0</v>
      </c>
      <c r="V77" s="180">
        <v>0</v>
      </c>
      <c r="W77" s="180">
        <v>0</v>
      </c>
      <c r="X77" s="180">
        <v>0</v>
      </c>
      <c r="Y77" s="180">
        <v>0</v>
      </c>
      <c r="Z77" s="180">
        <v>0</v>
      </c>
      <c r="AA77" s="180">
        <v>0</v>
      </c>
      <c r="AB77" s="180">
        <v>0</v>
      </c>
      <c r="AC77" s="180"/>
      <c r="AD77" s="180">
        <v>0</v>
      </c>
      <c r="AE77" s="180">
        <v>0</v>
      </c>
      <c r="AF77" s="180">
        <v>110068</v>
      </c>
      <c r="AG77" s="180">
        <v>0</v>
      </c>
      <c r="AH77" s="180">
        <v>0</v>
      </c>
      <c r="AI77" s="180">
        <v>0</v>
      </c>
      <c r="AJ77" s="180">
        <v>0</v>
      </c>
      <c r="AK77" s="180">
        <v>0</v>
      </c>
      <c r="AL77" s="180">
        <v>0</v>
      </c>
      <c r="AM77" s="180"/>
      <c r="AN77" s="180">
        <v>0</v>
      </c>
      <c r="AO77" s="180"/>
      <c r="AP77" s="180">
        <v>0</v>
      </c>
      <c r="AQ77" s="180">
        <v>352150</v>
      </c>
      <c r="AR77" s="180">
        <v>0</v>
      </c>
      <c r="AS77" s="180">
        <v>0</v>
      </c>
      <c r="AT77" s="180">
        <v>0</v>
      </c>
      <c r="AU77" s="180">
        <v>0</v>
      </c>
      <c r="AV77" s="180">
        <v>0</v>
      </c>
      <c r="AW77" s="180">
        <v>1699</v>
      </c>
      <c r="AX77" s="180">
        <v>0</v>
      </c>
      <c r="AY77" s="180">
        <v>0</v>
      </c>
      <c r="AZ77" s="180">
        <v>0</v>
      </c>
      <c r="BA77" s="180">
        <v>0</v>
      </c>
      <c r="BB77" s="180">
        <v>0</v>
      </c>
      <c r="BC77" s="180">
        <v>923</v>
      </c>
      <c r="BD77" s="180">
        <v>0</v>
      </c>
      <c r="BE77" s="180">
        <v>0</v>
      </c>
      <c r="BF77" s="180">
        <v>0</v>
      </c>
      <c r="BG77" s="180">
        <v>0</v>
      </c>
      <c r="BH77" s="180">
        <v>0</v>
      </c>
      <c r="BI77" s="180">
        <v>0</v>
      </c>
      <c r="BJ77" s="180">
        <v>0</v>
      </c>
      <c r="BK77" s="180"/>
      <c r="BL77" s="180">
        <v>0</v>
      </c>
      <c r="BM77" s="180">
        <v>0</v>
      </c>
      <c r="BN77" s="180">
        <v>0</v>
      </c>
      <c r="BO77" s="180">
        <v>0</v>
      </c>
      <c r="BP77" s="180">
        <v>0</v>
      </c>
      <c r="BQ77" s="180">
        <v>0</v>
      </c>
      <c r="BR77" s="180"/>
      <c r="BS77" s="180">
        <v>0</v>
      </c>
      <c r="BT77" s="180"/>
      <c r="BU77" s="180">
        <v>0</v>
      </c>
      <c r="BV77" s="180">
        <v>0</v>
      </c>
      <c r="BW77" s="180">
        <v>3415</v>
      </c>
      <c r="BX77" s="180">
        <v>34963</v>
      </c>
      <c r="BY77" s="180">
        <v>0</v>
      </c>
      <c r="BZ77" s="180">
        <v>0</v>
      </c>
      <c r="CA77" s="180">
        <v>0</v>
      </c>
      <c r="CB77" s="180">
        <v>0</v>
      </c>
      <c r="CC77" s="180">
        <v>0</v>
      </c>
      <c r="CD77" s="180"/>
      <c r="CE77" s="180">
        <v>0</v>
      </c>
      <c r="CF77" s="180">
        <v>0</v>
      </c>
      <c r="CG77" s="180">
        <v>0</v>
      </c>
      <c r="CH77" s="180">
        <v>0</v>
      </c>
      <c r="CI77" s="180"/>
      <c r="CJ77" s="180"/>
      <c r="CK77" s="180"/>
      <c r="CL77" s="180"/>
      <c r="CM77" s="180"/>
      <c r="CN77" s="180"/>
      <c r="CO77" s="180"/>
      <c r="CP77" s="180"/>
      <c r="CQ77" s="180"/>
      <c r="CR77" s="180"/>
      <c r="CS77" s="180"/>
      <c r="CT77" s="180"/>
      <c r="CU77" s="180"/>
    </row>
    <row r="78" spans="1:99" x14ac:dyDescent="0.3">
      <c r="A78" s="155">
        <v>365</v>
      </c>
      <c r="B78" s="180" t="s">
        <v>236</v>
      </c>
      <c r="C78" s="180"/>
      <c r="D78" s="180">
        <v>0</v>
      </c>
      <c r="E78" s="180">
        <v>0</v>
      </c>
      <c r="F78" s="180">
        <v>0</v>
      </c>
      <c r="G78" s="180">
        <v>0</v>
      </c>
      <c r="H78" s="180"/>
      <c r="I78" s="180">
        <v>0</v>
      </c>
      <c r="J78" s="180">
        <v>0</v>
      </c>
      <c r="K78" s="180">
        <v>0</v>
      </c>
      <c r="L78" s="180">
        <v>0</v>
      </c>
      <c r="M78" s="180">
        <v>0</v>
      </c>
      <c r="N78" s="180">
        <v>0</v>
      </c>
      <c r="O78" s="180">
        <v>0</v>
      </c>
      <c r="P78" s="180">
        <v>0</v>
      </c>
      <c r="Q78" s="180">
        <v>0</v>
      </c>
      <c r="R78" s="180">
        <v>0</v>
      </c>
      <c r="S78" s="180">
        <v>0</v>
      </c>
      <c r="T78" s="180">
        <v>0</v>
      </c>
      <c r="U78" s="180">
        <v>0</v>
      </c>
      <c r="V78" s="180">
        <v>0</v>
      </c>
      <c r="W78" s="180">
        <v>0</v>
      </c>
      <c r="X78" s="180">
        <v>0</v>
      </c>
      <c r="Y78" s="180">
        <v>0</v>
      </c>
      <c r="Z78" s="180">
        <v>0</v>
      </c>
      <c r="AA78" s="180">
        <v>0</v>
      </c>
      <c r="AB78" s="180">
        <v>0</v>
      </c>
      <c r="AC78" s="180"/>
      <c r="AD78" s="180">
        <v>0</v>
      </c>
      <c r="AE78" s="180">
        <v>0</v>
      </c>
      <c r="AF78" s="180">
        <v>0</v>
      </c>
      <c r="AG78" s="180">
        <v>0</v>
      </c>
      <c r="AH78" s="180">
        <v>0</v>
      </c>
      <c r="AI78" s="180">
        <v>0</v>
      </c>
      <c r="AJ78" s="180">
        <v>0</v>
      </c>
      <c r="AK78" s="180">
        <v>0</v>
      </c>
      <c r="AL78" s="180">
        <v>0</v>
      </c>
      <c r="AM78" s="180"/>
      <c r="AN78" s="180">
        <v>0</v>
      </c>
      <c r="AO78" s="180"/>
      <c r="AP78" s="180">
        <v>0</v>
      </c>
      <c r="AQ78" s="180">
        <v>0</v>
      </c>
      <c r="AR78" s="180">
        <v>0</v>
      </c>
      <c r="AS78" s="180">
        <v>0</v>
      </c>
      <c r="AT78" s="180">
        <v>0</v>
      </c>
      <c r="AU78" s="180">
        <v>0</v>
      </c>
      <c r="AV78" s="180">
        <v>0</v>
      </c>
      <c r="AW78" s="180">
        <v>0</v>
      </c>
      <c r="AX78" s="180">
        <v>0</v>
      </c>
      <c r="AY78" s="180">
        <v>0</v>
      </c>
      <c r="AZ78" s="180">
        <v>0</v>
      </c>
      <c r="BA78" s="180">
        <v>0</v>
      </c>
      <c r="BB78" s="180">
        <v>0</v>
      </c>
      <c r="BC78" s="180">
        <v>0</v>
      </c>
      <c r="BD78" s="180">
        <v>0</v>
      </c>
      <c r="BE78" s="180">
        <v>0</v>
      </c>
      <c r="BF78" s="180">
        <v>0</v>
      </c>
      <c r="BG78" s="180">
        <v>0</v>
      </c>
      <c r="BH78" s="180">
        <v>0</v>
      </c>
      <c r="BI78" s="180">
        <v>0</v>
      </c>
      <c r="BJ78" s="180">
        <v>0</v>
      </c>
      <c r="BK78" s="180"/>
      <c r="BL78" s="180">
        <v>0</v>
      </c>
      <c r="BM78" s="180">
        <v>0</v>
      </c>
      <c r="BN78" s="180">
        <v>0</v>
      </c>
      <c r="BO78" s="180">
        <v>0</v>
      </c>
      <c r="BP78" s="180">
        <v>0</v>
      </c>
      <c r="BQ78" s="180">
        <v>0</v>
      </c>
      <c r="BR78" s="180"/>
      <c r="BS78" s="180">
        <v>0</v>
      </c>
      <c r="BT78" s="180"/>
      <c r="BU78" s="180">
        <v>0</v>
      </c>
      <c r="BV78" s="180">
        <v>0</v>
      </c>
      <c r="BW78" s="180">
        <v>0</v>
      </c>
      <c r="BX78" s="180">
        <v>0</v>
      </c>
      <c r="BY78" s="180">
        <v>0</v>
      </c>
      <c r="BZ78" s="180">
        <v>0</v>
      </c>
      <c r="CA78" s="180">
        <v>0</v>
      </c>
      <c r="CB78" s="180">
        <v>0</v>
      </c>
      <c r="CC78" s="180">
        <v>0</v>
      </c>
      <c r="CD78" s="180"/>
      <c r="CE78" s="180">
        <v>0</v>
      </c>
      <c r="CF78" s="180">
        <v>0</v>
      </c>
      <c r="CG78" s="180">
        <v>0</v>
      </c>
      <c r="CH78" s="180">
        <v>0</v>
      </c>
      <c r="CI78" s="180"/>
      <c r="CJ78" s="180"/>
      <c r="CK78" s="180"/>
      <c r="CL78" s="180"/>
      <c r="CM78" s="180"/>
      <c r="CN78" s="180"/>
      <c r="CO78" s="180"/>
      <c r="CP78" s="180"/>
      <c r="CQ78" s="180"/>
      <c r="CR78" s="180"/>
      <c r="CS78" s="180"/>
      <c r="CT78" s="180"/>
      <c r="CU78" s="180"/>
    </row>
    <row r="79" spans="1:99" x14ac:dyDescent="0.3">
      <c r="A79" s="155">
        <v>366</v>
      </c>
      <c r="B79" s="180" t="s">
        <v>885</v>
      </c>
      <c r="C79" s="180"/>
      <c r="D79" s="180">
        <v>0</v>
      </c>
      <c r="E79" s="180">
        <v>0</v>
      </c>
      <c r="F79" s="180">
        <v>0</v>
      </c>
      <c r="G79" s="180">
        <v>0</v>
      </c>
      <c r="H79" s="180"/>
      <c r="I79" s="180">
        <v>0</v>
      </c>
      <c r="J79" s="180">
        <v>0</v>
      </c>
      <c r="K79" s="180">
        <v>0</v>
      </c>
      <c r="L79" s="180">
        <v>0</v>
      </c>
      <c r="M79" s="180">
        <v>0</v>
      </c>
      <c r="N79" s="180">
        <v>0</v>
      </c>
      <c r="O79" s="180">
        <v>0</v>
      </c>
      <c r="P79" s="180">
        <v>0</v>
      </c>
      <c r="Q79" s="180">
        <v>0</v>
      </c>
      <c r="R79" s="180">
        <v>0</v>
      </c>
      <c r="S79" s="180">
        <v>0</v>
      </c>
      <c r="T79" s="180">
        <v>0</v>
      </c>
      <c r="U79" s="180">
        <v>0</v>
      </c>
      <c r="V79" s="180">
        <v>0</v>
      </c>
      <c r="W79" s="180">
        <v>0</v>
      </c>
      <c r="X79" s="180">
        <v>0</v>
      </c>
      <c r="Y79" s="180">
        <v>0</v>
      </c>
      <c r="Z79" s="180">
        <v>0</v>
      </c>
      <c r="AA79" s="180">
        <v>0</v>
      </c>
      <c r="AB79" s="180">
        <v>0</v>
      </c>
      <c r="AC79" s="180"/>
      <c r="AD79" s="180">
        <v>0</v>
      </c>
      <c r="AE79" s="180">
        <v>0</v>
      </c>
      <c r="AF79" s="180">
        <v>0</v>
      </c>
      <c r="AG79" s="180">
        <v>0</v>
      </c>
      <c r="AH79" s="180">
        <v>0</v>
      </c>
      <c r="AI79" s="180">
        <v>0</v>
      </c>
      <c r="AJ79" s="180">
        <v>0</v>
      </c>
      <c r="AK79" s="180">
        <v>0</v>
      </c>
      <c r="AL79" s="180">
        <v>0</v>
      </c>
      <c r="AM79" s="180"/>
      <c r="AN79" s="180">
        <v>0</v>
      </c>
      <c r="AO79" s="180"/>
      <c r="AP79" s="180">
        <v>0</v>
      </c>
      <c r="AQ79" s="180">
        <v>650377</v>
      </c>
      <c r="AR79" s="180">
        <v>0</v>
      </c>
      <c r="AS79" s="180">
        <v>0</v>
      </c>
      <c r="AT79" s="180">
        <v>0</v>
      </c>
      <c r="AU79" s="180">
        <v>0</v>
      </c>
      <c r="AV79" s="180">
        <v>0</v>
      </c>
      <c r="AW79" s="180">
        <v>0</v>
      </c>
      <c r="AX79" s="180">
        <v>0</v>
      </c>
      <c r="AY79" s="180">
        <v>0</v>
      </c>
      <c r="AZ79" s="180">
        <v>0</v>
      </c>
      <c r="BA79" s="180">
        <v>0</v>
      </c>
      <c r="BB79" s="180">
        <v>0</v>
      </c>
      <c r="BC79" s="180">
        <v>735733</v>
      </c>
      <c r="BD79" s="180">
        <v>0</v>
      </c>
      <c r="BE79" s="180">
        <v>0</v>
      </c>
      <c r="BF79" s="180">
        <v>0</v>
      </c>
      <c r="BG79" s="180">
        <v>0</v>
      </c>
      <c r="BH79" s="180">
        <v>0</v>
      </c>
      <c r="BI79" s="180">
        <v>0</v>
      </c>
      <c r="BJ79" s="180">
        <v>0</v>
      </c>
      <c r="BK79" s="180"/>
      <c r="BL79" s="180">
        <v>0</v>
      </c>
      <c r="BM79" s="180">
        <v>0</v>
      </c>
      <c r="BN79" s="180">
        <v>0</v>
      </c>
      <c r="BO79" s="180">
        <v>0</v>
      </c>
      <c r="BP79" s="180">
        <v>0</v>
      </c>
      <c r="BQ79" s="180">
        <v>0</v>
      </c>
      <c r="BR79" s="180"/>
      <c r="BS79" s="180">
        <v>0</v>
      </c>
      <c r="BT79" s="180"/>
      <c r="BU79" s="180">
        <v>0</v>
      </c>
      <c r="BV79" s="180">
        <v>0</v>
      </c>
      <c r="BW79" s="180">
        <v>349953</v>
      </c>
      <c r="BX79" s="180">
        <v>925000</v>
      </c>
      <c r="BY79" s="180">
        <v>0</v>
      </c>
      <c r="BZ79" s="180">
        <v>0</v>
      </c>
      <c r="CA79" s="180">
        <v>0</v>
      </c>
      <c r="CB79" s="180">
        <v>0</v>
      </c>
      <c r="CC79" s="180">
        <v>0</v>
      </c>
      <c r="CD79" s="180"/>
      <c r="CE79" s="180">
        <v>0</v>
      </c>
      <c r="CF79" s="180">
        <v>0</v>
      </c>
      <c r="CG79" s="180">
        <v>0</v>
      </c>
      <c r="CH79" s="180">
        <v>0</v>
      </c>
      <c r="CI79" s="180"/>
      <c r="CJ79" s="180"/>
      <c r="CK79" s="180"/>
      <c r="CL79" s="180"/>
      <c r="CM79" s="180"/>
      <c r="CN79" s="180"/>
      <c r="CO79" s="180"/>
      <c r="CP79" s="180"/>
      <c r="CQ79" s="180"/>
      <c r="CR79" s="180"/>
      <c r="CS79" s="180"/>
      <c r="CT79" s="180"/>
      <c r="CU79" s="180"/>
    </row>
    <row r="80" spans="1:99" x14ac:dyDescent="0.3">
      <c r="A80" s="155">
        <v>368</v>
      </c>
      <c r="B80" s="180" t="s">
        <v>191</v>
      </c>
      <c r="C80" s="180"/>
      <c r="D80" s="180">
        <v>0</v>
      </c>
      <c r="E80" s="180">
        <v>353177</v>
      </c>
      <c r="F80" s="180">
        <v>0</v>
      </c>
      <c r="G80" s="180">
        <v>0</v>
      </c>
      <c r="H80" s="180"/>
      <c r="I80" s="180">
        <v>0</v>
      </c>
      <c r="J80" s="180">
        <v>0</v>
      </c>
      <c r="K80" s="180">
        <v>0</v>
      </c>
      <c r="L80" s="180">
        <v>0</v>
      </c>
      <c r="M80" s="180">
        <v>42070</v>
      </c>
      <c r="N80" s="180">
        <v>0</v>
      </c>
      <c r="O80" s="180">
        <v>0</v>
      </c>
      <c r="P80" s="180">
        <v>0</v>
      </c>
      <c r="Q80" s="180">
        <v>0</v>
      </c>
      <c r="R80" s="180">
        <v>268679</v>
      </c>
      <c r="S80" s="180">
        <v>975</v>
      </c>
      <c r="T80" s="180">
        <v>0</v>
      </c>
      <c r="U80" s="180">
        <v>0</v>
      </c>
      <c r="V80" s="180">
        <v>0</v>
      </c>
      <c r="W80" s="180">
        <v>0</v>
      </c>
      <c r="X80" s="180">
        <v>883476</v>
      </c>
      <c r="Y80" s="180">
        <v>0</v>
      </c>
      <c r="Z80" s="180">
        <v>0</v>
      </c>
      <c r="AA80" s="180">
        <v>0</v>
      </c>
      <c r="AB80" s="180">
        <v>199903</v>
      </c>
      <c r="AC80" s="180"/>
      <c r="AD80" s="180">
        <v>0</v>
      </c>
      <c r="AE80" s="180">
        <v>0</v>
      </c>
      <c r="AF80" s="180">
        <v>0</v>
      </c>
      <c r="AG80" s="180">
        <v>308</v>
      </c>
      <c r="AH80" s="180">
        <v>3948</v>
      </c>
      <c r="AI80" s="180">
        <v>0</v>
      </c>
      <c r="AJ80" s="180">
        <v>0</v>
      </c>
      <c r="AK80" s="180">
        <v>0</v>
      </c>
      <c r="AL80" s="180">
        <v>0</v>
      </c>
      <c r="AM80" s="180"/>
      <c r="AN80" s="180">
        <v>0</v>
      </c>
      <c r="AO80" s="180"/>
      <c r="AP80" s="180">
        <v>0</v>
      </c>
      <c r="AQ80" s="180">
        <v>4249073</v>
      </c>
      <c r="AR80" s="180">
        <v>0</v>
      </c>
      <c r="AS80" s="180">
        <v>0</v>
      </c>
      <c r="AT80" s="180">
        <v>0</v>
      </c>
      <c r="AU80" s="180">
        <v>0</v>
      </c>
      <c r="AV80" s="570">
        <v>0</v>
      </c>
      <c r="AW80" s="180">
        <v>0</v>
      </c>
      <c r="AX80" s="180">
        <v>0</v>
      </c>
      <c r="AY80" s="180">
        <v>0</v>
      </c>
      <c r="AZ80" s="180">
        <v>0</v>
      </c>
      <c r="BA80" s="180">
        <v>0</v>
      </c>
      <c r="BB80" s="180">
        <v>0</v>
      </c>
      <c r="BC80" s="180">
        <v>0</v>
      </c>
      <c r="BD80" s="180">
        <v>0</v>
      </c>
      <c r="BE80" s="180">
        <v>0</v>
      </c>
      <c r="BF80" s="180">
        <v>0</v>
      </c>
      <c r="BG80" s="180">
        <v>0</v>
      </c>
      <c r="BH80" s="180">
        <v>0</v>
      </c>
      <c r="BI80" s="180">
        <v>0</v>
      </c>
      <c r="BJ80" s="180">
        <v>0</v>
      </c>
      <c r="BK80" s="180"/>
      <c r="BL80" s="180">
        <v>0</v>
      </c>
      <c r="BM80" s="180">
        <v>0</v>
      </c>
      <c r="BN80" s="180">
        <v>1538919</v>
      </c>
      <c r="BO80" s="180">
        <v>0</v>
      </c>
      <c r="BP80" s="180">
        <v>0</v>
      </c>
      <c r="BQ80" s="180">
        <v>0</v>
      </c>
      <c r="BR80" s="180"/>
      <c r="BS80" s="180">
        <v>0</v>
      </c>
      <c r="BT80" s="180"/>
      <c r="BU80" s="180">
        <v>0</v>
      </c>
      <c r="BV80" s="180">
        <v>0</v>
      </c>
      <c r="BW80" s="180">
        <v>0</v>
      </c>
      <c r="BX80" s="180">
        <v>0</v>
      </c>
      <c r="BY80" s="180">
        <v>0</v>
      </c>
      <c r="BZ80" s="180">
        <v>0</v>
      </c>
      <c r="CA80" s="180">
        <v>0</v>
      </c>
      <c r="CB80" s="180">
        <v>0</v>
      </c>
      <c r="CC80" s="180">
        <v>0</v>
      </c>
      <c r="CD80" s="180"/>
      <c r="CE80" s="180">
        <v>0</v>
      </c>
      <c r="CF80" s="180">
        <v>0</v>
      </c>
      <c r="CG80" s="180">
        <v>0</v>
      </c>
      <c r="CH80" s="180">
        <v>0</v>
      </c>
      <c r="CI80" s="180"/>
      <c r="CJ80" s="180"/>
      <c r="CK80" s="180"/>
      <c r="CL80" s="180"/>
      <c r="CM80" s="180"/>
      <c r="CN80" s="180"/>
      <c r="CO80" s="180"/>
      <c r="CP80" s="180"/>
      <c r="CQ80" s="180"/>
      <c r="CR80" s="180"/>
      <c r="CS80" s="180"/>
      <c r="CT80" s="180"/>
      <c r="CU80" s="180"/>
    </row>
    <row r="81" spans="1:99" s="559" customFormat="1" x14ac:dyDescent="0.3">
      <c r="A81" s="558">
        <v>369</v>
      </c>
      <c r="B81" s="559" t="s">
        <v>196</v>
      </c>
      <c r="D81" s="559">
        <v>631168</v>
      </c>
      <c r="E81" s="559">
        <v>1204420</v>
      </c>
      <c r="F81" s="559">
        <v>216763</v>
      </c>
      <c r="G81" s="559">
        <v>121099</v>
      </c>
      <c r="I81" s="559">
        <v>4134112</v>
      </c>
      <c r="J81" s="559">
        <v>1639244</v>
      </c>
      <c r="K81" s="559">
        <v>5764717</v>
      </c>
      <c r="L81" s="559">
        <v>3332631</v>
      </c>
      <c r="M81" s="559">
        <v>2242368</v>
      </c>
      <c r="N81" s="559">
        <v>302182</v>
      </c>
      <c r="O81" s="559">
        <v>12235168</v>
      </c>
      <c r="P81" s="559">
        <v>27924</v>
      </c>
      <c r="Q81" s="559">
        <v>111753</v>
      </c>
      <c r="R81" s="559">
        <v>323396</v>
      </c>
      <c r="S81" s="559">
        <v>389764</v>
      </c>
      <c r="T81" s="559">
        <v>776116</v>
      </c>
      <c r="U81" s="559">
        <v>173956</v>
      </c>
      <c r="V81" s="559">
        <v>182545</v>
      </c>
      <c r="W81" s="559">
        <v>822648</v>
      </c>
      <c r="X81" s="559">
        <v>8845756</v>
      </c>
      <c r="Y81" s="559">
        <v>113572000</v>
      </c>
      <c r="Z81" s="559">
        <v>1886376</v>
      </c>
      <c r="AA81" s="559">
        <v>96118</v>
      </c>
      <c r="AB81" s="559">
        <v>2485655</v>
      </c>
      <c r="AD81" s="559">
        <v>1069093</v>
      </c>
      <c r="AE81" s="559">
        <v>386681</v>
      </c>
      <c r="AF81" s="559">
        <v>14240610</v>
      </c>
      <c r="AG81" s="559">
        <v>4149659</v>
      </c>
      <c r="AH81" s="559">
        <v>525513</v>
      </c>
      <c r="AI81" s="559">
        <v>5935998</v>
      </c>
      <c r="AJ81" s="559">
        <v>1050469</v>
      </c>
      <c r="AK81" s="559">
        <v>687340</v>
      </c>
      <c r="AL81" s="559">
        <v>150547</v>
      </c>
      <c r="AN81" s="559">
        <v>213237</v>
      </c>
      <c r="AP81" s="559">
        <v>16489</v>
      </c>
      <c r="AQ81" s="559">
        <v>12465383</v>
      </c>
      <c r="AR81" s="559">
        <v>83527</v>
      </c>
      <c r="AS81" s="559">
        <v>702660</v>
      </c>
      <c r="AT81" s="559">
        <v>4838270</v>
      </c>
      <c r="AU81" s="559">
        <v>383235</v>
      </c>
      <c r="AV81" s="785">
        <v>241390</v>
      </c>
      <c r="AW81" s="559">
        <v>12042717</v>
      </c>
      <c r="AX81" s="559">
        <v>171396</v>
      </c>
      <c r="AY81" s="559">
        <v>2496919</v>
      </c>
      <c r="AZ81" s="559">
        <v>555757</v>
      </c>
      <c r="BA81" s="559">
        <v>88007</v>
      </c>
      <c r="BB81" s="559">
        <v>183078</v>
      </c>
      <c r="BC81" s="559">
        <v>1215734</v>
      </c>
      <c r="BD81" s="559">
        <v>52271</v>
      </c>
      <c r="BE81" s="559">
        <v>6554907</v>
      </c>
      <c r="BF81" s="559">
        <v>364502</v>
      </c>
      <c r="BG81" s="559">
        <v>36002</v>
      </c>
      <c r="BH81" s="559">
        <v>216650</v>
      </c>
      <c r="BI81" s="559">
        <v>1139336</v>
      </c>
      <c r="BJ81" s="559">
        <v>405090</v>
      </c>
      <c r="BL81" s="559">
        <v>1982085</v>
      </c>
      <c r="BM81" s="559">
        <v>133652</v>
      </c>
      <c r="BN81" s="559">
        <v>2842675</v>
      </c>
      <c r="BO81" s="559">
        <v>5633874</v>
      </c>
      <c r="BP81" s="559">
        <v>20208240</v>
      </c>
      <c r="BQ81" s="559">
        <v>32028</v>
      </c>
      <c r="BS81" s="559">
        <v>224760</v>
      </c>
      <c r="BU81" s="559">
        <v>1368005</v>
      </c>
      <c r="BV81" s="559">
        <v>3179838</v>
      </c>
      <c r="BW81" s="559">
        <v>2370291</v>
      </c>
      <c r="BX81" s="559">
        <v>11938643</v>
      </c>
      <c r="BY81" s="559">
        <v>1521055</v>
      </c>
      <c r="BZ81" s="559">
        <v>386357</v>
      </c>
      <c r="CA81" s="559">
        <v>3991957</v>
      </c>
      <c r="CB81" s="559">
        <v>96445</v>
      </c>
      <c r="CC81" s="559">
        <v>412592</v>
      </c>
      <c r="CE81" s="559">
        <v>1193055</v>
      </c>
      <c r="CF81" s="559">
        <v>3849617</v>
      </c>
      <c r="CG81" s="559">
        <v>642821</v>
      </c>
      <c r="CH81" s="559">
        <v>1435751</v>
      </c>
    </row>
    <row r="82" spans="1:99" s="559" customFormat="1" x14ac:dyDescent="0.3">
      <c r="A82" s="558">
        <v>370</v>
      </c>
      <c r="B82" s="559" t="s">
        <v>198</v>
      </c>
      <c r="D82" s="559">
        <v>0</v>
      </c>
      <c r="E82" s="559">
        <v>1914</v>
      </c>
      <c r="F82" s="559">
        <v>0</v>
      </c>
      <c r="G82" s="559">
        <v>12479</v>
      </c>
      <c r="I82" s="559">
        <v>142356</v>
      </c>
      <c r="J82" s="559">
        <v>66146</v>
      </c>
      <c r="K82" s="559">
        <v>1463553</v>
      </c>
      <c r="L82" s="559">
        <v>0</v>
      </c>
      <c r="M82" s="559">
        <v>1125066</v>
      </c>
      <c r="N82" s="559">
        <v>208937</v>
      </c>
      <c r="O82" s="559">
        <v>26217488</v>
      </c>
      <c r="P82" s="559">
        <v>0</v>
      </c>
      <c r="Q82" s="559">
        <v>0</v>
      </c>
      <c r="R82" s="559">
        <v>79116</v>
      </c>
      <c r="S82" s="559">
        <v>0</v>
      </c>
      <c r="T82" s="559">
        <v>173160</v>
      </c>
      <c r="U82" s="559">
        <v>0</v>
      </c>
      <c r="V82" s="559">
        <v>0</v>
      </c>
      <c r="W82" s="559">
        <v>0</v>
      </c>
      <c r="X82" s="559">
        <v>0</v>
      </c>
      <c r="Y82" s="559">
        <v>14356000</v>
      </c>
      <c r="Z82" s="559">
        <v>206654</v>
      </c>
      <c r="AA82" s="559">
        <v>36000</v>
      </c>
      <c r="AB82" s="559">
        <v>416008</v>
      </c>
      <c r="AD82" s="559">
        <v>167841</v>
      </c>
      <c r="AE82" s="559">
        <v>0</v>
      </c>
      <c r="AF82" s="559">
        <v>2439694</v>
      </c>
      <c r="AG82" s="559">
        <v>19647</v>
      </c>
      <c r="AH82" s="559">
        <v>0</v>
      </c>
      <c r="AI82" s="559">
        <v>580103</v>
      </c>
      <c r="AJ82" s="559">
        <v>0</v>
      </c>
      <c r="AK82" s="559">
        <v>0</v>
      </c>
      <c r="AL82" s="559">
        <v>0</v>
      </c>
      <c r="AN82" s="559">
        <v>0</v>
      </c>
      <c r="AP82" s="559">
        <v>0</v>
      </c>
      <c r="AQ82" s="559">
        <v>1183250</v>
      </c>
      <c r="AR82" s="559">
        <v>0</v>
      </c>
      <c r="AS82" s="559">
        <v>0</v>
      </c>
      <c r="AT82" s="559">
        <v>529472</v>
      </c>
      <c r="AU82" s="559">
        <v>0</v>
      </c>
      <c r="AV82" s="785">
        <v>0</v>
      </c>
      <c r="AW82" s="559">
        <v>3533711</v>
      </c>
      <c r="AX82" s="559">
        <v>0</v>
      </c>
      <c r="AY82" s="559">
        <v>650698</v>
      </c>
      <c r="AZ82" s="559">
        <v>67585</v>
      </c>
      <c r="BA82" s="559">
        <v>0</v>
      </c>
      <c r="BB82" s="559">
        <v>0</v>
      </c>
      <c r="BC82" s="559">
        <v>256425</v>
      </c>
      <c r="BD82" s="559">
        <v>0</v>
      </c>
      <c r="BE82" s="559">
        <v>2223351</v>
      </c>
      <c r="BF82" s="559">
        <v>0</v>
      </c>
      <c r="BG82" s="559">
        <v>0</v>
      </c>
      <c r="BH82" s="559">
        <v>0</v>
      </c>
      <c r="BI82" s="559">
        <v>45754</v>
      </c>
      <c r="BJ82" s="559">
        <v>0</v>
      </c>
      <c r="BL82" s="559">
        <v>0</v>
      </c>
      <c r="BM82" s="559">
        <v>30000</v>
      </c>
      <c r="BN82" s="559">
        <v>1113207</v>
      </c>
      <c r="BO82" s="559">
        <v>1178385</v>
      </c>
      <c r="BP82" s="559">
        <v>1835121</v>
      </c>
      <c r="BQ82" s="559">
        <v>0</v>
      </c>
      <c r="BS82" s="559">
        <v>0</v>
      </c>
      <c r="BU82" s="559">
        <v>78509</v>
      </c>
      <c r="BV82" s="559">
        <v>427588</v>
      </c>
      <c r="BW82" s="559">
        <v>515758</v>
      </c>
      <c r="BX82" s="559">
        <v>1158218</v>
      </c>
      <c r="BY82" s="559">
        <v>305908</v>
      </c>
      <c r="BZ82" s="559">
        <v>19287</v>
      </c>
      <c r="CA82" s="559">
        <v>395969</v>
      </c>
      <c r="CB82" s="559">
        <v>0</v>
      </c>
      <c r="CC82" s="559">
        <v>62100</v>
      </c>
      <c r="CE82" s="559">
        <v>105443</v>
      </c>
      <c r="CF82" s="559">
        <v>934861</v>
      </c>
      <c r="CG82" s="559">
        <v>58744</v>
      </c>
      <c r="CH82" s="559">
        <v>0</v>
      </c>
    </row>
    <row r="83" spans="1:99" s="559" customFormat="1" x14ac:dyDescent="0.3">
      <c r="A83" s="558">
        <v>371</v>
      </c>
      <c r="B83" s="559" t="s">
        <v>248</v>
      </c>
      <c r="D83" s="559">
        <v>0</v>
      </c>
      <c r="E83" s="559">
        <v>0</v>
      </c>
      <c r="F83" s="559">
        <v>0</v>
      </c>
      <c r="G83" s="559">
        <v>0</v>
      </c>
      <c r="I83" s="559">
        <v>0</v>
      </c>
      <c r="J83" s="559">
        <v>0</v>
      </c>
      <c r="K83" s="559">
        <v>0</v>
      </c>
      <c r="L83" s="559">
        <v>0</v>
      </c>
      <c r="M83" s="559">
        <v>0</v>
      </c>
      <c r="N83" s="559">
        <v>0</v>
      </c>
      <c r="O83" s="559">
        <v>0</v>
      </c>
      <c r="P83" s="559">
        <v>0</v>
      </c>
      <c r="Q83" s="559">
        <v>0</v>
      </c>
      <c r="R83" s="559">
        <v>0</v>
      </c>
      <c r="S83" s="559">
        <v>0</v>
      </c>
      <c r="T83" s="559">
        <v>0</v>
      </c>
      <c r="U83" s="559">
        <v>0</v>
      </c>
      <c r="V83" s="559">
        <v>0</v>
      </c>
      <c r="W83" s="559">
        <v>0</v>
      </c>
      <c r="X83" s="559">
        <v>445100</v>
      </c>
      <c r="Y83" s="559">
        <v>20666000</v>
      </c>
      <c r="Z83" s="559">
        <v>0</v>
      </c>
      <c r="AA83" s="559">
        <v>0</v>
      </c>
      <c r="AB83" s="559">
        <v>0</v>
      </c>
      <c r="AD83" s="559">
        <v>0</v>
      </c>
      <c r="AE83" s="559">
        <v>0</v>
      </c>
      <c r="AF83" s="559">
        <v>0</v>
      </c>
      <c r="AG83" s="559">
        <v>0</v>
      </c>
      <c r="AH83" s="559">
        <v>0</v>
      </c>
      <c r="AI83" s="559">
        <v>0</v>
      </c>
      <c r="AJ83" s="559">
        <v>0</v>
      </c>
      <c r="AK83" s="559">
        <v>0</v>
      </c>
      <c r="AL83" s="559">
        <v>0</v>
      </c>
      <c r="AN83" s="559">
        <v>0</v>
      </c>
      <c r="AP83" s="559">
        <v>0</v>
      </c>
      <c r="AQ83" s="559">
        <v>0</v>
      </c>
      <c r="AR83" s="559">
        <v>0</v>
      </c>
      <c r="AS83" s="559">
        <v>0</v>
      </c>
      <c r="AT83" s="559">
        <v>0</v>
      </c>
      <c r="AU83" s="559">
        <v>0</v>
      </c>
      <c r="AV83" s="559">
        <v>0</v>
      </c>
      <c r="AW83" s="559">
        <v>0</v>
      </c>
      <c r="AX83" s="559">
        <v>0</v>
      </c>
      <c r="AY83" s="559">
        <v>0</v>
      </c>
      <c r="AZ83" s="559">
        <v>0</v>
      </c>
      <c r="BA83" s="559">
        <v>0</v>
      </c>
      <c r="BB83" s="559">
        <v>0</v>
      </c>
      <c r="BC83" s="559">
        <v>0</v>
      </c>
      <c r="BD83" s="559">
        <v>0</v>
      </c>
      <c r="BE83" s="559">
        <v>0</v>
      </c>
      <c r="BF83" s="559">
        <v>0</v>
      </c>
      <c r="BG83" s="559">
        <v>0</v>
      </c>
      <c r="BH83" s="559">
        <v>0</v>
      </c>
      <c r="BI83" s="559">
        <v>0</v>
      </c>
      <c r="BJ83" s="559">
        <v>0</v>
      </c>
      <c r="BL83" s="559">
        <v>0</v>
      </c>
      <c r="BM83" s="559">
        <v>0</v>
      </c>
      <c r="BN83" s="559">
        <v>0</v>
      </c>
      <c r="BO83" s="559">
        <v>0</v>
      </c>
      <c r="BP83" s="559">
        <v>0</v>
      </c>
      <c r="BQ83" s="559">
        <v>0</v>
      </c>
      <c r="BS83" s="559">
        <v>0</v>
      </c>
      <c r="BU83" s="559">
        <v>0</v>
      </c>
      <c r="BV83" s="559">
        <v>0</v>
      </c>
      <c r="BW83" s="559">
        <v>0</v>
      </c>
      <c r="BX83" s="559">
        <v>0</v>
      </c>
      <c r="BY83" s="559">
        <v>0</v>
      </c>
      <c r="BZ83" s="559">
        <v>0</v>
      </c>
      <c r="CA83" s="559">
        <v>0</v>
      </c>
      <c r="CB83" s="559">
        <v>0</v>
      </c>
      <c r="CC83" s="559">
        <v>0</v>
      </c>
      <c r="CE83" s="559">
        <v>0</v>
      </c>
      <c r="CF83" s="559">
        <v>0</v>
      </c>
      <c r="CG83" s="559">
        <v>0</v>
      </c>
      <c r="CH83" s="559">
        <v>0</v>
      </c>
    </row>
    <row r="84" spans="1:99" x14ac:dyDescent="0.3">
      <c r="A84" s="155">
        <v>373</v>
      </c>
      <c r="B84" s="180" t="s">
        <v>302</v>
      </c>
      <c r="C84" s="180"/>
      <c r="D84" s="180">
        <v>380076</v>
      </c>
      <c r="E84" s="180">
        <v>697572</v>
      </c>
      <c r="F84" s="180">
        <v>418932</v>
      </c>
      <c r="G84" s="180">
        <v>126500</v>
      </c>
      <c r="H84" s="180"/>
      <c r="I84" s="180">
        <v>4720717</v>
      </c>
      <c r="J84" s="180">
        <v>1329948</v>
      </c>
      <c r="K84" s="180">
        <v>14528429</v>
      </c>
      <c r="L84" s="180">
        <v>5610069</v>
      </c>
      <c r="M84" s="180">
        <v>26124919</v>
      </c>
      <c r="N84" s="180">
        <v>3341876</v>
      </c>
      <c r="O84" s="180">
        <v>581674343</v>
      </c>
      <c r="P84" s="180">
        <v>202888</v>
      </c>
      <c r="Q84" s="180">
        <v>170245</v>
      </c>
      <c r="R84" s="180">
        <v>1172230</v>
      </c>
      <c r="S84" s="180">
        <v>775802</v>
      </c>
      <c r="T84" s="180">
        <v>297363</v>
      </c>
      <c r="U84" s="180">
        <v>90291</v>
      </c>
      <c r="V84" s="180">
        <v>137159</v>
      </c>
      <c r="W84" s="180">
        <v>1333978</v>
      </c>
      <c r="X84" s="180">
        <v>141925472</v>
      </c>
      <c r="Y84" s="180">
        <v>2388754000</v>
      </c>
      <c r="Z84" s="180">
        <v>8038794</v>
      </c>
      <c r="AA84" s="180">
        <v>272703</v>
      </c>
      <c r="AB84" s="180">
        <v>4039943</v>
      </c>
      <c r="AC84" s="180"/>
      <c r="AD84" s="180">
        <v>6800612</v>
      </c>
      <c r="AE84" s="180">
        <v>954142</v>
      </c>
      <c r="AF84" s="180">
        <v>25784947</v>
      </c>
      <c r="AG84" s="180">
        <v>34855729</v>
      </c>
      <c r="AH84" s="180">
        <v>0</v>
      </c>
      <c r="AI84" s="180">
        <v>18562820</v>
      </c>
      <c r="AJ84" s="180">
        <v>1524063</v>
      </c>
      <c r="AK84" s="180">
        <v>2185234</v>
      </c>
      <c r="AL84" s="180">
        <v>458940</v>
      </c>
      <c r="AM84" s="180"/>
      <c r="AN84" s="180">
        <v>627035</v>
      </c>
      <c r="AO84" s="180"/>
      <c r="AP84" s="180">
        <v>83866</v>
      </c>
      <c r="AQ84" s="180">
        <v>526884977</v>
      </c>
      <c r="AR84" s="180">
        <v>197171</v>
      </c>
      <c r="AS84" s="180">
        <v>1216944</v>
      </c>
      <c r="AT84" s="180">
        <v>2011960</v>
      </c>
      <c r="AU84" s="180">
        <v>653723</v>
      </c>
      <c r="AV84" s="570">
        <v>365056</v>
      </c>
      <c r="AW84" s="180">
        <v>42395895</v>
      </c>
      <c r="AX84" s="180">
        <v>117243</v>
      </c>
      <c r="AY84" s="180">
        <v>7107070</v>
      </c>
      <c r="AZ84" s="180">
        <v>3945046</v>
      </c>
      <c r="BA84" s="180">
        <v>293804</v>
      </c>
      <c r="BB84" s="180">
        <v>349403</v>
      </c>
      <c r="BC84" s="180">
        <v>4963956</v>
      </c>
      <c r="BD84" s="180">
        <v>61007</v>
      </c>
      <c r="BE84" s="180">
        <v>11761219</v>
      </c>
      <c r="BF84" s="180">
        <v>4471442</v>
      </c>
      <c r="BG84" s="180">
        <v>553368</v>
      </c>
      <c r="BH84" s="180">
        <v>646846</v>
      </c>
      <c r="BI84" s="180">
        <v>2350118</v>
      </c>
      <c r="BJ84" s="180">
        <v>167091</v>
      </c>
      <c r="BK84" s="180"/>
      <c r="BL84" s="180">
        <v>2431163</v>
      </c>
      <c r="BM84" s="180">
        <v>1966483</v>
      </c>
      <c r="BN84" s="180">
        <v>14140807</v>
      </c>
      <c r="BO84" s="180">
        <v>9354459</v>
      </c>
      <c r="BP84" s="180">
        <v>441039744</v>
      </c>
      <c r="BQ84" s="180">
        <v>84583</v>
      </c>
      <c r="BR84" s="180"/>
      <c r="BS84" s="180">
        <v>465331</v>
      </c>
      <c r="BT84" s="180"/>
      <c r="BU84" s="180">
        <v>572913</v>
      </c>
      <c r="BV84" s="180">
        <v>0</v>
      </c>
      <c r="BW84" s="180">
        <v>5263623</v>
      </c>
      <c r="BX84" s="180">
        <v>24010384</v>
      </c>
      <c r="BY84" s="180">
        <v>11727493</v>
      </c>
      <c r="BZ84" s="180">
        <v>598019</v>
      </c>
      <c r="CA84" s="180">
        <v>10234299</v>
      </c>
      <c r="CB84" s="180">
        <v>131844</v>
      </c>
      <c r="CC84" s="180">
        <v>1661381</v>
      </c>
      <c r="CD84" s="180"/>
      <c r="CE84" s="180">
        <v>8970720</v>
      </c>
      <c r="CF84" s="180">
        <v>10160055</v>
      </c>
      <c r="CG84" s="180">
        <v>3612599</v>
      </c>
      <c r="CH84" s="180">
        <v>3975597</v>
      </c>
      <c r="CI84" s="180"/>
      <c r="CJ84" s="180"/>
      <c r="CK84" s="180"/>
      <c r="CL84" s="180"/>
      <c r="CM84" s="180"/>
      <c r="CN84" s="180"/>
      <c r="CO84" s="180"/>
      <c r="CP84" s="180"/>
      <c r="CQ84" s="180"/>
      <c r="CR84" s="180"/>
      <c r="CS84" s="180"/>
      <c r="CT84" s="180"/>
      <c r="CU84" s="180"/>
    </row>
    <row r="85" spans="1:99" x14ac:dyDescent="0.3">
      <c r="A85" s="155">
        <v>375</v>
      </c>
      <c r="B85" s="180" t="s">
        <v>213</v>
      </c>
      <c r="C85" s="180"/>
      <c r="D85" s="180">
        <v>790859</v>
      </c>
      <c r="E85" s="180">
        <v>0</v>
      </c>
      <c r="F85" s="180">
        <v>1298580</v>
      </c>
      <c r="G85" s="180">
        <v>162253</v>
      </c>
      <c r="H85" s="180"/>
      <c r="I85" s="180">
        <v>3089686</v>
      </c>
      <c r="J85" s="180">
        <v>0</v>
      </c>
      <c r="K85" s="180">
        <v>2992609</v>
      </c>
      <c r="L85" s="180">
        <v>0</v>
      </c>
      <c r="M85" s="180">
        <v>0</v>
      </c>
      <c r="N85" s="180">
        <v>1938750</v>
      </c>
      <c r="O85" s="180">
        <v>225389025</v>
      </c>
      <c r="P85" s="180">
        <v>0</v>
      </c>
      <c r="Q85" s="180">
        <v>0</v>
      </c>
      <c r="R85" s="180">
        <v>0</v>
      </c>
      <c r="S85" s="180">
        <v>0</v>
      </c>
      <c r="T85" s="180">
        <v>0</v>
      </c>
      <c r="U85" s="180">
        <v>0</v>
      </c>
      <c r="V85" s="180">
        <v>187289</v>
      </c>
      <c r="W85" s="180">
        <v>2197976</v>
      </c>
      <c r="X85" s="180">
        <v>0</v>
      </c>
      <c r="Y85" s="180">
        <v>53385000</v>
      </c>
      <c r="Z85" s="180">
        <v>-3070354</v>
      </c>
      <c r="AA85" s="180">
        <v>294226</v>
      </c>
      <c r="AB85" s="180">
        <v>0</v>
      </c>
      <c r="AC85" s="180"/>
      <c r="AD85" s="180">
        <v>4642586</v>
      </c>
      <c r="AE85" s="180">
        <v>921169</v>
      </c>
      <c r="AF85" s="180">
        <v>19045136</v>
      </c>
      <c r="AG85" s="180">
        <v>0</v>
      </c>
      <c r="AH85" s="180">
        <v>2512586</v>
      </c>
      <c r="AI85" s="180">
        <v>5674209</v>
      </c>
      <c r="AJ85" s="180">
        <v>1115207</v>
      </c>
      <c r="AK85" s="180">
        <v>1451533</v>
      </c>
      <c r="AL85" s="180">
        <v>404217</v>
      </c>
      <c r="AM85" s="180"/>
      <c r="AN85" s="180">
        <v>2748954</v>
      </c>
      <c r="AO85" s="180"/>
      <c r="AP85" s="180">
        <v>0</v>
      </c>
      <c r="AQ85" s="180">
        <v>100427451</v>
      </c>
      <c r="AR85" s="180">
        <v>0</v>
      </c>
      <c r="AS85" s="180">
        <v>57613</v>
      </c>
      <c r="AT85" s="180">
        <v>11381764</v>
      </c>
      <c r="AU85" s="180">
        <v>1200949</v>
      </c>
      <c r="AV85" s="570">
        <v>0</v>
      </c>
      <c r="AW85" s="180">
        <v>0</v>
      </c>
      <c r="AX85" s="180">
        <v>50683</v>
      </c>
      <c r="AY85" s="180">
        <v>0</v>
      </c>
      <c r="AZ85" s="180">
        <v>0</v>
      </c>
      <c r="BA85" s="180">
        <v>375777</v>
      </c>
      <c r="BB85" s="180">
        <v>70975</v>
      </c>
      <c r="BC85" s="180">
        <v>2942828</v>
      </c>
      <c r="BD85" s="180">
        <v>0</v>
      </c>
      <c r="BE85" s="180">
        <v>0</v>
      </c>
      <c r="BF85" s="180">
        <v>1189631</v>
      </c>
      <c r="BG85" s="180">
        <v>0</v>
      </c>
      <c r="BH85" s="180">
        <v>0</v>
      </c>
      <c r="BI85" s="180">
        <v>1199592</v>
      </c>
      <c r="BJ85" s="180">
        <v>0</v>
      </c>
      <c r="BK85" s="180"/>
      <c r="BL85" s="180">
        <v>691571</v>
      </c>
      <c r="BM85" s="180">
        <v>365283</v>
      </c>
      <c r="BN85" s="180">
        <v>0</v>
      </c>
      <c r="BO85" s="180">
        <v>3894561</v>
      </c>
      <c r="BP85" s="180">
        <v>55067797</v>
      </c>
      <c r="BQ85" s="180">
        <v>0</v>
      </c>
      <c r="BR85" s="180"/>
      <c r="BS85" s="180">
        <v>561132</v>
      </c>
      <c r="BT85" s="180"/>
      <c r="BU85" s="180">
        <v>0</v>
      </c>
      <c r="BV85" s="180">
        <v>2137695</v>
      </c>
      <c r="BW85" s="180">
        <v>666030</v>
      </c>
      <c r="BX85" s="180">
        <v>6714615</v>
      </c>
      <c r="BY85" s="180">
        <v>2940040</v>
      </c>
      <c r="BZ85" s="180">
        <v>-102599</v>
      </c>
      <c r="CA85" s="180">
        <v>3982099</v>
      </c>
      <c r="CB85" s="180">
        <v>1370350</v>
      </c>
      <c r="CC85" s="180">
        <v>85648</v>
      </c>
      <c r="CD85" s="180"/>
      <c r="CE85" s="180">
        <v>6404477</v>
      </c>
      <c r="CF85" s="180">
        <v>0</v>
      </c>
      <c r="CG85" s="180">
        <v>1105499</v>
      </c>
      <c r="CH85" s="180">
        <v>0</v>
      </c>
      <c r="CI85" s="180"/>
      <c r="CJ85" s="180"/>
      <c r="CK85" s="180"/>
      <c r="CL85" s="180"/>
      <c r="CM85" s="180"/>
      <c r="CN85" s="180"/>
      <c r="CO85" s="180"/>
      <c r="CP85" s="180"/>
      <c r="CQ85" s="180"/>
      <c r="CR85" s="180"/>
      <c r="CS85" s="180"/>
      <c r="CT85" s="180"/>
      <c r="CU85" s="180"/>
    </row>
    <row r="86" spans="1:99" x14ac:dyDescent="0.3">
      <c r="A86" s="155">
        <v>376</v>
      </c>
      <c r="B86" s="180" t="s">
        <v>100</v>
      </c>
      <c r="C86" s="180"/>
      <c r="D86" s="180">
        <v>0</v>
      </c>
      <c r="E86" s="180">
        <v>0</v>
      </c>
      <c r="F86" s="180">
        <v>0</v>
      </c>
      <c r="G86" s="180">
        <v>0</v>
      </c>
      <c r="H86" s="180"/>
      <c r="I86" s="180">
        <v>0</v>
      </c>
      <c r="J86" s="180">
        <v>0</v>
      </c>
      <c r="K86" s="180">
        <v>0</v>
      </c>
      <c r="L86" s="180">
        <v>0</v>
      </c>
      <c r="M86" s="180">
        <v>0</v>
      </c>
      <c r="N86" s="180">
        <v>2749788</v>
      </c>
      <c r="O86" s="180">
        <v>-1</v>
      </c>
      <c r="P86" s="180">
        <v>0</v>
      </c>
      <c r="Q86" s="180">
        <v>0</v>
      </c>
      <c r="R86" s="180">
        <v>39968</v>
      </c>
      <c r="S86" s="180">
        <v>0</v>
      </c>
      <c r="T86" s="180">
        <v>0</v>
      </c>
      <c r="U86" s="180">
        <v>0</v>
      </c>
      <c r="V86" s="180">
        <v>2</v>
      </c>
      <c r="W86" s="180">
        <v>0</v>
      </c>
      <c r="X86" s="180">
        <v>0</v>
      </c>
      <c r="Y86" s="180">
        <v>0</v>
      </c>
      <c r="Z86" s="180">
        <v>0</v>
      </c>
      <c r="AA86" s="180">
        <v>0</v>
      </c>
      <c r="AB86" s="180">
        <v>0</v>
      </c>
      <c r="AC86" s="180"/>
      <c r="AD86" s="180">
        <v>31830</v>
      </c>
      <c r="AE86" s="180">
        <v>0</v>
      </c>
      <c r="AF86" s="180">
        <v>0</v>
      </c>
      <c r="AG86" s="180">
        <v>0</v>
      </c>
      <c r="AH86" s="180">
        <v>0</v>
      </c>
      <c r="AI86" s="180">
        <v>0</v>
      </c>
      <c r="AJ86" s="180">
        <v>0</v>
      </c>
      <c r="AK86" s="180">
        <v>0</v>
      </c>
      <c r="AL86" s="180">
        <v>0</v>
      </c>
      <c r="AM86" s="180"/>
      <c r="AN86" s="180">
        <v>0</v>
      </c>
      <c r="AO86" s="180"/>
      <c r="AP86" s="180">
        <v>0</v>
      </c>
      <c r="AQ86" s="180">
        <v>0</v>
      </c>
      <c r="AR86" s="180">
        <v>0</v>
      </c>
      <c r="AS86" s="180">
        <v>0</v>
      </c>
      <c r="AT86" s="180">
        <v>57980</v>
      </c>
      <c r="AU86" s="180">
        <v>-1</v>
      </c>
      <c r="AV86" s="570">
        <v>-1</v>
      </c>
      <c r="AW86" s="180">
        <v>0</v>
      </c>
      <c r="AX86" s="180">
        <v>0</v>
      </c>
      <c r="AY86" s="180">
        <v>0</v>
      </c>
      <c r="AZ86" s="180">
        <v>0</v>
      </c>
      <c r="BA86" s="180">
        <v>0</v>
      </c>
      <c r="BB86" s="180">
        <v>0</v>
      </c>
      <c r="BC86" s="180">
        <v>216305</v>
      </c>
      <c r="BD86" s="180">
        <v>0</v>
      </c>
      <c r="BE86" s="180">
        <v>-200663</v>
      </c>
      <c r="BF86" s="180">
        <v>-1</v>
      </c>
      <c r="BG86" s="180">
        <v>0</v>
      </c>
      <c r="BH86" s="180">
        <v>0</v>
      </c>
      <c r="BI86" s="180">
        <v>0</v>
      </c>
      <c r="BJ86" s="180">
        <v>0</v>
      </c>
      <c r="BK86" s="180"/>
      <c r="BL86" s="180">
        <v>0</v>
      </c>
      <c r="BM86" s="180">
        <v>0</v>
      </c>
      <c r="BN86" s="180">
        <v>0</v>
      </c>
      <c r="BO86" s="180">
        <v>277449</v>
      </c>
      <c r="BP86" s="180">
        <v>0</v>
      </c>
      <c r="BQ86" s="180">
        <v>0</v>
      </c>
      <c r="BR86" s="180"/>
      <c r="BS86" s="180">
        <v>0</v>
      </c>
      <c r="BT86" s="180"/>
      <c r="BU86" s="180">
        <v>0</v>
      </c>
      <c r="BV86" s="180">
        <v>0</v>
      </c>
      <c r="BW86" s="180">
        <v>0</v>
      </c>
      <c r="BX86" s="180">
        <v>44865</v>
      </c>
      <c r="BY86" s="180">
        <v>0</v>
      </c>
      <c r="BZ86" s="180">
        <v>0</v>
      </c>
      <c r="CA86" s="180">
        <v>0</v>
      </c>
      <c r="CB86" s="180">
        <v>0</v>
      </c>
      <c r="CC86" s="180">
        <v>0</v>
      </c>
      <c r="CD86" s="180"/>
      <c r="CE86" s="180">
        <v>0</v>
      </c>
      <c r="CF86" s="180">
        <v>0</v>
      </c>
      <c r="CG86" s="180">
        <v>0</v>
      </c>
      <c r="CH86" s="180">
        <v>0</v>
      </c>
      <c r="CI86" s="180"/>
      <c r="CJ86" s="180"/>
      <c r="CK86" s="180"/>
      <c r="CL86" s="180"/>
      <c r="CM86" s="180"/>
      <c r="CN86" s="180"/>
      <c r="CO86" s="180"/>
      <c r="CP86" s="180"/>
      <c r="CQ86" s="180"/>
      <c r="CR86" s="180"/>
      <c r="CS86" s="180"/>
      <c r="CT86" s="180"/>
      <c r="CU86" s="180"/>
    </row>
    <row r="87" spans="1:99" x14ac:dyDescent="0.3">
      <c r="A87" s="155">
        <v>377</v>
      </c>
      <c r="B87" s="180" t="s">
        <v>101</v>
      </c>
      <c r="C87" s="180"/>
      <c r="D87" s="180">
        <v>0</v>
      </c>
      <c r="E87" s="180">
        <v>0</v>
      </c>
      <c r="F87" s="180">
        <v>0</v>
      </c>
      <c r="G87" s="180">
        <v>0</v>
      </c>
      <c r="H87" s="180"/>
      <c r="I87" s="180">
        <v>0</v>
      </c>
      <c r="J87" s="180">
        <v>0</v>
      </c>
      <c r="K87" s="180">
        <v>0</v>
      </c>
      <c r="L87" s="180">
        <v>0</v>
      </c>
      <c r="M87" s="180">
        <v>0</v>
      </c>
      <c r="N87" s="180">
        <v>10241279</v>
      </c>
      <c r="O87" s="180">
        <v>0</v>
      </c>
      <c r="P87" s="180">
        <v>0</v>
      </c>
      <c r="Q87" s="180">
        <v>0</v>
      </c>
      <c r="R87" s="180">
        <v>0</v>
      </c>
      <c r="S87" s="180">
        <v>0</v>
      </c>
      <c r="T87" s="180">
        <v>0</v>
      </c>
      <c r="U87" s="180">
        <v>0</v>
      </c>
      <c r="V87" s="180">
        <v>0</v>
      </c>
      <c r="W87" s="180">
        <v>0</v>
      </c>
      <c r="X87" s="180">
        <v>0</v>
      </c>
      <c r="Y87" s="180">
        <v>0</v>
      </c>
      <c r="Z87" s="180">
        <v>0</v>
      </c>
      <c r="AA87" s="180">
        <v>0</v>
      </c>
      <c r="AB87" s="180">
        <v>0</v>
      </c>
      <c r="AC87" s="180"/>
      <c r="AD87" s="180">
        <v>36620</v>
      </c>
      <c r="AE87" s="180">
        <v>0</v>
      </c>
      <c r="AF87" s="180">
        <v>0</v>
      </c>
      <c r="AG87" s="180">
        <v>0</v>
      </c>
      <c r="AH87" s="180">
        <v>-1</v>
      </c>
      <c r="AI87" s="180">
        <v>0</v>
      </c>
      <c r="AJ87" s="180">
        <v>0</v>
      </c>
      <c r="AK87" s="180">
        <v>0</v>
      </c>
      <c r="AL87" s="180">
        <v>0</v>
      </c>
      <c r="AM87" s="180"/>
      <c r="AN87" s="180">
        <v>0</v>
      </c>
      <c r="AO87" s="180"/>
      <c r="AP87" s="180">
        <v>0</v>
      </c>
      <c r="AQ87" s="180">
        <v>0</v>
      </c>
      <c r="AR87" s="180">
        <v>0</v>
      </c>
      <c r="AS87" s="180">
        <v>0</v>
      </c>
      <c r="AT87" s="180">
        <v>68160</v>
      </c>
      <c r="AU87" s="180">
        <v>1</v>
      </c>
      <c r="AV87" s="570">
        <v>0</v>
      </c>
      <c r="AW87" s="180">
        <v>0</v>
      </c>
      <c r="AX87" s="180">
        <v>0</v>
      </c>
      <c r="AY87" s="180">
        <v>0</v>
      </c>
      <c r="AZ87" s="180">
        <v>0</v>
      </c>
      <c r="BA87" s="180">
        <v>0</v>
      </c>
      <c r="BB87" s="180">
        <v>3</v>
      </c>
      <c r="BC87" s="180">
        <v>-6158</v>
      </c>
      <c r="BD87" s="180">
        <v>0</v>
      </c>
      <c r="BE87" s="180">
        <v>0</v>
      </c>
      <c r="BF87" s="180">
        <v>1</v>
      </c>
      <c r="BG87" s="180">
        <v>0</v>
      </c>
      <c r="BH87" s="180">
        <v>0</v>
      </c>
      <c r="BI87" s="180">
        <v>0</v>
      </c>
      <c r="BJ87" s="180">
        <v>0</v>
      </c>
      <c r="BK87" s="180"/>
      <c r="BL87" s="180">
        <v>0</v>
      </c>
      <c r="BM87" s="180">
        <v>0</v>
      </c>
      <c r="BN87" s="180">
        <v>0</v>
      </c>
      <c r="BO87" s="180">
        <v>631617</v>
      </c>
      <c r="BP87" s="180">
        <v>0</v>
      </c>
      <c r="BQ87" s="180">
        <v>0</v>
      </c>
      <c r="BR87" s="180"/>
      <c r="BS87" s="180">
        <v>0</v>
      </c>
      <c r="BT87" s="180"/>
      <c r="BU87" s="180">
        <v>0</v>
      </c>
      <c r="BV87" s="180">
        <v>0</v>
      </c>
      <c r="BW87" s="180">
        <v>0</v>
      </c>
      <c r="BX87" s="180">
        <v>-60639</v>
      </c>
      <c r="BY87" s="180">
        <v>0</v>
      </c>
      <c r="BZ87" s="180">
        <v>0</v>
      </c>
      <c r="CA87" s="180">
        <v>0</v>
      </c>
      <c r="CB87" s="180">
        <v>0</v>
      </c>
      <c r="CC87" s="180">
        <v>0</v>
      </c>
      <c r="CD87" s="180"/>
      <c r="CE87" s="180">
        <v>0</v>
      </c>
      <c r="CF87" s="180">
        <v>0</v>
      </c>
      <c r="CG87" s="180">
        <v>0</v>
      </c>
      <c r="CH87" s="180">
        <v>0</v>
      </c>
      <c r="CI87" s="180"/>
      <c r="CJ87" s="180"/>
      <c r="CK87" s="180"/>
      <c r="CL87" s="180"/>
      <c r="CM87" s="180"/>
      <c r="CN87" s="180"/>
      <c r="CO87" s="180"/>
      <c r="CP87" s="180"/>
      <c r="CQ87" s="180"/>
      <c r="CR87" s="180"/>
      <c r="CS87" s="180"/>
      <c r="CT87" s="180"/>
      <c r="CU87" s="180"/>
    </row>
    <row r="88" spans="1:99" x14ac:dyDescent="0.3">
      <c r="A88" s="155">
        <v>378</v>
      </c>
      <c r="B88" s="180" t="s">
        <v>102</v>
      </c>
      <c r="C88" s="180"/>
      <c r="D88" s="180">
        <v>0</v>
      </c>
      <c r="E88" s="180">
        <v>0</v>
      </c>
      <c r="F88" s="180">
        <v>0</v>
      </c>
      <c r="G88" s="180">
        <v>0</v>
      </c>
      <c r="H88" s="180"/>
      <c r="I88" s="180">
        <v>0</v>
      </c>
      <c r="J88" s="180">
        <v>0</v>
      </c>
      <c r="K88" s="180">
        <v>0</v>
      </c>
      <c r="L88" s="180">
        <v>0</v>
      </c>
      <c r="M88" s="180">
        <v>0</v>
      </c>
      <c r="N88" s="180">
        <v>0</v>
      </c>
      <c r="O88" s="180">
        <v>0</v>
      </c>
      <c r="P88" s="180">
        <v>0</v>
      </c>
      <c r="Q88" s="180">
        <v>0</v>
      </c>
      <c r="R88" s="180">
        <v>0</v>
      </c>
      <c r="S88" s="180">
        <v>0</v>
      </c>
      <c r="T88" s="180">
        <v>0</v>
      </c>
      <c r="U88" s="180">
        <v>0</v>
      </c>
      <c r="V88" s="180">
        <v>0</v>
      </c>
      <c r="W88" s="180">
        <v>0</v>
      </c>
      <c r="X88" s="180">
        <v>0</v>
      </c>
      <c r="Y88" s="180">
        <v>0</v>
      </c>
      <c r="Z88" s="180">
        <v>0</v>
      </c>
      <c r="AA88" s="180">
        <v>0</v>
      </c>
      <c r="AB88" s="180">
        <v>0</v>
      </c>
      <c r="AC88" s="180"/>
      <c r="AD88" s="180">
        <v>0</v>
      </c>
      <c r="AE88" s="180">
        <v>0</v>
      </c>
      <c r="AF88" s="180">
        <v>0</v>
      </c>
      <c r="AG88" s="180">
        <v>0</v>
      </c>
      <c r="AH88" s="180">
        <v>0</v>
      </c>
      <c r="AI88" s="180">
        <v>0</v>
      </c>
      <c r="AJ88" s="180">
        <v>0</v>
      </c>
      <c r="AK88" s="180">
        <v>0</v>
      </c>
      <c r="AL88" s="180">
        <v>0</v>
      </c>
      <c r="AM88" s="180"/>
      <c r="AN88" s="180">
        <v>0</v>
      </c>
      <c r="AO88" s="180"/>
      <c r="AP88" s="180">
        <v>0</v>
      </c>
      <c r="AQ88" s="180">
        <v>0</v>
      </c>
      <c r="AR88" s="180">
        <v>0</v>
      </c>
      <c r="AS88" s="180">
        <v>0</v>
      </c>
      <c r="AT88" s="180">
        <v>0</v>
      </c>
      <c r="AU88" s="180">
        <v>0</v>
      </c>
      <c r="AV88" s="180">
        <v>0</v>
      </c>
      <c r="AW88" s="180">
        <v>0</v>
      </c>
      <c r="AX88" s="180">
        <v>0</v>
      </c>
      <c r="AY88" s="180">
        <v>0</v>
      </c>
      <c r="AZ88" s="180">
        <v>0</v>
      </c>
      <c r="BA88" s="180">
        <v>0</v>
      </c>
      <c r="BB88" s="180">
        <v>0</v>
      </c>
      <c r="BC88" s="180">
        <v>3257</v>
      </c>
      <c r="BD88" s="180">
        <v>0</v>
      </c>
      <c r="BE88" s="180">
        <v>0</v>
      </c>
      <c r="BF88" s="180">
        <v>0</v>
      </c>
      <c r="BG88" s="180">
        <v>0</v>
      </c>
      <c r="BH88" s="180">
        <v>0</v>
      </c>
      <c r="BI88" s="180">
        <v>0</v>
      </c>
      <c r="BJ88" s="180">
        <v>0</v>
      </c>
      <c r="BK88" s="180"/>
      <c r="BL88" s="180">
        <v>0</v>
      </c>
      <c r="BM88" s="180">
        <v>0</v>
      </c>
      <c r="BN88" s="180">
        <v>0</v>
      </c>
      <c r="BO88" s="180">
        <v>0</v>
      </c>
      <c r="BP88" s="180">
        <v>0</v>
      </c>
      <c r="BQ88" s="180">
        <v>0</v>
      </c>
      <c r="BR88" s="180"/>
      <c r="BS88" s="180">
        <v>0</v>
      </c>
      <c r="BT88" s="180"/>
      <c r="BU88" s="180">
        <v>0</v>
      </c>
      <c r="BV88" s="180">
        <v>0</v>
      </c>
      <c r="BW88" s="180">
        <v>0</v>
      </c>
      <c r="BX88" s="180">
        <v>482401</v>
      </c>
      <c r="BY88" s="180">
        <v>0</v>
      </c>
      <c r="BZ88" s="180">
        <v>0</v>
      </c>
      <c r="CA88" s="180">
        <v>0</v>
      </c>
      <c r="CB88" s="180">
        <v>0</v>
      </c>
      <c r="CC88" s="180">
        <v>0</v>
      </c>
      <c r="CD88" s="180"/>
      <c r="CE88" s="180">
        <v>0</v>
      </c>
      <c r="CF88" s="180">
        <v>0</v>
      </c>
      <c r="CG88" s="180">
        <v>0</v>
      </c>
      <c r="CH88" s="180">
        <v>0</v>
      </c>
      <c r="CI88" s="180"/>
      <c r="CJ88" s="180"/>
      <c r="CK88" s="180"/>
      <c r="CL88" s="180"/>
      <c r="CM88" s="180"/>
      <c r="CN88" s="180"/>
      <c r="CO88" s="180"/>
      <c r="CP88" s="180"/>
      <c r="CQ88" s="180"/>
      <c r="CR88" s="180"/>
      <c r="CS88" s="180"/>
      <c r="CT88" s="180"/>
      <c r="CU88" s="180"/>
    </row>
    <row r="89" spans="1:99" x14ac:dyDescent="0.3">
      <c r="A89" s="155">
        <v>379</v>
      </c>
      <c r="B89" s="180" t="s">
        <v>110</v>
      </c>
      <c r="C89" s="180"/>
      <c r="D89" s="180">
        <v>3846889</v>
      </c>
      <c r="E89" s="180">
        <v>3676205</v>
      </c>
      <c r="F89" s="180">
        <v>1109782</v>
      </c>
      <c r="G89" s="180">
        <v>715089</v>
      </c>
      <c r="H89" s="180"/>
      <c r="I89" s="180">
        <v>11537328</v>
      </c>
      <c r="J89" s="180">
        <v>2659863</v>
      </c>
      <c r="K89" s="180">
        <v>13965828</v>
      </c>
      <c r="L89" s="180">
        <v>7359771</v>
      </c>
      <c r="M89" s="180">
        <v>22075476</v>
      </c>
      <c r="N89" s="180">
        <v>3125726</v>
      </c>
      <c r="O89" s="180">
        <v>158657484</v>
      </c>
      <c r="P89" s="180">
        <v>88726</v>
      </c>
      <c r="Q89" s="180">
        <v>403394</v>
      </c>
      <c r="R89" s="180">
        <v>1657499</v>
      </c>
      <c r="S89" s="180">
        <v>1471464</v>
      </c>
      <c r="T89" s="180">
        <v>1660760</v>
      </c>
      <c r="U89" s="180">
        <v>621670</v>
      </c>
      <c r="V89" s="180">
        <v>474879</v>
      </c>
      <c r="W89" s="180">
        <v>2851911</v>
      </c>
      <c r="X89" s="180">
        <v>40822145</v>
      </c>
      <c r="Y89" s="180">
        <v>303690000</v>
      </c>
      <c r="Z89" s="180">
        <v>5029018</v>
      </c>
      <c r="AA89" s="180">
        <v>680855</v>
      </c>
      <c r="AB89" s="180">
        <v>6062006</v>
      </c>
      <c r="AC89" s="180"/>
      <c r="AD89" s="180">
        <v>6008959</v>
      </c>
      <c r="AE89" s="180">
        <v>3011107</v>
      </c>
      <c r="AF89" s="180">
        <v>39023010</v>
      </c>
      <c r="AG89" s="180">
        <v>13407144</v>
      </c>
      <c r="AH89" s="180">
        <v>3644583</v>
      </c>
      <c r="AI89" s="180">
        <v>9809318</v>
      </c>
      <c r="AJ89" s="180">
        <v>1745122</v>
      </c>
      <c r="AK89" s="180">
        <v>2050505</v>
      </c>
      <c r="AL89" s="180">
        <v>970552</v>
      </c>
      <c r="AM89" s="180"/>
      <c r="AN89" s="180">
        <v>1098129</v>
      </c>
      <c r="AO89" s="180"/>
      <c r="AP89" s="180">
        <v>92829</v>
      </c>
      <c r="AQ89" s="180">
        <v>112989792</v>
      </c>
      <c r="AR89" s="180">
        <v>431964</v>
      </c>
      <c r="AS89" s="180">
        <v>2327897</v>
      </c>
      <c r="AT89" s="180">
        <v>14089492</v>
      </c>
      <c r="AU89" s="180">
        <v>730868</v>
      </c>
      <c r="AV89" s="570">
        <v>1300161</v>
      </c>
      <c r="AW89" s="180">
        <v>43184190</v>
      </c>
      <c r="AX89" s="180">
        <v>301019</v>
      </c>
      <c r="AY89" s="180">
        <v>4888682</v>
      </c>
      <c r="AZ89" s="180">
        <v>11113924</v>
      </c>
      <c r="BA89" s="180">
        <v>651060</v>
      </c>
      <c r="BB89" s="180">
        <v>454631</v>
      </c>
      <c r="BC89" s="180">
        <v>4142691</v>
      </c>
      <c r="BD89" s="180">
        <v>242252</v>
      </c>
      <c r="BE89" s="180">
        <v>19632981</v>
      </c>
      <c r="BF89" s="180">
        <v>3466232</v>
      </c>
      <c r="BG89" s="180">
        <v>937012</v>
      </c>
      <c r="BH89" s="180">
        <v>596511</v>
      </c>
      <c r="BI89" s="180">
        <v>3041123</v>
      </c>
      <c r="BJ89" s="180">
        <v>3648177</v>
      </c>
      <c r="BK89" s="180"/>
      <c r="BL89" s="180">
        <v>2292144</v>
      </c>
      <c r="BM89" s="180">
        <v>1041687</v>
      </c>
      <c r="BN89" s="180">
        <v>13605357</v>
      </c>
      <c r="BO89" s="180">
        <v>8154470</v>
      </c>
      <c r="BP89" s="180">
        <v>155252097</v>
      </c>
      <c r="BQ89" s="180">
        <v>108959</v>
      </c>
      <c r="BR89" s="180"/>
      <c r="BS89" s="180">
        <v>1128677</v>
      </c>
      <c r="BT89" s="180"/>
      <c r="BU89" s="180">
        <v>8583000</v>
      </c>
      <c r="BV89" s="180">
        <v>16587923</v>
      </c>
      <c r="BW89" s="180">
        <v>3686242</v>
      </c>
      <c r="BX89" s="180">
        <v>15108536</v>
      </c>
      <c r="BY89" s="180">
        <v>5028510</v>
      </c>
      <c r="BZ89" s="180">
        <v>956819</v>
      </c>
      <c r="CA89" s="180">
        <v>7677559</v>
      </c>
      <c r="CB89" s="180">
        <v>862811</v>
      </c>
      <c r="CC89" s="180">
        <v>707004</v>
      </c>
      <c r="CD89" s="180"/>
      <c r="CE89" s="180">
        <v>10691030</v>
      </c>
      <c r="CF89" s="180">
        <v>5332646</v>
      </c>
      <c r="CG89" s="180">
        <v>1046120</v>
      </c>
      <c r="CH89" s="180">
        <v>5309311</v>
      </c>
      <c r="CI89" s="180"/>
      <c r="CJ89" s="180"/>
      <c r="CK89" s="180"/>
      <c r="CL89" s="180"/>
      <c r="CM89" s="180"/>
      <c r="CN89" s="180"/>
      <c r="CO89" s="180"/>
      <c r="CP89" s="180"/>
      <c r="CQ89" s="180"/>
      <c r="CR89" s="180"/>
      <c r="CS89" s="180"/>
      <c r="CT89" s="180"/>
      <c r="CU89" s="180"/>
    </row>
    <row r="90" spans="1:99" x14ac:dyDescent="0.3">
      <c r="A90" s="155">
        <v>380</v>
      </c>
      <c r="B90" s="180" t="s">
        <v>113</v>
      </c>
      <c r="C90" s="180"/>
      <c r="D90" s="180">
        <v>0</v>
      </c>
      <c r="E90" s="180">
        <v>4185</v>
      </c>
      <c r="F90" s="180">
        <v>5874</v>
      </c>
      <c r="G90" s="180">
        <v>1866</v>
      </c>
      <c r="H90" s="180"/>
      <c r="I90" s="180">
        <v>108042</v>
      </c>
      <c r="J90" s="180">
        <v>11947</v>
      </c>
      <c r="K90" s="180">
        <v>199713</v>
      </c>
      <c r="L90" s="180">
        <v>3908</v>
      </c>
      <c r="M90" s="180">
        <v>880465</v>
      </c>
      <c r="N90" s="180">
        <v>0</v>
      </c>
      <c r="O90" s="180">
        <v>0</v>
      </c>
      <c r="P90" s="180">
        <v>364</v>
      </c>
      <c r="Q90" s="180">
        <v>6295</v>
      </c>
      <c r="R90" s="180">
        <v>2608</v>
      </c>
      <c r="S90" s="180">
        <v>7168</v>
      </c>
      <c r="T90" s="180">
        <v>20335</v>
      </c>
      <c r="U90" s="180">
        <v>101</v>
      </c>
      <c r="V90" s="180">
        <v>1190</v>
      </c>
      <c r="W90" s="180">
        <v>52888</v>
      </c>
      <c r="X90" s="180">
        <v>511537</v>
      </c>
      <c r="Y90" s="180">
        <v>23891000</v>
      </c>
      <c r="Z90" s="180">
        <v>86376</v>
      </c>
      <c r="AA90" s="180">
        <v>2807</v>
      </c>
      <c r="AB90" s="180">
        <v>550036</v>
      </c>
      <c r="AC90" s="180"/>
      <c r="AD90" s="180">
        <v>4998</v>
      </c>
      <c r="AE90" s="180">
        <v>50500</v>
      </c>
      <c r="AF90" s="180">
        <v>1067559</v>
      </c>
      <c r="AG90" s="180">
        <v>12651</v>
      </c>
      <c r="AH90" s="180">
        <v>69105</v>
      </c>
      <c r="AI90" s="180">
        <v>162675</v>
      </c>
      <c r="AJ90" s="180">
        <v>35462</v>
      </c>
      <c r="AK90" s="180">
        <v>10835</v>
      </c>
      <c r="AL90" s="180">
        <v>0</v>
      </c>
      <c r="AM90" s="180"/>
      <c r="AN90" s="180">
        <v>35555</v>
      </c>
      <c r="AO90" s="180"/>
      <c r="AP90" s="180">
        <v>0</v>
      </c>
      <c r="AQ90" s="180">
        <v>1091886</v>
      </c>
      <c r="AR90" s="180">
        <v>5747</v>
      </c>
      <c r="AS90" s="180">
        <v>1806</v>
      </c>
      <c r="AT90" s="180">
        <v>91012</v>
      </c>
      <c r="AU90" s="180">
        <v>110869</v>
      </c>
      <c r="AV90" s="570">
        <v>14300</v>
      </c>
      <c r="AW90" s="180">
        <v>139794</v>
      </c>
      <c r="AX90" s="180">
        <v>2662</v>
      </c>
      <c r="AY90" s="180">
        <v>129941</v>
      </c>
      <c r="AZ90" s="180">
        <v>29395</v>
      </c>
      <c r="BA90" s="180">
        <v>7876</v>
      </c>
      <c r="BB90" s="180">
        <v>764</v>
      </c>
      <c r="BC90" s="180">
        <v>19595</v>
      </c>
      <c r="BD90" s="180">
        <v>790</v>
      </c>
      <c r="BE90" s="180">
        <v>67164</v>
      </c>
      <c r="BF90" s="180">
        <v>51426</v>
      </c>
      <c r="BG90" s="180">
        <v>3127</v>
      </c>
      <c r="BH90" s="180">
        <v>42483</v>
      </c>
      <c r="BI90" s="180">
        <v>879050</v>
      </c>
      <c r="BJ90" s="180">
        <v>0</v>
      </c>
      <c r="BK90" s="180"/>
      <c r="BL90" s="180">
        <v>12456</v>
      </c>
      <c r="BM90" s="180">
        <v>8508</v>
      </c>
      <c r="BN90" s="180">
        <v>0</v>
      </c>
      <c r="BO90" s="180">
        <v>104656</v>
      </c>
      <c r="BP90" s="180">
        <v>371593</v>
      </c>
      <c r="BQ90" s="180">
        <v>1520</v>
      </c>
      <c r="BR90" s="180"/>
      <c r="BS90" s="180">
        <v>24590</v>
      </c>
      <c r="BT90" s="180"/>
      <c r="BU90" s="180">
        <v>434</v>
      </c>
      <c r="BV90" s="180">
        <v>116348</v>
      </c>
      <c r="BW90" s="180">
        <v>96718</v>
      </c>
      <c r="BX90" s="180">
        <v>727332</v>
      </c>
      <c r="BY90" s="180">
        <v>717862</v>
      </c>
      <c r="BZ90" s="180">
        <v>1091</v>
      </c>
      <c r="CA90" s="180">
        <v>100598</v>
      </c>
      <c r="CB90" s="180">
        <v>7386</v>
      </c>
      <c r="CC90" s="180">
        <v>32898</v>
      </c>
      <c r="CD90" s="180"/>
      <c r="CE90" s="180">
        <v>4294</v>
      </c>
      <c r="CF90" s="180">
        <v>345030</v>
      </c>
      <c r="CG90" s="180">
        <v>142565</v>
      </c>
      <c r="CH90" s="180">
        <v>30375</v>
      </c>
      <c r="CI90" s="180"/>
      <c r="CJ90" s="180"/>
      <c r="CK90" s="180"/>
      <c r="CL90" s="180"/>
      <c r="CM90" s="180"/>
      <c r="CN90" s="180"/>
      <c r="CO90" s="180"/>
      <c r="CP90" s="180"/>
      <c r="CQ90" s="180"/>
      <c r="CR90" s="180"/>
      <c r="CS90" s="180"/>
      <c r="CT90" s="180"/>
      <c r="CU90" s="180"/>
    </row>
    <row r="91" spans="1:99" x14ac:dyDescent="0.3">
      <c r="A91" s="155">
        <v>381</v>
      </c>
      <c r="B91" s="180" t="s">
        <v>105</v>
      </c>
      <c r="C91" s="180"/>
      <c r="D91" s="180">
        <v>3644619</v>
      </c>
      <c r="E91" s="180">
        <v>0</v>
      </c>
      <c r="F91" s="180">
        <v>4410331</v>
      </c>
      <c r="G91" s="180">
        <v>575612</v>
      </c>
      <c r="H91" s="180"/>
      <c r="I91" s="180">
        <v>18262765</v>
      </c>
      <c r="J91" s="180">
        <v>0</v>
      </c>
      <c r="K91" s="180">
        <v>55247853</v>
      </c>
      <c r="L91" s="180">
        <v>0</v>
      </c>
      <c r="M91" s="180">
        <v>0</v>
      </c>
      <c r="N91" s="180">
        <v>21964997</v>
      </c>
      <c r="O91" s="180">
        <v>1213065551</v>
      </c>
      <c r="P91" s="180">
        <v>0</v>
      </c>
      <c r="Q91" s="180">
        <v>0</v>
      </c>
      <c r="R91" s="180">
        <v>0</v>
      </c>
      <c r="S91" s="180">
        <v>0</v>
      </c>
      <c r="T91" s="180">
        <v>0</v>
      </c>
      <c r="U91" s="180">
        <v>0</v>
      </c>
      <c r="V91" s="180">
        <v>2240644</v>
      </c>
      <c r="W91" s="180">
        <v>13595626</v>
      </c>
      <c r="X91" s="180">
        <v>0</v>
      </c>
      <c r="Y91" s="180">
        <v>5530353000</v>
      </c>
      <c r="Z91" s="180">
        <v>18853952</v>
      </c>
      <c r="AA91" s="180">
        <v>3630632</v>
      </c>
      <c r="AB91" s="180">
        <v>0</v>
      </c>
      <c r="AC91" s="180"/>
      <c r="AD91" s="180">
        <v>13447436</v>
      </c>
      <c r="AE91" s="180">
        <v>5431638</v>
      </c>
      <c r="AF91" s="180">
        <v>275547212</v>
      </c>
      <c r="AG91" s="180">
        <v>0</v>
      </c>
      <c r="AH91" s="180">
        <v>6628876</v>
      </c>
      <c r="AI91" s="180">
        <v>29729316</v>
      </c>
      <c r="AJ91" s="180">
        <v>4456718</v>
      </c>
      <c r="AK91" s="180">
        <v>1964703</v>
      </c>
      <c r="AL91" s="180">
        <v>2578249</v>
      </c>
      <c r="AM91" s="180"/>
      <c r="AN91" s="180">
        <v>13382565</v>
      </c>
      <c r="AO91" s="180"/>
      <c r="AP91" s="180">
        <v>0</v>
      </c>
      <c r="AQ91" s="180">
        <v>318587375</v>
      </c>
      <c r="AR91" s="180">
        <v>0</v>
      </c>
      <c r="AS91" s="180">
        <v>1936232</v>
      </c>
      <c r="AT91" s="180">
        <v>42741502</v>
      </c>
      <c r="AU91" s="180">
        <v>4652587</v>
      </c>
      <c r="AV91" s="570">
        <v>0</v>
      </c>
      <c r="AW91" s="180">
        <v>0</v>
      </c>
      <c r="AX91" s="180">
        <v>5081246</v>
      </c>
      <c r="AY91" s="180">
        <v>0</v>
      </c>
      <c r="AZ91" s="180">
        <v>0</v>
      </c>
      <c r="BA91" s="180">
        <v>5417143</v>
      </c>
      <c r="BB91" s="180">
        <v>1227435</v>
      </c>
      <c r="BC91" s="180">
        <v>12984675</v>
      </c>
      <c r="BD91" s="180">
        <v>0</v>
      </c>
      <c r="BE91" s="180">
        <v>0</v>
      </c>
      <c r="BF91" s="180">
        <v>11546827</v>
      </c>
      <c r="BG91" s="180">
        <v>0</v>
      </c>
      <c r="BH91" s="180">
        <v>0</v>
      </c>
      <c r="BI91" s="180">
        <v>14839773</v>
      </c>
      <c r="BJ91" s="180">
        <v>0</v>
      </c>
      <c r="BK91" s="180"/>
      <c r="BL91" s="180">
        <v>1334745</v>
      </c>
      <c r="BM91" s="180">
        <v>2638627</v>
      </c>
      <c r="BN91" s="180">
        <v>0</v>
      </c>
      <c r="BO91" s="180">
        <v>44980512</v>
      </c>
      <c r="BP91" s="180">
        <v>1336995251</v>
      </c>
      <c r="BQ91" s="180">
        <v>0</v>
      </c>
      <c r="BR91" s="180"/>
      <c r="BS91" s="180">
        <v>1182092</v>
      </c>
      <c r="BT91" s="180"/>
      <c r="BU91" s="180">
        <v>0</v>
      </c>
      <c r="BV91" s="180">
        <v>88050838</v>
      </c>
      <c r="BW91" s="180">
        <v>14484007</v>
      </c>
      <c r="BX91" s="180">
        <v>64255849</v>
      </c>
      <c r="BY91" s="180">
        <v>18219567</v>
      </c>
      <c r="BZ91" s="180">
        <v>2250571</v>
      </c>
      <c r="CA91" s="180">
        <v>9524640</v>
      </c>
      <c r="CB91" s="180">
        <v>4470493</v>
      </c>
      <c r="CC91" s="180">
        <v>6293721</v>
      </c>
      <c r="CD91" s="180"/>
      <c r="CE91" s="180">
        <v>13066614</v>
      </c>
      <c r="CF91" s="180">
        <v>0</v>
      </c>
      <c r="CG91" s="180">
        <v>8599292</v>
      </c>
      <c r="CH91" s="180">
        <v>0</v>
      </c>
      <c r="CI91" s="180"/>
      <c r="CJ91" s="180"/>
      <c r="CK91" s="180"/>
      <c r="CL91" s="180"/>
      <c r="CM91" s="180"/>
      <c r="CN91" s="180"/>
      <c r="CO91" s="180"/>
      <c r="CP91" s="180"/>
      <c r="CQ91" s="180"/>
      <c r="CR91" s="180"/>
      <c r="CS91" s="180"/>
      <c r="CT91" s="180"/>
      <c r="CU91" s="180"/>
    </row>
    <row r="92" spans="1:99" x14ac:dyDescent="0.3">
      <c r="A92" s="155">
        <v>382</v>
      </c>
      <c r="B92" s="180" t="s">
        <v>106</v>
      </c>
      <c r="C92" s="180"/>
      <c r="D92" s="180">
        <v>0</v>
      </c>
      <c r="E92" s="180">
        <v>0</v>
      </c>
      <c r="F92" s="180">
        <v>0</v>
      </c>
      <c r="G92" s="180">
        <v>0</v>
      </c>
      <c r="H92" s="180"/>
      <c r="I92" s="180">
        <v>0</v>
      </c>
      <c r="J92" s="180">
        <v>0</v>
      </c>
      <c r="K92" s="180">
        <v>0</v>
      </c>
      <c r="L92" s="180">
        <v>0</v>
      </c>
      <c r="M92" s="180">
        <v>0</v>
      </c>
      <c r="N92" s="180">
        <v>0</v>
      </c>
      <c r="O92" s="180">
        <v>0</v>
      </c>
      <c r="P92" s="180">
        <v>0</v>
      </c>
      <c r="Q92" s="180">
        <v>0</v>
      </c>
      <c r="R92" s="180">
        <v>0</v>
      </c>
      <c r="S92" s="180">
        <v>0</v>
      </c>
      <c r="T92" s="180">
        <v>0</v>
      </c>
      <c r="U92" s="180">
        <v>0</v>
      </c>
      <c r="V92" s="180">
        <v>0</v>
      </c>
      <c r="W92" s="180">
        <v>0</v>
      </c>
      <c r="X92" s="180">
        <v>0</v>
      </c>
      <c r="Y92" s="180">
        <v>0</v>
      </c>
      <c r="Z92" s="180">
        <v>7446949</v>
      </c>
      <c r="AA92" s="180">
        <v>0</v>
      </c>
      <c r="AB92" s="180">
        <v>0</v>
      </c>
      <c r="AC92" s="180"/>
      <c r="AD92" s="180">
        <v>0</v>
      </c>
      <c r="AE92" s="180">
        <v>0</v>
      </c>
      <c r="AF92" s="180">
        <v>26836887</v>
      </c>
      <c r="AG92" s="180">
        <v>0</v>
      </c>
      <c r="AH92" s="180">
        <v>0</v>
      </c>
      <c r="AI92" s="180">
        <v>0</v>
      </c>
      <c r="AJ92" s="180">
        <v>0</v>
      </c>
      <c r="AK92" s="180">
        <v>0</v>
      </c>
      <c r="AL92" s="180">
        <v>0</v>
      </c>
      <c r="AM92" s="180"/>
      <c r="AN92" s="180">
        <v>0</v>
      </c>
      <c r="AO92" s="180"/>
      <c r="AP92" s="180">
        <v>0</v>
      </c>
      <c r="AQ92" s="180">
        <v>229104445</v>
      </c>
      <c r="AR92" s="180">
        <v>0</v>
      </c>
      <c r="AS92" s="180">
        <v>0</v>
      </c>
      <c r="AT92" s="180">
        <v>0</v>
      </c>
      <c r="AU92" s="180">
        <v>0</v>
      </c>
      <c r="AV92" s="180">
        <v>0</v>
      </c>
      <c r="AW92" s="180">
        <v>11849911</v>
      </c>
      <c r="AX92" s="180">
        <v>0</v>
      </c>
      <c r="AY92" s="180">
        <v>0</v>
      </c>
      <c r="AZ92" s="180">
        <v>0</v>
      </c>
      <c r="BA92" s="180">
        <v>0</v>
      </c>
      <c r="BB92" s="180">
        <v>0</v>
      </c>
      <c r="BC92" s="180">
        <v>11055037</v>
      </c>
      <c r="BD92" s="180">
        <v>0</v>
      </c>
      <c r="BE92" s="180">
        <v>0</v>
      </c>
      <c r="BF92" s="180">
        <v>0</v>
      </c>
      <c r="BG92" s="180">
        <v>0</v>
      </c>
      <c r="BH92" s="180">
        <v>0</v>
      </c>
      <c r="BI92" s="180">
        <v>0</v>
      </c>
      <c r="BJ92" s="180">
        <v>0</v>
      </c>
      <c r="BK92" s="180"/>
      <c r="BL92" s="180">
        <v>4737068</v>
      </c>
      <c r="BM92" s="180">
        <v>0</v>
      </c>
      <c r="BN92" s="180">
        <v>0</v>
      </c>
      <c r="BO92" s="180">
        <v>0</v>
      </c>
      <c r="BP92" s="180">
        <v>0</v>
      </c>
      <c r="BQ92" s="180">
        <v>0</v>
      </c>
      <c r="BR92" s="180"/>
      <c r="BS92" s="180">
        <v>0</v>
      </c>
      <c r="BT92" s="180"/>
      <c r="BU92" s="180">
        <v>0</v>
      </c>
      <c r="BV92" s="180">
        <v>0</v>
      </c>
      <c r="BW92" s="180">
        <v>5957378</v>
      </c>
      <c r="BX92" s="180">
        <v>34900375</v>
      </c>
      <c r="BY92" s="180">
        <v>0</v>
      </c>
      <c r="BZ92" s="180">
        <v>0</v>
      </c>
      <c r="CA92" s="180">
        <v>0</v>
      </c>
      <c r="CB92" s="180">
        <v>0</v>
      </c>
      <c r="CC92" s="180">
        <v>0</v>
      </c>
      <c r="CD92" s="180"/>
      <c r="CE92" s="180">
        <v>0</v>
      </c>
      <c r="CF92" s="180">
        <v>0</v>
      </c>
      <c r="CG92" s="180">
        <v>8629200</v>
      </c>
      <c r="CH92" s="180">
        <v>0</v>
      </c>
      <c r="CI92" s="180"/>
      <c r="CJ92" s="180"/>
      <c r="CK92" s="180"/>
      <c r="CL92" s="180"/>
      <c r="CM92" s="180"/>
      <c r="CN92" s="180"/>
      <c r="CO92" s="180"/>
      <c r="CP92" s="180"/>
      <c r="CQ92" s="180"/>
      <c r="CR92" s="180"/>
      <c r="CS92" s="180"/>
      <c r="CT92" s="180"/>
      <c r="CU92" s="180"/>
    </row>
    <row r="93" spans="1:99" x14ac:dyDescent="0.3">
      <c r="A93" s="155">
        <v>383</v>
      </c>
      <c r="B93" s="180" t="s">
        <v>212</v>
      </c>
      <c r="C93" s="180"/>
      <c r="D93" s="180">
        <v>0</v>
      </c>
      <c r="E93" s="180">
        <v>0</v>
      </c>
      <c r="F93" s="180">
        <v>0</v>
      </c>
      <c r="G93" s="180">
        <v>0</v>
      </c>
      <c r="H93" s="180"/>
      <c r="I93" s="180">
        <v>0</v>
      </c>
      <c r="J93" s="180">
        <v>0</v>
      </c>
      <c r="K93" s="180">
        <v>0</v>
      </c>
      <c r="L93" s="180">
        <v>0</v>
      </c>
      <c r="M93" s="180">
        <v>0</v>
      </c>
      <c r="N93" s="180">
        <v>0</v>
      </c>
      <c r="O93" s="180">
        <v>0</v>
      </c>
      <c r="P93" s="180">
        <v>0</v>
      </c>
      <c r="Q93" s="180">
        <v>0</v>
      </c>
      <c r="R93" s="180">
        <v>0</v>
      </c>
      <c r="S93" s="180">
        <v>0</v>
      </c>
      <c r="T93" s="180">
        <v>0</v>
      </c>
      <c r="U93" s="180">
        <v>0</v>
      </c>
      <c r="V93" s="180">
        <v>528</v>
      </c>
      <c r="W93" s="180">
        <v>0</v>
      </c>
      <c r="X93" s="180">
        <v>0</v>
      </c>
      <c r="Y93" s="180">
        <v>6276000</v>
      </c>
      <c r="Z93" s="180">
        <v>0</v>
      </c>
      <c r="AA93" s="180">
        <v>0</v>
      </c>
      <c r="AB93" s="180">
        <v>0</v>
      </c>
      <c r="AC93" s="180"/>
      <c r="AD93" s="180">
        <v>0</v>
      </c>
      <c r="AE93" s="180">
        <v>0</v>
      </c>
      <c r="AF93" s="180">
        <v>0</v>
      </c>
      <c r="AG93" s="180">
        <v>0</v>
      </c>
      <c r="AH93" s="180">
        <v>0</v>
      </c>
      <c r="AI93" s="180">
        <v>0</v>
      </c>
      <c r="AJ93" s="180">
        <v>11313</v>
      </c>
      <c r="AK93" s="180">
        <v>0</v>
      </c>
      <c r="AL93" s="180">
        <v>0</v>
      </c>
      <c r="AM93" s="180"/>
      <c r="AN93" s="180">
        <v>0</v>
      </c>
      <c r="AO93" s="180"/>
      <c r="AP93" s="180">
        <v>0</v>
      </c>
      <c r="AQ93" s="180">
        <v>0</v>
      </c>
      <c r="AR93" s="180">
        <v>0</v>
      </c>
      <c r="AS93" s="180">
        <v>0</v>
      </c>
      <c r="AT93" s="180">
        <v>143000</v>
      </c>
      <c r="AU93" s="180">
        <v>0</v>
      </c>
      <c r="AV93" s="180">
        <v>0</v>
      </c>
      <c r="AW93" s="180">
        <v>0</v>
      </c>
      <c r="AX93" s="180">
        <v>0</v>
      </c>
      <c r="AY93" s="180">
        <v>0</v>
      </c>
      <c r="AZ93" s="180">
        <v>0</v>
      </c>
      <c r="BA93" s="180">
        <v>0</v>
      </c>
      <c r="BB93" s="180">
        <v>0</v>
      </c>
      <c r="BC93" s="180">
        <v>0</v>
      </c>
      <c r="BD93" s="180">
        <v>0</v>
      </c>
      <c r="BE93" s="180">
        <v>0</v>
      </c>
      <c r="BF93" s="180">
        <v>0</v>
      </c>
      <c r="BG93" s="180">
        <v>0</v>
      </c>
      <c r="BH93" s="180">
        <v>0</v>
      </c>
      <c r="BI93" s="180">
        <v>0</v>
      </c>
      <c r="BJ93" s="180">
        <v>0</v>
      </c>
      <c r="BK93" s="180"/>
      <c r="BL93" s="180">
        <v>0</v>
      </c>
      <c r="BM93" s="180">
        <v>0</v>
      </c>
      <c r="BN93" s="180">
        <v>0</v>
      </c>
      <c r="BO93" s="180">
        <v>0</v>
      </c>
      <c r="BP93" s="180">
        <v>0</v>
      </c>
      <c r="BQ93" s="180">
        <v>0</v>
      </c>
      <c r="BR93" s="180"/>
      <c r="BS93" s="180">
        <v>0</v>
      </c>
      <c r="BT93" s="180"/>
      <c r="BU93" s="180">
        <v>0</v>
      </c>
      <c r="BV93" s="180">
        <v>0</v>
      </c>
      <c r="BW93" s="180">
        <v>0</v>
      </c>
      <c r="BX93" s="180">
        <v>0</v>
      </c>
      <c r="BY93" s="180">
        <v>0</v>
      </c>
      <c r="BZ93" s="180">
        <v>0</v>
      </c>
      <c r="CA93" s="180">
        <v>0</v>
      </c>
      <c r="CB93" s="180">
        <v>0</v>
      </c>
      <c r="CC93" s="180">
        <v>0</v>
      </c>
      <c r="CD93" s="180"/>
      <c r="CE93" s="180">
        <v>0</v>
      </c>
      <c r="CF93" s="180">
        <v>0</v>
      </c>
      <c r="CG93" s="180">
        <v>0</v>
      </c>
      <c r="CH93" s="180">
        <v>0</v>
      </c>
      <c r="CI93" s="180"/>
      <c r="CJ93" s="180"/>
      <c r="CK93" s="180"/>
      <c r="CL93" s="180"/>
      <c r="CM93" s="180"/>
      <c r="CN93" s="180"/>
      <c r="CO93" s="180"/>
      <c r="CP93" s="180"/>
      <c r="CQ93" s="180"/>
      <c r="CR93" s="180"/>
      <c r="CS93" s="180"/>
      <c r="CT93" s="180"/>
      <c r="CU93" s="180"/>
    </row>
    <row r="94" spans="1:99" x14ac:dyDescent="0.3">
      <c r="A94" s="155">
        <v>384</v>
      </c>
      <c r="B94" s="180" t="s">
        <v>116</v>
      </c>
      <c r="C94" s="180"/>
      <c r="D94" s="180">
        <v>0</v>
      </c>
      <c r="E94" s="180">
        <v>0</v>
      </c>
      <c r="F94" s="180">
        <v>0</v>
      </c>
      <c r="G94" s="180">
        <v>0</v>
      </c>
      <c r="H94" s="180"/>
      <c r="I94" s="180">
        <v>0</v>
      </c>
      <c r="J94" s="180">
        <v>0</v>
      </c>
      <c r="K94" s="180">
        <v>0</v>
      </c>
      <c r="L94" s="180">
        <v>0</v>
      </c>
      <c r="M94" s="180">
        <v>0</v>
      </c>
      <c r="N94" s="180">
        <v>0</v>
      </c>
      <c r="O94" s="180">
        <v>0</v>
      </c>
      <c r="P94" s="180">
        <v>0</v>
      </c>
      <c r="Q94" s="180">
        <v>0</v>
      </c>
      <c r="R94" s="180">
        <v>0</v>
      </c>
      <c r="S94" s="180">
        <v>0</v>
      </c>
      <c r="T94" s="180">
        <v>0</v>
      </c>
      <c r="U94" s="180">
        <v>0</v>
      </c>
      <c r="V94" s="180">
        <v>0</v>
      </c>
      <c r="W94" s="180">
        <v>0</v>
      </c>
      <c r="X94" s="180">
        <v>0</v>
      </c>
      <c r="Y94" s="180">
        <v>0</v>
      </c>
      <c r="Z94" s="180">
        <v>0</v>
      </c>
      <c r="AA94" s="180">
        <v>0</v>
      </c>
      <c r="AB94" s="180">
        <v>0</v>
      </c>
      <c r="AC94" s="180"/>
      <c r="AD94" s="180">
        <v>0</v>
      </c>
      <c r="AE94" s="180">
        <v>0</v>
      </c>
      <c r="AF94" s="180">
        <v>0</v>
      </c>
      <c r="AG94" s="180">
        <v>0</v>
      </c>
      <c r="AH94" s="180">
        <v>0</v>
      </c>
      <c r="AI94" s="180">
        <v>0</v>
      </c>
      <c r="AJ94" s="180">
        <v>0</v>
      </c>
      <c r="AK94" s="180">
        <v>0</v>
      </c>
      <c r="AL94" s="180">
        <v>0</v>
      </c>
      <c r="AM94" s="180"/>
      <c r="AN94" s="180">
        <v>0</v>
      </c>
      <c r="AO94" s="180"/>
      <c r="AP94" s="180">
        <v>0</v>
      </c>
      <c r="AQ94" s="180">
        <v>0</v>
      </c>
      <c r="AR94" s="180">
        <v>0</v>
      </c>
      <c r="AS94" s="180">
        <v>0</v>
      </c>
      <c r="AT94" s="180">
        <v>0</v>
      </c>
      <c r="AU94" s="180">
        <v>0</v>
      </c>
      <c r="AV94" s="180">
        <v>0</v>
      </c>
      <c r="AW94" s="180">
        <v>0</v>
      </c>
      <c r="AX94" s="180">
        <v>0</v>
      </c>
      <c r="AY94" s="180">
        <v>0</v>
      </c>
      <c r="AZ94" s="180">
        <v>0</v>
      </c>
      <c r="BA94" s="180">
        <v>0</v>
      </c>
      <c r="BB94" s="180">
        <v>0</v>
      </c>
      <c r="BC94" s="180">
        <v>0</v>
      </c>
      <c r="BD94" s="180">
        <v>0</v>
      </c>
      <c r="BE94" s="180">
        <v>0</v>
      </c>
      <c r="BF94" s="180">
        <v>0</v>
      </c>
      <c r="BG94" s="180">
        <v>0</v>
      </c>
      <c r="BH94" s="180">
        <v>0</v>
      </c>
      <c r="BI94" s="180">
        <v>0</v>
      </c>
      <c r="BJ94" s="180">
        <v>0</v>
      </c>
      <c r="BK94" s="180"/>
      <c r="BL94" s="180">
        <v>0</v>
      </c>
      <c r="BM94" s="180">
        <v>0</v>
      </c>
      <c r="BN94" s="180">
        <v>0</v>
      </c>
      <c r="BO94" s="180">
        <v>0</v>
      </c>
      <c r="BP94" s="180">
        <v>0</v>
      </c>
      <c r="BQ94" s="180">
        <v>0</v>
      </c>
      <c r="BR94" s="180"/>
      <c r="BS94" s="180">
        <v>0</v>
      </c>
      <c r="BT94" s="180"/>
      <c r="BU94" s="180">
        <v>0</v>
      </c>
      <c r="BV94" s="180">
        <v>0</v>
      </c>
      <c r="BW94" s="180">
        <v>0</v>
      </c>
      <c r="BX94" s="180">
        <v>0</v>
      </c>
      <c r="BY94" s="180">
        <v>0</v>
      </c>
      <c r="BZ94" s="180">
        <v>0</v>
      </c>
      <c r="CA94" s="180">
        <v>0</v>
      </c>
      <c r="CB94" s="180">
        <v>0</v>
      </c>
      <c r="CC94" s="180">
        <v>0</v>
      </c>
      <c r="CD94" s="180"/>
      <c r="CE94" s="180">
        <v>0</v>
      </c>
      <c r="CF94" s="180">
        <v>0</v>
      </c>
      <c r="CG94" s="180">
        <v>0</v>
      </c>
      <c r="CH94" s="180">
        <v>0</v>
      </c>
      <c r="CI94" s="180"/>
      <c r="CJ94" s="180"/>
      <c r="CK94" s="180"/>
      <c r="CL94" s="180"/>
      <c r="CM94" s="180"/>
      <c r="CN94" s="180"/>
      <c r="CO94" s="180"/>
      <c r="CP94" s="180"/>
      <c r="CQ94" s="180"/>
      <c r="CR94" s="180"/>
      <c r="CS94" s="180"/>
      <c r="CT94" s="180"/>
      <c r="CU94" s="180"/>
    </row>
    <row r="95" spans="1:99" x14ac:dyDescent="0.3">
      <c r="A95" s="155">
        <v>385</v>
      </c>
      <c r="B95" s="180" t="s">
        <v>107</v>
      </c>
      <c r="C95" s="180"/>
      <c r="D95" s="180">
        <v>4269742</v>
      </c>
      <c r="E95" s="180">
        <v>6184574</v>
      </c>
      <c r="F95" s="180">
        <v>1265891</v>
      </c>
      <c r="G95" s="180">
        <v>1079937</v>
      </c>
      <c r="H95" s="180"/>
      <c r="I95" s="180">
        <v>29314401</v>
      </c>
      <c r="J95" s="180">
        <v>6346235</v>
      </c>
      <c r="K95" s="180">
        <v>60916823</v>
      </c>
      <c r="L95" s="180">
        <v>11361974</v>
      </c>
      <c r="M95" s="180">
        <v>104199861</v>
      </c>
      <c r="N95" s="180">
        <v>6018442</v>
      </c>
      <c r="O95" s="180">
        <v>1516612237</v>
      </c>
      <c r="P95" s="180">
        <v>174204</v>
      </c>
      <c r="Q95" s="180">
        <v>1028453</v>
      </c>
      <c r="R95" s="180">
        <v>12289000</v>
      </c>
      <c r="S95" s="180">
        <v>3210310</v>
      </c>
      <c r="T95" s="180">
        <v>6276607</v>
      </c>
      <c r="U95" s="180">
        <v>870795</v>
      </c>
      <c r="V95" s="180">
        <v>1246052</v>
      </c>
      <c r="W95" s="180">
        <v>5895012</v>
      </c>
      <c r="X95" s="180">
        <v>275102924</v>
      </c>
      <c r="Y95" s="180">
        <v>9155701000</v>
      </c>
      <c r="Z95" s="180">
        <v>14817973</v>
      </c>
      <c r="AA95" s="180">
        <v>2520565</v>
      </c>
      <c r="AB95" s="180">
        <v>11159050</v>
      </c>
      <c r="AC95" s="180"/>
      <c r="AD95" s="180">
        <v>16637779</v>
      </c>
      <c r="AE95" s="180">
        <v>3768140</v>
      </c>
      <c r="AF95" s="180">
        <v>132130395</v>
      </c>
      <c r="AG95" s="180">
        <v>62914995</v>
      </c>
      <c r="AH95" s="180">
        <v>6270647</v>
      </c>
      <c r="AI95" s="180">
        <v>25306395</v>
      </c>
      <c r="AJ95" s="180">
        <v>2984502</v>
      </c>
      <c r="AK95" s="180">
        <v>3844589</v>
      </c>
      <c r="AL95" s="180">
        <v>1972422</v>
      </c>
      <c r="AM95" s="180"/>
      <c r="AN95" s="180">
        <v>1872228</v>
      </c>
      <c r="AO95" s="180"/>
      <c r="AP95" s="180">
        <v>126337</v>
      </c>
      <c r="AQ95" s="180">
        <v>742407508</v>
      </c>
      <c r="AR95" s="180">
        <v>485813</v>
      </c>
      <c r="AS95" s="180">
        <v>4157172</v>
      </c>
      <c r="AT95" s="180">
        <v>70302649</v>
      </c>
      <c r="AU95" s="180">
        <v>1350994</v>
      </c>
      <c r="AV95" s="570">
        <v>2143942</v>
      </c>
      <c r="AW95" s="180">
        <v>151237868</v>
      </c>
      <c r="AX95" s="180">
        <v>799939</v>
      </c>
      <c r="AY95" s="180">
        <v>20138644</v>
      </c>
      <c r="AZ95" s="180">
        <v>36544455</v>
      </c>
      <c r="BA95" s="180">
        <v>713936</v>
      </c>
      <c r="BB95" s="180">
        <v>587259</v>
      </c>
      <c r="BC95" s="180">
        <v>15298018</v>
      </c>
      <c r="BD95" s="180">
        <v>435143</v>
      </c>
      <c r="BE95" s="180">
        <v>73494509</v>
      </c>
      <c r="BF95" s="180">
        <v>5327488</v>
      </c>
      <c r="BG95" s="180">
        <v>1887524</v>
      </c>
      <c r="BH95" s="180">
        <v>1106908</v>
      </c>
      <c r="BI95" s="180">
        <v>5631480</v>
      </c>
      <c r="BJ95" s="180">
        <v>4095739</v>
      </c>
      <c r="BK95" s="180"/>
      <c r="BL95" s="180">
        <v>7786804</v>
      </c>
      <c r="BM95" s="180">
        <v>1684033</v>
      </c>
      <c r="BN95" s="180">
        <v>40741704</v>
      </c>
      <c r="BO95" s="180">
        <v>34770230</v>
      </c>
      <c r="BP95" s="180">
        <v>1401629495</v>
      </c>
      <c r="BQ95" s="180">
        <v>194120</v>
      </c>
      <c r="BR95" s="180"/>
      <c r="BS95" s="180">
        <v>2172763</v>
      </c>
      <c r="BT95" s="180"/>
      <c r="BU95" s="180">
        <v>12488348</v>
      </c>
      <c r="BV95" s="180">
        <v>54239240</v>
      </c>
      <c r="BW95" s="180">
        <v>16192912</v>
      </c>
      <c r="BX95" s="180">
        <v>58785344</v>
      </c>
      <c r="BY95" s="180">
        <v>29031076</v>
      </c>
      <c r="BZ95" s="180">
        <v>1694606</v>
      </c>
      <c r="CA95" s="180">
        <v>17159705</v>
      </c>
      <c r="CB95" s="180">
        <v>1341236</v>
      </c>
      <c r="CC95" s="180">
        <v>2473997</v>
      </c>
      <c r="CD95" s="180"/>
      <c r="CE95" s="180">
        <v>25464173</v>
      </c>
      <c r="CF95" s="180">
        <v>40721076</v>
      </c>
      <c r="CG95" s="180">
        <v>10436933</v>
      </c>
      <c r="CH95" s="180">
        <v>14492168</v>
      </c>
      <c r="CI95" s="180"/>
      <c r="CJ95" s="180"/>
      <c r="CK95" s="180"/>
      <c r="CL95" s="180"/>
      <c r="CM95" s="180"/>
      <c r="CN95" s="180"/>
      <c r="CO95" s="180"/>
      <c r="CP95" s="180"/>
      <c r="CQ95" s="180"/>
      <c r="CR95" s="180"/>
      <c r="CS95" s="180"/>
      <c r="CT95" s="180"/>
      <c r="CU95" s="180"/>
    </row>
    <row r="96" spans="1:99" x14ac:dyDescent="0.3">
      <c r="A96" s="155">
        <v>386</v>
      </c>
      <c r="B96" s="180" t="s">
        <v>185</v>
      </c>
      <c r="C96" s="180"/>
      <c r="D96" s="180">
        <v>0</v>
      </c>
      <c r="E96" s="180">
        <v>0</v>
      </c>
      <c r="F96" s="180">
        <v>0</v>
      </c>
      <c r="G96" s="180">
        <v>0</v>
      </c>
      <c r="H96" s="180"/>
      <c r="I96" s="180">
        <v>0</v>
      </c>
      <c r="J96" s="180">
        <v>0</v>
      </c>
      <c r="K96" s="180">
        <v>750000</v>
      </c>
      <c r="L96" s="180">
        <v>0</v>
      </c>
      <c r="M96" s="180">
        <v>0</v>
      </c>
      <c r="N96" s="180">
        <v>0</v>
      </c>
      <c r="O96" s="180">
        <v>1000000</v>
      </c>
      <c r="P96" s="180">
        <v>0</v>
      </c>
      <c r="Q96" s="180">
        <v>0</v>
      </c>
      <c r="R96" s="180">
        <v>0</v>
      </c>
      <c r="S96" s="180">
        <v>0</v>
      </c>
      <c r="T96" s="180">
        <v>0</v>
      </c>
      <c r="U96" s="180">
        <v>0</v>
      </c>
      <c r="V96" s="180">
        <v>0</v>
      </c>
      <c r="W96" s="180">
        <v>0</v>
      </c>
      <c r="X96" s="180">
        <v>633408</v>
      </c>
      <c r="Y96" s="180">
        <v>0</v>
      </c>
      <c r="Z96" s="180">
        <v>0</v>
      </c>
      <c r="AA96" s="180">
        <v>0</v>
      </c>
      <c r="AB96" s="180">
        <v>0</v>
      </c>
      <c r="AC96" s="180"/>
      <c r="AD96" s="180">
        <v>258000</v>
      </c>
      <c r="AE96" s="180">
        <v>0</v>
      </c>
      <c r="AF96" s="180">
        <v>0</v>
      </c>
      <c r="AG96" s="180">
        <v>0</v>
      </c>
      <c r="AH96" s="180">
        <v>0</v>
      </c>
      <c r="AI96" s="180">
        <v>0</v>
      </c>
      <c r="AJ96" s="180">
        <v>0</v>
      </c>
      <c r="AK96" s="180">
        <v>0</v>
      </c>
      <c r="AL96" s="180">
        <v>0</v>
      </c>
      <c r="AM96" s="180"/>
      <c r="AN96" s="180">
        <v>101</v>
      </c>
      <c r="AO96" s="180"/>
      <c r="AP96" s="180">
        <v>0</v>
      </c>
      <c r="AQ96" s="180">
        <v>0</v>
      </c>
      <c r="AR96" s="180">
        <v>0</v>
      </c>
      <c r="AS96" s="180">
        <v>0</v>
      </c>
      <c r="AT96" s="180">
        <v>0</v>
      </c>
      <c r="AU96" s="180">
        <v>0</v>
      </c>
      <c r="AV96" s="180">
        <v>0</v>
      </c>
      <c r="AW96" s="180">
        <v>0</v>
      </c>
      <c r="AX96" s="180">
        <v>61827</v>
      </c>
      <c r="AY96" s="180">
        <v>0</v>
      </c>
      <c r="AZ96" s="180">
        <v>0</v>
      </c>
      <c r="BA96" s="180">
        <v>0</v>
      </c>
      <c r="BB96" s="180">
        <v>0</v>
      </c>
      <c r="BC96" s="180">
        <v>852970</v>
      </c>
      <c r="BD96" s="180">
        <v>0</v>
      </c>
      <c r="BE96" s="180">
        <v>0</v>
      </c>
      <c r="BF96" s="180">
        <v>0</v>
      </c>
      <c r="BG96" s="180">
        <v>0</v>
      </c>
      <c r="BH96" s="180">
        <v>0</v>
      </c>
      <c r="BI96" s="180">
        <v>0</v>
      </c>
      <c r="BJ96" s="180">
        <v>0</v>
      </c>
      <c r="BK96" s="180"/>
      <c r="BL96" s="180">
        <v>0</v>
      </c>
      <c r="BM96" s="180">
        <v>0</v>
      </c>
      <c r="BN96" s="180">
        <v>0</v>
      </c>
      <c r="BO96" s="180">
        <v>0</v>
      </c>
      <c r="BP96" s="180">
        <v>569237</v>
      </c>
      <c r="BQ96" s="180">
        <v>0</v>
      </c>
      <c r="BR96" s="180"/>
      <c r="BS96" s="180">
        <v>0</v>
      </c>
      <c r="BT96" s="180"/>
      <c r="BU96" s="180">
        <v>0</v>
      </c>
      <c r="BV96" s="180">
        <v>0</v>
      </c>
      <c r="BW96" s="180">
        <v>49953</v>
      </c>
      <c r="BX96" s="180">
        <v>925000</v>
      </c>
      <c r="BY96" s="180">
        <v>0</v>
      </c>
      <c r="BZ96" s="180">
        <v>0</v>
      </c>
      <c r="CA96" s="180">
        <v>0</v>
      </c>
      <c r="CB96" s="180">
        <v>0</v>
      </c>
      <c r="CC96" s="180">
        <v>0</v>
      </c>
      <c r="CD96" s="180"/>
      <c r="CE96" s="180">
        <v>0</v>
      </c>
      <c r="CF96" s="180">
        <v>0</v>
      </c>
      <c r="CG96" s="180">
        <v>0</v>
      </c>
      <c r="CH96" s="180">
        <v>0</v>
      </c>
      <c r="CI96" s="180"/>
      <c r="CJ96" s="180"/>
      <c r="CK96" s="180"/>
      <c r="CL96" s="180"/>
      <c r="CM96" s="180"/>
      <c r="CN96" s="180"/>
      <c r="CO96" s="180"/>
      <c r="CP96" s="180"/>
      <c r="CQ96" s="180"/>
      <c r="CR96" s="180"/>
      <c r="CS96" s="180"/>
      <c r="CT96" s="180"/>
      <c r="CU96" s="180"/>
    </row>
    <row r="97" spans="1:99" x14ac:dyDescent="0.3">
      <c r="A97" s="155">
        <v>387</v>
      </c>
      <c r="B97" s="180" t="s">
        <v>186</v>
      </c>
      <c r="C97" s="180"/>
      <c r="D97" s="180">
        <v>605267</v>
      </c>
      <c r="E97" s="180">
        <v>0</v>
      </c>
      <c r="F97" s="180">
        <v>0</v>
      </c>
      <c r="G97" s="180">
        <v>0</v>
      </c>
      <c r="H97" s="180"/>
      <c r="I97" s="180">
        <v>0</v>
      </c>
      <c r="J97" s="180">
        <v>0</v>
      </c>
      <c r="K97" s="180">
        <v>0</v>
      </c>
      <c r="L97" s="180">
        <v>0</v>
      </c>
      <c r="M97" s="180">
        <v>132385</v>
      </c>
      <c r="N97" s="180">
        <v>0</v>
      </c>
      <c r="O97" s="180">
        <v>70000</v>
      </c>
      <c r="P97" s="180">
        <v>0</v>
      </c>
      <c r="Q97" s="180">
        <v>0</v>
      </c>
      <c r="R97" s="180">
        <v>0</v>
      </c>
      <c r="S97" s="180">
        <v>0</v>
      </c>
      <c r="T97" s="180">
        <v>0</v>
      </c>
      <c r="U97" s="180">
        <v>0</v>
      </c>
      <c r="V97" s="180">
        <v>29298</v>
      </c>
      <c r="W97" s="180">
        <v>0</v>
      </c>
      <c r="X97" s="180">
        <v>0</v>
      </c>
      <c r="Y97" s="180">
        <v>28479000</v>
      </c>
      <c r="Z97" s="180">
        <v>0</v>
      </c>
      <c r="AA97" s="180">
        <v>0</v>
      </c>
      <c r="AB97" s="180">
        <v>0</v>
      </c>
      <c r="AC97" s="180"/>
      <c r="AD97" s="180">
        <v>0</v>
      </c>
      <c r="AE97" s="180">
        <v>0</v>
      </c>
      <c r="AF97" s="180">
        <v>2375000</v>
      </c>
      <c r="AG97" s="180">
        <v>1970648</v>
      </c>
      <c r="AH97" s="180">
        <v>0</v>
      </c>
      <c r="AI97" s="180">
        <v>0</v>
      </c>
      <c r="AJ97" s="180">
        <v>0</v>
      </c>
      <c r="AK97" s="180">
        <v>665513</v>
      </c>
      <c r="AL97" s="180">
        <v>79855</v>
      </c>
      <c r="AM97" s="180"/>
      <c r="AN97" s="180">
        <v>0</v>
      </c>
      <c r="AO97" s="180"/>
      <c r="AP97" s="180">
        <v>0</v>
      </c>
      <c r="AQ97" s="180">
        <v>1996071</v>
      </c>
      <c r="AR97" s="180">
        <v>0</v>
      </c>
      <c r="AS97" s="180">
        <v>0</v>
      </c>
      <c r="AT97" s="180">
        <v>1360838</v>
      </c>
      <c r="AU97" s="180">
        <v>0</v>
      </c>
      <c r="AV97" s="180">
        <v>0</v>
      </c>
      <c r="AW97" s="180">
        <v>0</v>
      </c>
      <c r="AX97" s="180">
        <v>0</v>
      </c>
      <c r="AY97" s="180">
        <v>0</v>
      </c>
      <c r="AZ97" s="180">
        <v>0</v>
      </c>
      <c r="BA97" s="180">
        <v>0</v>
      </c>
      <c r="BB97" s="180">
        <v>19058</v>
      </c>
      <c r="BC97" s="180">
        <v>703237</v>
      </c>
      <c r="BD97" s="180">
        <v>0</v>
      </c>
      <c r="BE97" s="180">
        <v>27681</v>
      </c>
      <c r="BF97" s="180">
        <v>0</v>
      </c>
      <c r="BG97" s="180">
        <v>0</v>
      </c>
      <c r="BH97" s="180">
        <v>0</v>
      </c>
      <c r="BI97" s="180">
        <v>350000</v>
      </c>
      <c r="BJ97" s="180">
        <v>0</v>
      </c>
      <c r="BK97" s="180"/>
      <c r="BL97" s="180">
        <v>0</v>
      </c>
      <c r="BM97" s="180">
        <v>0</v>
      </c>
      <c r="BN97" s="180">
        <v>0</v>
      </c>
      <c r="BO97" s="180">
        <v>2137716</v>
      </c>
      <c r="BP97" s="180">
        <v>0</v>
      </c>
      <c r="BQ97" s="180">
        <v>0</v>
      </c>
      <c r="BR97" s="180"/>
      <c r="BS97" s="180">
        <v>0</v>
      </c>
      <c r="BT97" s="180"/>
      <c r="BU97" s="180">
        <v>0</v>
      </c>
      <c r="BV97" s="180">
        <v>501107</v>
      </c>
      <c r="BW97" s="180">
        <v>0</v>
      </c>
      <c r="BX97" s="180">
        <v>0</v>
      </c>
      <c r="BY97" s="180">
        <v>0</v>
      </c>
      <c r="BZ97" s="180">
        <v>35375</v>
      </c>
      <c r="CA97" s="180">
        <v>0</v>
      </c>
      <c r="CB97" s="180">
        <v>0</v>
      </c>
      <c r="CC97" s="180">
        <v>0</v>
      </c>
      <c r="CD97" s="180"/>
      <c r="CE97" s="180">
        <v>0</v>
      </c>
      <c r="CF97" s="180">
        <v>0</v>
      </c>
      <c r="CG97" s="180">
        <v>0</v>
      </c>
      <c r="CH97" s="180">
        <v>0</v>
      </c>
      <c r="CI97" s="180"/>
      <c r="CJ97" s="180"/>
      <c r="CK97" s="180"/>
      <c r="CL97" s="180"/>
      <c r="CM97" s="180"/>
      <c r="CN97" s="180"/>
      <c r="CO97" s="180"/>
      <c r="CP97" s="180"/>
      <c r="CQ97" s="180"/>
      <c r="CR97" s="180"/>
      <c r="CS97" s="180"/>
      <c r="CT97" s="180"/>
      <c r="CU97" s="180"/>
    </row>
    <row r="98" spans="1:99" x14ac:dyDescent="0.3">
      <c r="A98" s="155">
        <v>388</v>
      </c>
      <c r="B98" s="180" t="s">
        <v>180</v>
      </c>
      <c r="C98" s="180"/>
      <c r="D98" s="180">
        <v>556838</v>
      </c>
      <c r="E98" s="180">
        <v>1458324</v>
      </c>
      <c r="F98" s="180">
        <v>382488</v>
      </c>
      <c r="G98" s="180">
        <v>276709</v>
      </c>
      <c r="H98" s="180"/>
      <c r="I98" s="180">
        <v>6808396</v>
      </c>
      <c r="J98" s="180">
        <v>2048789</v>
      </c>
      <c r="K98" s="180">
        <v>16885732</v>
      </c>
      <c r="L98" s="180">
        <v>3227324</v>
      </c>
      <c r="M98" s="180">
        <v>27117113</v>
      </c>
      <c r="N98" s="180">
        <v>4482922</v>
      </c>
      <c r="O98" s="180">
        <v>296160411</v>
      </c>
      <c r="P98" s="180">
        <v>40782</v>
      </c>
      <c r="Q98" s="180">
        <v>175522</v>
      </c>
      <c r="R98" s="180">
        <v>1498266</v>
      </c>
      <c r="S98" s="180">
        <v>916282</v>
      </c>
      <c r="T98" s="180">
        <v>997052</v>
      </c>
      <c r="U98" s="180">
        <v>172024</v>
      </c>
      <c r="V98" s="180">
        <v>175979</v>
      </c>
      <c r="W98" s="180">
        <v>1982795</v>
      </c>
      <c r="X98" s="180">
        <v>86200172</v>
      </c>
      <c r="Y98" s="180">
        <v>1142267000</v>
      </c>
      <c r="Z98" s="180">
        <v>5751723</v>
      </c>
      <c r="AA98" s="180">
        <v>253870</v>
      </c>
      <c r="AB98" s="180">
        <v>4695942</v>
      </c>
      <c r="AC98" s="180"/>
      <c r="AD98" s="180">
        <v>5138618</v>
      </c>
      <c r="AE98" s="180">
        <v>1000046</v>
      </c>
      <c r="AF98" s="180">
        <v>34547837</v>
      </c>
      <c r="AG98" s="180">
        <v>7893608</v>
      </c>
      <c r="AH98" s="180">
        <v>1469273</v>
      </c>
      <c r="AI98" s="180">
        <v>11897479</v>
      </c>
      <c r="AJ98" s="180">
        <v>1373590</v>
      </c>
      <c r="AK98" s="180">
        <v>1755328</v>
      </c>
      <c r="AL98" s="180">
        <v>487024</v>
      </c>
      <c r="AM98" s="180"/>
      <c r="AN98" s="180">
        <v>868720</v>
      </c>
      <c r="AO98" s="180"/>
      <c r="AP98" s="180">
        <v>27566</v>
      </c>
      <c r="AQ98" s="180">
        <v>141914245</v>
      </c>
      <c r="AR98" s="180">
        <v>210804</v>
      </c>
      <c r="AS98" s="180">
        <v>597968</v>
      </c>
      <c r="AT98" s="180">
        <v>14304936</v>
      </c>
      <c r="AU98" s="180">
        <v>748499</v>
      </c>
      <c r="AV98" s="570">
        <v>842997</v>
      </c>
      <c r="AW98" s="180">
        <v>27187320</v>
      </c>
      <c r="AX98" s="180">
        <v>466793</v>
      </c>
      <c r="AY98" s="180">
        <v>7422796</v>
      </c>
      <c r="AZ98" s="180">
        <v>6137128</v>
      </c>
      <c r="BA98" s="180">
        <v>171992</v>
      </c>
      <c r="BB98" s="180">
        <v>127115</v>
      </c>
      <c r="BC98" s="180">
        <v>4776861</v>
      </c>
      <c r="BD98" s="180">
        <v>62687</v>
      </c>
      <c r="BE98" s="180">
        <v>16450022</v>
      </c>
      <c r="BF98" s="180">
        <v>1732232</v>
      </c>
      <c r="BG98" s="180">
        <v>260327</v>
      </c>
      <c r="BH98" s="180">
        <v>423301</v>
      </c>
      <c r="BI98" s="180">
        <v>2311788</v>
      </c>
      <c r="BJ98" s="180">
        <v>256620</v>
      </c>
      <c r="BK98" s="180"/>
      <c r="BL98" s="180">
        <v>1618671</v>
      </c>
      <c r="BM98" s="180">
        <v>582704</v>
      </c>
      <c r="BN98" s="180">
        <v>10901453</v>
      </c>
      <c r="BO98" s="180">
        <v>13056150</v>
      </c>
      <c r="BP98" s="180">
        <v>341430632</v>
      </c>
      <c r="BQ98" s="180">
        <v>63129</v>
      </c>
      <c r="BR98" s="180"/>
      <c r="BS98" s="180">
        <v>426392</v>
      </c>
      <c r="BT98" s="180"/>
      <c r="BU98" s="180">
        <v>1743785</v>
      </c>
      <c r="BV98" s="180">
        <v>16990382</v>
      </c>
      <c r="BW98" s="180">
        <v>7698907</v>
      </c>
      <c r="BX98" s="180">
        <v>23803142</v>
      </c>
      <c r="BY98" s="180">
        <v>6488856</v>
      </c>
      <c r="BZ98" s="180">
        <v>303037</v>
      </c>
      <c r="CA98" s="180">
        <v>7128661</v>
      </c>
      <c r="CB98" s="180">
        <v>262820</v>
      </c>
      <c r="CC98" s="180">
        <v>826865</v>
      </c>
      <c r="CD98" s="180"/>
      <c r="CE98" s="180">
        <v>8786121</v>
      </c>
      <c r="CF98" s="180">
        <v>13535680</v>
      </c>
      <c r="CG98" s="180">
        <v>1895687</v>
      </c>
      <c r="CH98" s="180">
        <v>3837733</v>
      </c>
      <c r="CI98" s="180"/>
      <c r="CJ98" s="180"/>
      <c r="CK98" s="180"/>
      <c r="CL98" s="180"/>
      <c r="CM98" s="180"/>
      <c r="CN98" s="180"/>
      <c r="CO98" s="180"/>
      <c r="CP98" s="180"/>
      <c r="CQ98" s="180"/>
      <c r="CR98" s="180"/>
      <c r="CS98" s="180"/>
      <c r="CT98" s="180"/>
      <c r="CU98" s="180"/>
    </row>
    <row r="99" spans="1:99" x14ac:dyDescent="0.3">
      <c r="A99" s="155">
        <v>389</v>
      </c>
      <c r="B99" s="180" t="s">
        <v>187</v>
      </c>
      <c r="C99" s="180"/>
      <c r="D99" s="180">
        <v>0</v>
      </c>
      <c r="E99" s="180">
        <v>0</v>
      </c>
      <c r="F99" s="180">
        <v>0</v>
      </c>
      <c r="G99" s="180">
        <v>0</v>
      </c>
      <c r="H99" s="180"/>
      <c r="I99" s="180">
        <v>3239977</v>
      </c>
      <c r="J99" s="180">
        <v>0</v>
      </c>
      <c r="K99" s="180">
        <v>0</v>
      </c>
      <c r="L99" s="180">
        <v>0</v>
      </c>
      <c r="M99" s="180">
        <v>0</v>
      </c>
      <c r="N99" s="180">
        <v>0</v>
      </c>
      <c r="O99" s="180">
        <v>0</v>
      </c>
      <c r="P99" s="180">
        <v>0</v>
      </c>
      <c r="Q99" s="180">
        <v>0</v>
      </c>
      <c r="R99" s="180">
        <v>0</v>
      </c>
      <c r="S99" s="180">
        <v>0</v>
      </c>
      <c r="T99" s="180">
        <v>0</v>
      </c>
      <c r="U99" s="180">
        <v>0</v>
      </c>
      <c r="V99" s="180">
        <v>0</v>
      </c>
      <c r="W99" s="180">
        <v>0</v>
      </c>
      <c r="X99" s="180">
        <v>0</v>
      </c>
      <c r="Y99" s="180">
        <v>0</v>
      </c>
      <c r="Z99" s="180">
        <v>0</v>
      </c>
      <c r="AA99" s="180">
        <v>0</v>
      </c>
      <c r="AB99" s="180">
        <v>0</v>
      </c>
      <c r="AC99" s="180"/>
      <c r="AD99" s="180">
        <v>0</v>
      </c>
      <c r="AE99" s="180">
        <v>0</v>
      </c>
      <c r="AF99" s="180">
        <v>0</v>
      </c>
      <c r="AG99" s="180">
        <v>0</v>
      </c>
      <c r="AH99" s="180">
        <v>0</v>
      </c>
      <c r="AI99" s="180">
        <v>0</v>
      </c>
      <c r="AJ99" s="180">
        <v>-18696</v>
      </c>
      <c r="AK99" s="180">
        <v>0</v>
      </c>
      <c r="AL99" s="180">
        <v>0</v>
      </c>
      <c r="AM99" s="180"/>
      <c r="AN99" s="180">
        <v>0</v>
      </c>
      <c r="AO99" s="180"/>
      <c r="AP99" s="180">
        <v>0</v>
      </c>
      <c r="AQ99" s="180">
        <v>0</v>
      </c>
      <c r="AR99" s="180">
        <v>0</v>
      </c>
      <c r="AS99" s="180">
        <v>0</v>
      </c>
      <c r="AT99" s="180">
        <v>0</v>
      </c>
      <c r="AU99" s="180">
        <v>0</v>
      </c>
      <c r="AV99" s="180">
        <v>0</v>
      </c>
      <c r="AW99" s="180">
        <v>0</v>
      </c>
      <c r="AX99" s="180">
        <v>0</v>
      </c>
      <c r="AY99" s="180">
        <v>0</v>
      </c>
      <c r="AZ99" s="180">
        <v>0</v>
      </c>
      <c r="BA99" s="180">
        <v>0</v>
      </c>
      <c r="BB99" s="180">
        <v>0</v>
      </c>
      <c r="BC99" s="180">
        <v>0</v>
      </c>
      <c r="BD99" s="180">
        <v>0</v>
      </c>
      <c r="BE99" s="180">
        <v>0</v>
      </c>
      <c r="BF99" s="180">
        <v>0</v>
      </c>
      <c r="BG99" s="180">
        <v>0</v>
      </c>
      <c r="BH99" s="180">
        <v>0</v>
      </c>
      <c r="BI99" s="180">
        <v>0</v>
      </c>
      <c r="BJ99" s="180">
        <v>0</v>
      </c>
      <c r="BK99" s="180"/>
      <c r="BL99" s="180">
        <v>0</v>
      </c>
      <c r="BM99" s="180">
        <v>0</v>
      </c>
      <c r="BN99" s="180">
        <v>0</v>
      </c>
      <c r="BO99" s="180">
        <v>0</v>
      </c>
      <c r="BP99" s="180">
        <v>0</v>
      </c>
      <c r="BQ99" s="180">
        <v>0</v>
      </c>
      <c r="BR99" s="180"/>
      <c r="BS99" s="180">
        <v>0</v>
      </c>
      <c r="BT99" s="180"/>
      <c r="BU99" s="180">
        <v>0</v>
      </c>
      <c r="BV99" s="180">
        <v>0</v>
      </c>
      <c r="BW99" s="180">
        <v>0</v>
      </c>
      <c r="BX99" s="180">
        <v>0</v>
      </c>
      <c r="BY99" s="180">
        <v>0</v>
      </c>
      <c r="BZ99" s="180">
        <v>0</v>
      </c>
      <c r="CA99" s="180">
        <v>0</v>
      </c>
      <c r="CB99" s="180">
        <v>0</v>
      </c>
      <c r="CC99" s="180">
        <v>0</v>
      </c>
      <c r="CD99" s="180"/>
      <c r="CE99" s="180">
        <v>0</v>
      </c>
      <c r="CF99" s="180">
        <v>0</v>
      </c>
      <c r="CG99" s="180">
        <v>0</v>
      </c>
      <c r="CH99" s="180">
        <v>0</v>
      </c>
      <c r="CI99" s="180"/>
      <c r="CJ99" s="180"/>
      <c r="CK99" s="180"/>
      <c r="CL99" s="180"/>
      <c r="CM99" s="180"/>
      <c r="CN99" s="180"/>
      <c r="CO99" s="180"/>
      <c r="CP99" s="180"/>
      <c r="CQ99" s="180"/>
      <c r="CR99" s="180"/>
      <c r="CS99" s="180"/>
      <c r="CT99" s="180"/>
      <c r="CU99" s="180"/>
    </row>
    <row r="100" spans="1:99" x14ac:dyDescent="0.3">
      <c r="A100" s="155">
        <v>391</v>
      </c>
      <c r="B100" s="180" t="s">
        <v>192</v>
      </c>
      <c r="C100" s="180"/>
      <c r="D100" s="180">
        <v>149143</v>
      </c>
      <c r="E100" s="180">
        <v>227633</v>
      </c>
      <c r="F100" s="180">
        <v>32472</v>
      </c>
      <c r="G100" s="180">
        <v>25298</v>
      </c>
      <c r="H100" s="180"/>
      <c r="I100" s="180">
        <v>1988413</v>
      </c>
      <c r="J100" s="180">
        <v>158725</v>
      </c>
      <c r="K100" s="180">
        <v>2124747</v>
      </c>
      <c r="L100" s="180">
        <v>404577</v>
      </c>
      <c r="M100" s="180">
        <v>3311758</v>
      </c>
      <c r="N100" s="180">
        <v>388410</v>
      </c>
      <c r="O100" s="180">
        <v>48651876</v>
      </c>
      <c r="P100" s="180">
        <v>4754</v>
      </c>
      <c r="Q100" s="180">
        <v>26042</v>
      </c>
      <c r="R100" s="180">
        <v>87445</v>
      </c>
      <c r="S100" s="180">
        <v>131445</v>
      </c>
      <c r="T100" s="180">
        <v>56827</v>
      </c>
      <c r="U100" s="180">
        <v>25447</v>
      </c>
      <c r="V100" s="180">
        <v>27285</v>
      </c>
      <c r="W100" s="180">
        <v>200440</v>
      </c>
      <c r="X100" s="180">
        <v>12333204</v>
      </c>
      <c r="Y100" s="180">
        <v>78939000</v>
      </c>
      <c r="Z100" s="180">
        <v>513183</v>
      </c>
      <c r="AA100" s="180">
        <v>22701</v>
      </c>
      <c r="AB100" s="180">
        <v>509369</v>
      </c>
      <c r="AC100" s="180"/>
      <c r="AD100" s="180">
        <v>487691</v>
      </c>
      <c r="AE100" s="180">
        <v>97383</v>
      </c>
      <c r="AF100" s="180">
        <v>2250662</v>
      </c>
      <c r="AG100" s="180">
        <v>976776</v>
      </c>
      <c r="AH100" s="180">
        <v>68087</v>
      </c>
      <c r="AI100" s="180">
        <v>1786880</v>
      </c>
      <c r="AJ100" s="180">
        <v>188113</v>
      </c>
      <c r="AK100" s="180">
        <v>56104</v>
      </c>
      <c r="AL100" s="180">
        <v>190566</v>
      </c>
      <c r="AM100" s="180"/>
      <c r="AN100" s="180">
        <v>61610</v>
      </c>
      <c r="AO100" s="180"/>
      <c r="AP100" s="180">
        <v>5689</v>
      </c>
      <c r="AQ100" s="180">
        <v>27676449</v>
      </c>
      <c r="AR100" s="180">
        <v>10440</v>
      </c>
      <c r="AS100" s="180">
        <v>97692</v>
      </c>
      <c r="AT100" s="180">
        <v>1831401</v>
      </c>
      <c r="AU100" s="180">
        <v>68070</v>
      </c>
      <c r="AV100" s="570">
        <v>36238</v>
      </c>
      <c r="AW100" s="180">
        <v>2678342</v>
      </c>
      <c r="AX100" s="180">
        <v>70633</v>
      </c>
      <c r="AY100" s="180">
        <v>698935</v>
      </c>
      <c r="AZ100" s="180">
        <v>372652</v>
      </c>
      <c r="BA100" s="180">
        <v>27475</v>
      </c>
      <c r="BB100" s="180">
        <v>28236</v>
      </c>
      <c r="BC100" s="180">
        <v>390302</v>
      </c>
      <c r="BD100" s="180">
        <v>4165</v>
      </c>
      <c r="BE100" s="180">
        <v>1410373</v>
      </c>
      <c r="BF100" s="180">
        <v>169187</v>
      </c>
      <c r="BG100" s="180">
        <v>12000</v>
      </c>
      <c r="BH100" s="180">
        <v>22068</v>
      </c>
      <c r="BI100" s="180">
        <v>240748</v>
      </c>
      <c r="BJ100" s="180">
        <v>65305</v>
      </c>
      <c r="BK100" s="180"/>
      <c r="BL100" s="180">
        <v>126305</v>
      </c>
      <c r="BM100" s="180">
        <v>99144</v>
      </c>
      <c r="BN100" s="180">
        <v>1357961</v>
      </c>
      <c r="BO100" s="180">
        <v>2486155</v>
      </c>
      <c r="BP100" s="180">
        <v>53423598</v>
      </c>
      <c r="BQ100" s="180">
        <v>2295</v>
      </c>
      <c r="BR100" s="180"/>
      <c r="BS100" s="180">
        <v>53795</v>
      </c>
      <c r="BT100" s="180"/>
      <c r="BU100" s="180">
        <v>198083</v>
      </c>
      <c r="BV100" s="180">
        <v>2259171</v>
      </c>
      <c r="BW100" s="180">
        <v>874476</v>
      </c>
      <c r="BX100" s="180">
        <v>3160868</v>
      </c>
      <c r="BY100" s="180">
        <v>877675</v>
      </c>
      <c r="BZ100" s="180">
        <v>83921</v>
      </c>
      <c r="CA100" s="180">
        <v>970475</v>
      </c>
      <c r="CB100" s="180">
        <v>21022</v>
      </c>
      <c r="CC100" s="180">
        <v>67965</v>
      </c>
      <c r="CD100" s="180"/>
      <c r="CE100" s="180">
        <v>882441</v>
      </c>
      <c r="CF100" s="180">
        <v>2282733</v>
      </c>
      <c r="CG100" s="180">
        <v>326319</v>
      </c>
      <c r="CH100" s="180">
        <v>413480</v>
      </c>
      <c r="CI100" s="180"/>
      <c r="CJ100" s="180"/>
      <c r="CK100" s="180"/>
      <c r="CL100" s="180"/>
      <c r="CM100" s="180"/>
      <c r="CN100" s="180"/>
      <c r="CO100" s="180"/>
      <c r="CP100" s="180"/>
      <c r="CQ100" s="180"/>
      <c r="CR100" s="180"/>
      <c r="CS100" s="180"/>
      <c r="CT100" s="180"/>
      <c r="CU100" s="180"/>
    </row>
    <row r="101" spans="1:99" x14ac:dyDescent="0.3">
      <c r="A101" s="155">
        <v>500</v>
      </c>
      <c r="B101" s="180" t="s">
        <v>175</v>
      </c>
      <c r="C101" s="180"/>
      <c r="D101" s="180">
        <v>73913</v>
      </c>
      <c r="E101" s="180">
        <v>353177</v>
      </c>
      <c r="F101" s="180">
        <v>57124</v>
      </c>
      <c r="G101" s="180">
        <v>46555</v>
      </c>
      <c r="H101" s="180"/>
      <c r="I101" s="180">
        <v>204453</v>
      </c>
      <c r="J101" s="180">
        <v>1080958</v>
      </c>
      <c r="K101" s="180">
        <v>3222993</v>
      </c>
      <c r="L101" s="180">
        <v>107230</v>
      </c>
      <c r="M101" s="180">
        <v>17943687</v>
      </c>
      <c r="N101" s="180">
        <v>460439</v>
      </c>
      <c r="O101" s="180">
        <v>76005901</v>
      </c>
      <c r="P101" s="180">
        <v>29166</v>
      </c>
      <c r="Q101" s="180">
        <v>29603</v>
      </c>
      <c r="R101" s="180">
        <v>1195622</v>
      </c>
      <c r="S101" s="180">
        <v>306123</v>
      </c>
      <c r="T101" s="180">
        <v>287970</v>
      </c>
      <c r="U101" s="180">
        <v>203983</v>
      </c>
      <c r="V101" s="180">
        <v>103548</v>
      </c>
      <c r="W101" s="180">
        <v>293757</v>
      </c>
      <c r="X101" s="180">
        <v>52725032</v>
      </c>
      <c r="Y101" s="180">
        <v>135417000</v>
      </c>
      <c r="Z101" s="180">
        <v>1286769</v>
      </c>
      <c r="AA101" s="180">
        <v>0</v>
      </c>
      <c r="AB101" s="180">
        <v>720394</v>
      </c>
      <c r="AC101" s="180"/>
      <c r="AD101" s="180">
        <v>244053</v>
      </c>
      <c r="AE101" s="180">
        <v>61050</v>
      </c>
      <c r="AF101" s="180">
        <v>5921901</v>
      </c>
      <c r="AG101" s="180">
        <v>2382963</v>
      </c>
      <c r="AH101" s="180">
        <v>68516</v>
      </c>
      <c r="AI101" s="180">
        <v>122277</v>
      </c>
      <c r="AJ101" s="180">
        <v>909</v>
      </c>
      <c r="AK101" s="180">
        <v>306119</v>
      </c>
      <c r="AL101" s="180">
        <v>170721</v>
      </c>
      <c r="AM101" s="180"/>
      <c r="AN101" s="180">
        <v>0</v>
      </c>
      <c r="AO101" s="180"/>
      <c r="AP101" s="180">
        <v>0</v>
      </c>
      <c r="AQ101" s="180">
        <v>35434312</v>
      </c>
      <c r="AR101" s="180">
        <v>89652</v>
      </c>
      <c r="AS101" s="180">
        <v>292400</v>
      </c>
      <c r="AT101" s="180">
        <v>1617738</v>
      </c>
      <c r="AU101" s="180">
        <v>74136</v>
      </c>
      <c r="AV101" s="570">
        <v>87879</v>
      </c>
      <c r="AW101" s="180">
        <v>15448010</v>
      </c>
      <c r="AX101" s="180">
        <v>36751</v>
      </c>
      <c r="AY101" s="180">
        <v>130028</v>
      </c>
      <c r="AZ101" s="180">
        <v>777393</v>
      </c>
      <c r="BA101" s="180">
        <v>83813</v>
      </c>
      <c r="BB101" s="180">
        <v>28729</v>
      </c>
      <c r="BC101" s="180">
        <v>1394753</v>
      </c>
      <c r="BD101" s="180">
        <v>78701</v>
      </c>
      <c r="BE101" s="180">
        <v>2790032</v>
      </c>
      <c r="BF101" s="180">
        <v>213400</v>
      </c>
      <c r="BG101" s="180">
        <v>13120</v>
      </c>
      <c r="BH101" s="180">
        <v>115835</v>
      </c>
      <c r="BI101" s="180">
        <v>265476</v>
      </c>
      <c r="BJ101" s="180">
        <v>99396</v>
      </c>
      <c r="BK101" s="180"/>
      <c r="BL101" s="180">
        <v>46817</v>
      </c>
      <c r="BM101" s="180">
        <v>168495</v>
      </c>
      <c r="BN101" s="180">
        <v>2887846</v>
      </c>
      <c r="BO101" s="180">
        <v>410457</v>
      </c>
      <c r="BP101" s="180">
        <v>10952299</v>
      </c>
      <c r="BQ101" s="180">
        <v>85903</v>
      </c>
      <c r="BR101" s="180"/>
      <c r="BS101" s="180">
        <v>121426</v>
      </c>
      <c r="BT101" s="180"/>
      <c r="BU101" s="180">
        <v>623732</v>
      </c>
      <c r="BV101" s="180">
        <v>3559249</v>
      </c>
      <c r="BW101" s="180">
        <v>93792</v>
      </c>
      <c r="BX101" s="180">
        <v>6133079</v>
      </c>
      <c r="BY101" s="180">
        <v>1865699</v>
      </c>
      <c r="BZ101" s="180">
        <v>27641</v>
      </c>
      <c r="CA101" s="180">
        <v>188970</v>
      </c>
      <c r="CB101" s="180">
        <v>344222</v>
      </c>
      <c r="CC101" s="180">
        <v>870210</v>
      </c>
      <c r="CD101" s="180"/>
      <c r="CE101" s="180">
        <v>4654135</v>
      </c>
      <c r="CF101" s="180">
        <v>0</v>
      </c>
      <c r="CG101" s="180">
        <v>153157</v>
      </c>
      <c r="CH101" s="180">
        <v>1156114</v>
      </c>
      <c r="CI101" s="180"/>
      <c r="CJ101" s="180"/>
      <c r="CK101" s="180"/>
      <c r="CL101" s="180"/>
      <c r="CM101" s="180"/>
      <c r="CN101" s="180"/>
      <c r="CO101" s="180"/>
      <c r="CP101" s="180"/>
      <c r="CQ101" s="180"/>
      <c r="CR101" s="180"/>
      <c r="CS101" s="180"/>
      <c r="CT101" s="180"/>
      <c r="CU101" s="180"/>
    </row>
    <row r="102" spans="1:99" x14ac:dyDescent="0.3">
      <c r="A102" s="155">
        <v>502</v>
      </c>
      <c r="B102" s="180" t="s">
        <v>177</v>
      </c>
      <c r="C102" s="180"/>
      <c r="D102" s="180">
        <v>778658</v>
      </c>
      <c r="E102" s="180">
        <v>0</v>
      </c>
      <c r="F102" s="180">
        <v>1277115</v>
      </c>
      <c r="G102" s="180">
        <v>169660</v>
      </c>
      <c r="H102" s="180"/>
      <c r="I102" s="180">
        <v>4114019</v>
      </c>
      <c r="J102" s="180">
        <v>0</v>
      </c>
      <c r="K102" s="180">
        <v>5675623</v>
      </c>
      <c r="L102" s="180">
        <v>0</v>
      </c>
      <c r="M102" s="180">
        <v>2030177</v>
      </c>
      <c r="N102" s="180">
        <v>1747506</v>
      </c>
      <c r="O102" s="180">
        <v>258919423</v>
      </c>
      <c r="P102" s="180">
        <v>0</v>
      </c>
      <c r="Q102" s="180">
        <v>0</v>
      </c>
      <c r="R102" s="180">
        <v>0</v>
      </c>
      <c r="S102" s="180">
        <v>0</v>
      </c>
      <c r="T102" s="180">
        <v>0</v>
      </c>
      <c r="U102" s="180">
        <v>0</v>
      </c>
      <c r="V102" s="180">
        <v>180693</v>
      </c>
      <c r="W102" s="180">
        <v>2380300</v>
      </c>
      <c r="X102" s="180">
        <v>57601196</v>
      </c>
      <c r="Y102" s="180">
        <v>1404822000</v>
      </c>
      <c r="Z102" s="180">
        <v>4386756</v>
      </c>
      <c r="AA102" s="180">
        <v>287363</v>
      </c>
      <c r="AB102" s="180">
        <v>0</v>
      </c>
      <c r="AC102" s="180"/>
      <c r="AD102" s="180">
        <v>4347172</v>
      </c>
      <c r="AE102" s="180">
        <v>833570</v>
      </c>
      <c r="AF102" s="180">
        <v>23796800</v>
      </c>
      <c r="AG102" s="180">
        <v>2686641</v>
      </c>
      <c r="AH102" s="180">
        <v>2441951</v>
      </c>
      <c r="AI102" s="180">
        <v>6187401</v>
      </c>
      <c r="AJ102" s="180">
        <v>1346084</v>
      </c>
      <c r="AK102" s="180">
        <v>1495929</v>
      </c>
      <c r="AL102" s="180">
        <v>586044</v>
      </c>
      <c r="AM102" s="180"/>
      <c r="AN102" s="180">
        <v>2970379</v>
      </c>
      <c r="AO102" s="180"/>
      <c r="AP102" s="180">
        <v>0</v>
      </c>
      <c r="AQ102" s="180">
        <v>210137605</v>
      </c>
      <c r="AR102" s="180">
        <v>0</v>
      </c>
      <c r="AS102" s="180">
        <v>69113</v>
      </c>
      <c r="AT102" s="180">
        <v>10542629</v>
      </c>
      <c r="AU102" s="180">
        <v>1263661</v>
      </c>
      <c r="AV102" s="570">
        <v>0</v>
      </c>
      <c r="AW102" s="180">
        <v>6073963</v>
      </c>
      <c r="AX102" s="180">
        <v>91413</v>
      </c>
      <c r="AY102" s="180">
        <v>0</v>
      </c>
      <c r="AZ102" s="180">
        <v>676901</v>
      </c>
      <c r="BA102" s="180">
        <v>351731</v>
      </c>
      <c r="BB102" s="180">
        <v>53260</v>
      </c>
      <c r="BC102" s="180">
        <v>7276530</v>
      </c>
      <c r="BD102" s="180">
        <v>0</v>
      </c>
      <c r="BE102" s="180">
        <v>0</v>
      </c>
      <c r="BF102" s="180">
        <v>954005</v>
      </c>
      <c r="BG102" s="180">
        <v>0</v>
      </c>
      <c r="BH102" s="180">
        <v>0</v>
      </c>
      <c r="BI102" s="180">
        <v>905445</v>
      </c>
      <c r="BJ102" s="180">
        <v>0</v>
      </c>
      <c r="BK102" s="180"/>
      <c r="BL102" s="180">
        <v>4791349</v>
      </c>
      <c r="BM102" s="180">
        <v>261018</v>
      </c>
      <c r="BN102" s="180">
        <v>0</v>
      </c>
      <c r="BO102" s="180">
        <v>1362965</v>
      </c>
      <c r="BP102" s="180">
        <v>133286205</v>
      </c>
      <c r="BQ102" s="180">
        <v>0</v>
      </c>
      <c r="BR102" s="180"/>
      <c r="BS102" s="180">
        <v>527758</v>
      </c>
      <c r="BT102" s="180"/>
      <c r="BU102" s="180">
        <v>0</v>
      </c>
      <c r="BV102" s="180">
        <v>2842067</v>
      </c>
      <c r="BW102" s="180">
        <v>1459419</v>
      </c>
      <c r="BX102" s="180">
        <v>17191950</v>
      </c>
      <c r="BY102" s="180">
        <v>3037682</v>
      </c>
      <c r="BZ102" s="180">
        <v>221388</v>
      </c>
      <c r="CA102" s="180">
        <v>3309776</v>
      </c>
      <c r="CB102" s="180">
        <v>1162245</v>
      </c>
      <c r="CC102" s="180">
        <v>160920</v>
      </c>
      <c r="CD102" s="180"/>
      <c r="CE102" s="180">
        <v>6668437</v>
      </c>
      <c r="CF102" s="180">
        <v>0</v>
      </c>
      <c r="CG102" s="180">
        <v>7744411</v>
      </c>
      <c r="CH102" s="180">
        <v>0</v>
      </c>
      <c r="CI102" s="180"/>
      <c r="CJ102" s="180"/>
      <c r="CK102" s="180"/>
      <c r="CL102" s="180"/>
      <c r="CM102" s="180"/>
      <c r="CN102" s="180"/>
      <c r="CO102" s="180"/>
      <c r="CP102" s="180"/>
      <c r="CQ102" s="180"/>
      <c r="CR102" s="180"/>
      <c r="CS102" s="180"/>
      <c r="CT102" s="180"/>
      <c r="CU102" s="180"/>
    </row>
    <row r="103" spans="1:99" x14ac:dyDescent="0.3">
      <c r="A103" s="155">
        <v>503</v>
      </c>
      <c r="B103" s="180" t="s">
        <v>178</v>
      </c>
      <c r="C103" s="180"/>
      <c r="D103" s="180">
        <v>0</v>
      </c>
      <c r="E103" s="180">
        <v>0</v>
      </c>
      <c r="F103" s="180">
        <v>29130</v>
      </c>
      <c r="G103" s="180">
        <v>2431</v>
      </c>
      <c r="H103" s="180"/>
      <c r="I103" s="180">
        <v>6335</v>
      </c>
      <c r="J103" s="180">
        <v>0</v>
      </c>
      <c r="K103" s="180">
        <v>3343152</v>
      </c>
      <c r="L103" s="180">
        <v>0</v>
      </c>
      <c r="M103" s="180">
        <v>0</v>
      </c>
      <c r="N103" s="180">
        <v>1129600</v>
      </c>
      <c r="O103" s="180">
        <v>2137265</v>
      </c>
      <c r="P103" s="180">
        <v>0</v>
      </c>
      <c r="Q103" s="180">
        <v>0</v>
      </c>
      <c r="R103" s="180">
        <v>0</v>
      </c>
      <c r="S103" s="180">
        <v>0</v>
      </c>
      <c r="T103" s="180">
        <v>0</v>
      </c>
      <c r="U103" s="180">
        <v>0</v>
      </c>
      <c r="V103" s="180">
        <v>3480</v>
      </c>
      <c r="W103" s="180">
        <v>88554</v>
      </c>
      <c r="X103" s="180">
        <v>8322968</v>
      </c>
      <c r="Y103" s="180">
        <v>616174000</v>
      </c>
      <c r="Z103" s="180">
        <v>2826552</v>
      </c>
      <c r="AA103" s="180">
        <v>0</v>
      </c>
      <c r="AB103" s="180">
        <v>0</v>
      </c>
      <c r="AC103" s="180"/>
      <c r="AD103" s="180">
        <v>313174</v>
      </c>
      <c r="AE103" s="180">
        <v>57024</v>
      </c>
      <c r="AF103" s="180">
        <v>13538865</v>
      </c>
      <c r="AG103" s="180">
        <v>0</v>
      </c>
      <c r="AH103" s="180">
        <v>14700</v>
      </c>
      <c r="AI103" s="180">
        <v>295647</v>
      </c>
      <c r="AJ103" s="180">
        <v>41870</v>
      </c>
      <c r="AK103" s="180">
        <v>63157</v>
      </c>
      <c r="AL103" s="180">
        <v>3650</v>
      </c>
      <c r="AM103" s="180"/>
      <c r="AN103" s="180">
        <v>124132</v>
      </c>
      <c r="AO103" s="180"/>
      <c r="AP103" s="180">
        <v>0</v>
      </c>
      <c r="AQ103" s="180">
        <v>8860674</v>
      </c>
      <c r="AR103" s="180">
        <v>0</v>
      </c>
      <c r="AS103" s="180">
        <v>0</v>
      </c>
      <c r="AT103" s="180">
        <v>143000</v>
      </c>
      <c r="AU103" s="180">
        <v>56652</v>
      </c>
      <c r="AV103" s="570">
        <v>0</v>
      </c>
      <c r="AW103" s="180">
        <v>151528</v>
      </c>
      <c r="AX103" s="180">
        <v>17749</v>
      </c>
      <c r="AY103" s="180">
        <v>0</v>
      </c>
      <c r="AZ103" s="180">
        <v>0</v>
      </c>
      <c r="BA103" s="180">
        <v>7800</v>
      </c>
      <c r="BB103" s="180">
        <v>105250</v>
      </c>
      <c r="BC103" s="180">
        <v>294892</v>
      </c>
      <c r="BD103" s="180">
        <v>0</v>
      </c>
      <c r="BE103" s="180">
        <v>0</v>
      </c>
      <c r="BF103" s="180">
        <v>77973</v>
      </c>
      <c r="BG103" s="180">
        <v>0</v>
      </c>
      <c r="BH103" s="180">
        <v>0</v>
      </c>
      <c r="BI103" s="180">
        <v>392370</v>
      </c>
      <c r="BJ103" s="180">
        <v>0</v>
      </c>
      <c r="BK103" s="180"/>
      <c r="BL103" s="180">
        <v>0</v>
      </c>
      <c r="BM103" s="180">
        <v>24275</v>
      </c>
      <c r="BN103" s="180">
        <v>0</v>
      </c>
      <c r="BO103" s="180">
        <v>134207</v>
      </c>
      <c r="BP103" s="180">
        <v>30219115</v>
      </c>
      <c r="BQ103" s="180">
        <v>0</v>
      </c>
      <c r="BR103" s="180"/>
      <c r="BS103" s="180">
        <v>11465</v>
      </c>
      <c r="BT103" s="180"/>
      <c r="BU103" s="180">
        <v>0</v>
      </c>
      <c r="BV103" s="180">
        <v>368345</v>
      </c>
      <c r="BW103" s="180">
        <v>298306</v>
      </c>
      <c r="BX103" s="180">
        <v>1529987</v>
      </c>
      <c r="BY103" s="180">
        <v>200538</v>
      </c>
      <c r="BZ103" s="180">
        <v>30385</v>
      </c>
      <c r="CA103" s="180">
        <v>34260</v>
      </c>
      <c r="CB103" s="180">
        <v>197735</v>
      </c>
      <c r="CC103" s="180">
        <v>46576</v>
      </c>
      <c r="CD103" s="180"/>
      <c r="CE103" s="180">
        <v>344588</v>
      </c>
      <c r="CF103" s="180">
        <v>0</v>
      </c>
      <c r="CG103" s="180">
        <v>177607</v>
      </c>
      <c r="CH103" s="180">
        <v>0</v>
      </c>
      <c r="CI103" s="180"/>
      <c r="CJ103" s="180"/>
      <c r="CK103" s="180"/>
      <c r="CL103" s="180"/>
      <c r="CM103" s="180"/>
      <c r="CN103" s="180"/>
      <c r="CO103" s="180"/>
      <c r="CP103" s="180"/>
      <c r="CQ103" s="180"/>
      <c r="CR103" s="180"/>
      <c r="CS103" s="180"/>
      <c r="CT103" s="180"/>
      <c r="CU103" s="180"/>
    </row>
    <row r="104" spans="1:99" x14ac:dyDescent="0.3">
      <c r="A104" s="155">
        <v>504</v>
      </c>
      <c r="B104" s="180" t="s">
        <v>182</v>
      </c>
      <c r="C104" s="180"/>
      <c r="D104" s="180">
        <v>0</v>
      </c>
      <c r="E104" s="180">
        <v>570437</v>
      </c>
      <c r="F104" s="180">
        <v>115652</v>
      </c>
      <c r="G104" s="180">
        <v>9347</v>
      </c>
      <c r="H104" s="180"/>
      <c r="I104" s="180">
        <v>973349</v>
      </c>
      <c r="J104" s="180">
        <v>120710</v>
      </c>
      <c r="K104" s="180">
        <v>211512</v>
      </c>
      <c r="L104" s="180">
        <v>1017366</v>
      </c>
      <c r="M104" s="180">
        <v>829670</v>
      </c>
      <c r="N104" s="180">
        <v>93932</v>
      </c>
      <c r="O104" s="180">
        <v>19449643</v>
      </c>
      <c r="P104" s="180">
        <v>5412</v>
      </c>
      <c r="Q104" s="180">
        <v>52040</v>
      </c>
      <c r="R104" s="180">
        <v>656325</v>
      </c>
      <c r="S104" s="180">
        <v>155453</v>
      </c>
      <c r="T104" s="180">
        <v>46178</v>
      </c>
      <c r="U104" s="180">
        <v>50680</v>
      </c>
      <c r="V104" s="180">
        <v>6191</v>
      </c>
      <c r="W104" s="180">
        <v>593402</v>
      </c>
      <c r="X104" s="180">
        <v>6213385</v>
      </c>
      <c r="Y104" s="180">
        <v>81378000</v>
      </c>
      <c r="Z104" s="180">
        <v>406045</v>
      </c>
      <c r="AA104" s="180">
        <v>0</v>
      </c>
      <c r="AB104" s="180">
        <v>1670677</v>
      </c>
      <c r="AC104" s="180"/>
      <c r="AD104" s="180">
        <v>1869835</v>
      </c>
      <c r="AE104" s="180">
        <v>266207</v>
      </c>
      <c r="AF104" s="180">
        <v>11199156</v>
      </c>
      <c r="AG104" s="180">
        <v>4440892</v>
      </c>
      <c r="AH104" s="180">
        <v>171639</v>
      </c>
      <c r="AI104" s="180">
        <v>804943</v>
      </c>
      <c r="AJ104" s="180">
        <v>343671</v>
      </c>
      <c r="AK104" s="180">
        <v>777848</v>
      </c>
      <c r="AL104" s="180">
        <v>8462</v>
      </c>
      <c r="AM104" s="180"/>
      <c r="AN104" s="180">
        <v>144088</v>
      </c>
      <c r="AO104" s="180"/>
      <c r="AP104" s="180">
        <v>0</v>
      </c>
      <c r="AQ104" s="180">
        <v>26849033</v>
      </c>
      <c r="AR104" s="180">
        <v>79196</v>
      </c>
      <c r="AS104" s="180">
        <v>0</v>
      </c>
      <c r="AT104" s="180">
        <v>2274998</v>
      </c>
      <c r="AU104" s="180">
        <v>25349</v>
      </c>
      <c r="AV104" s="570">
        <v>362059</v>
      </c>
      <c r="AW104" s="180">
        <v>7600279</v>
      </c>
      <c r="AX104" s="180">
        <v>13128</v>
      </c>
      <c r="AY104" s="180">
        <v>276321</v>
      </c>
      <c r="AZ104" s="180">
        <v>932805</v>
      </c>
      <c r="BA104" s="180">
        <v>8110</v>
      </c>
      <c r="BB104" s="180">
        <v>38084</v>
      </c>
      <c r="BC104" s="180">
        <v>778180</v>
      </c>
      <c r="BD104" s="180">
        <v>6964</v>
      </c>
      <c r="BE104" s="180">
        <v>5652725</v>
      </c>
      <c r="BF104" s="180">
        <v>532735</v>
      </c>
      <c r="BG104" s="180">
        <v>90240</v>
      </c>
      <c r="BH104" s="180">
        <v>109277</v>
      </c>
      <c r="BI104" s="180">
        <v>537424</v>
      </c>
      <c r="BJ104" s="180">
        <v>70086</v>
      </c>
      <c r="BK104" s="180"/>
      <c r="BL104" s="180">
        <v>334804</v>
      </c>
      <c r="BM104" s="180">
        <v>13530</v>
      </c>
      <c r="BN104" s="180">
        <v>155204</v>
      </c>
      <c r="BO104" s="180">
        <v>606138</v>
      </c>
      <c r="BP104" s="180">
        <v>23996630</v>
      </c>
      <c r="BQ104" s="180">
        <v>47842</v>
      </c>
      <c r="BR104" s="180"/>
      <c r="BS104" s="180">
        <v>24785</v>
      </c>
      <c r="BT104" s="180"/>
      <c r="BU104" s="180">
        <v>1541629</v>
      </c>
      <c r="BV104" s="180">
        <v>300144</v>
      </c>
      <c r="BW104" s="180">
        <v>813359</v>
      </c>
      <c r="BX104" s="180">
        <v>4426154</v>
      </c>
      <c r="BY104" s="180">
        <v>969785</v>
      </c>
      <c r="BZ104" s="180">
        <v>87263</v>
      </c>
      <c r="CA104" s="180">
        <v>1572717</v>
      </c>
      <c r="CB104" s="180">
        <v>25559</v>
      </c>
      <c r="CC104" s="180">
        <v>3354</v>
      </c>
      <c r="CD104" s="180"/>
      <c r="CE104" s="180">
        <v>458722</v>
      </c>
      <c r="CF104" s="180">
        <v>885545</v>
      </c>
      <c r="CG104" s="180">
        <v>579185</v>
      </c>
      <c r="CH104" s="180">
        <v>825312</v>
      </c>
      <c r="CI104" s="180"/>
      <c r="CJ104" s="180"/>
      <c r="CK104" s="180"/>
      <c r="CL104" s="180"/>
      <c r="CM104" s="180"/>
      <c r="CN104" s="180"/>
      <c r="CO104" s="180"/>
      <c r="CP104" s="180"/>
      <c r="CQ104" s="180"/>
      <c r="CR104" s="180"/>
      <c r="CS104" s="180"/>
      <c r="CT104" s="180"/>
      <c r="CU104" s="180"/>
    </row>
    <row r="105" spans="1:99" x14ac:dyDescent="0.3">
      <c r="A105" s="155">
        <v>505</v>
      </c>
      <c r="B105" s="180" t="s">
        <v>183</v>
      </c>
      <c r="C105" s="180"/>
      <c r="D105" s="180">
        <v>0</v>
      </c>
      <c r="E105" s="180">
        <v>0</v>
      </c>
      <c r="F105" s="180">
        <v>700</v>
      </c>
      <c r="G105" s="180">
        <v>0</v>
      </c>
      <c r="H105" s="180"/>
      <c r="I105" s="180">
        <v>305306</v>
      </c>
      <c r="J105" s="180">
        <v>696104</v>
      </c>
      <c r="K105" s="180">
        <v>24500</v>
      </c>
      <c r="L105" s="180">
        <v>0</v>
      </c>
      <c r="M105" s="180">
        <v>128951</v>
      </c>
      <c r="N105" s="180">
        <v>934439</v>
      </c>
      <c r="O105" s="180">
        <v>44650585</v>
      </c>
      <c r="P105" s="180">
        <v>0</v>
      </c>
      <c r="Q105" s="180">
        <v>0</v>
      </c>
      <c r="R105" s="180">
        <v>68679</v>
      </c>
      <c r="S105" s="180">
        <v>0</v>
      </c>
      <c r="T105" s="180">
        <v>0</v>
      </c>
      <c r="U105" s="180">
        <v>0</v>
      </c>
      <c r="V105" s="180">
        <v>0</v>
      </c>
      <c r="W105" s="180">
        <v>0</v>
      </c>
      <c r="X105" s="180">
        <v>3242227</v>
      </c>
      <c r="Y105" s="180">
        <v>33750000</v>
      </c>
      <c r="Z105" s="180">
        <v>0</v>
      </c>
      <c r="AA105" s="180">
        <v>0</v>
      </c>
      <c r="AB105" s="180">
        <v>0</v>
      </c>
      <c r="AC105" s="180"/>
      <c r="AD105" s="180">
        <v>0</v>
      </c>
      <c r="AE105" s="180">
        <v>0</v>
      </c>
      <c r="AF105" s="180">
        <v>812931</v>
      </c>
      <c r="AG105" s="180">
        <v>519922</v>
      </c>
      <c r="AH105" s="180">
        <v>0</v>
      </c>
      <c r="AI105" s="180">
        <v>0</v>
      </c>
      <c r="AJ105" s="180">
        <v>21600</v>
      </c>
      <c r="AK105" s="180">
        <v>0</v>
      </c>
      <c r="AL105" s="180">
        <v>0</v>
      </c>
      <c r="AM105" s="180"/>
      <c r="AN105" s="180">
        <v>0</v>
      </c>
      <c r="AO105" s="180"/>
      <c r="AP105" s="180">
        <v>0</v>
      </c>
      <c r="AQ105" s="180">
        <v>56717868</v>
      </c>
      <c r="AR105" s="180">
        <v>0</v>
      </c>
      <c r="AS105" s="180">
        <v>61825</v>
      </c>
      <c r="AT105" s="180">
        <v>4111131</v>
      </c>
      <c r="AU105" s="180">
        <v>0</v>
      </c>
      <c r="AV105" s="570">
        <v>0</v>
      </c>
      <c r="AW105" s="180">
        <v>21652</v>
      </c>
      <c r="AX105" s="180">
        <v>390083</v>
      </c>
      <c r="AY105" s="180">
        <v>819695</v>
      </c>
      <c r="AZ105" s="180">
        <v>0</v>
      </c>
      <c r="BA105" s="180">
        <v>0</v>
      </c>
      <c r="BB105" s="180">
        <v>10048</v>
      </c>
      <c r="BC105" s="180">
        <v>54408</v>
      </c>
      <c r="BD105" s="180">
        <v>29245</v>
      </c>
      <c r="BE105" s="180">
        <v>0</v>
      </c>
      <c r="BF105" s="180">
        <v>0</v>
      </c>
      <c r="BG105" s="180">
        <v>0</v>
      </c>
      <c r="BH105" s="180">
        <v>124162</v>
      </c>
      <c r="BI105" s="180">
        <v>44228</v>
      </c>
      <c r="BJ105" s="180">
        <v>0</v>
      </c>
      <c r="BK105" s="180"/>
      <c r="BL105" s="180">
        <v>886604</v>
      </c>
      <c r="BM105" s="180">
        <v>51235</v>
      </c>
      <c r="BN105" s="180">
        <v>2485284</v>
      </c>
      <c r="BO105" s="180">
        <v>309762</v>
      </c>
      <c r="BP105" s="180">
        <v>10399075</v>
      </c>
      <c r="BQ105" s="180">
        <v>0</v>
      </c>
      <c r="BR105" s="180"/>
      <c r="BS105" s="180">
        <v>0</v>
      </c>
      <c r="BT105" s="180"/>
      <c r="BU105" s="180">
        <v>0</v>
      </c>
      <c r="BV105" s="180">
        <v>2460821</v>
      </c>
      <c r="BW105" s="180">
        <v>1884922</v>
      </c>
      <c r="BX105" s="180">
        <v>218834</v>
      </c>
      <c r="BY105" s="180">
        <v>661112</v>
      </c>
      <c r="BZ105" s="180">
        <v>8445</v>
      </c>
      <c r="CA105" s="180">
        <v>0</v>
      </c>
      <c r="CB105" s="180">
        <v>0</v>
      </c>
      <c r="CC105" s="180">
        <v>167653</v>
      </c>
      <c r="CD105" s="180"/>
      <c r="CE105" s="180">
        <v>56000</v>
      </c>
      <c r="CF105" s="180">
        <v>1013820</v>
      </c>
      <c r="CG105" s="180">
        <v>766013</v>
      </c>
      <c r="CH105" s="180">
        <v>74554</v>
      </c>
      <c r="CI105" s="180"/>
      <c r="CJ105" s="180"/>
      <c r="CK105" s="180"/>
      <c r="CL105" s="180"/>
      <c r="CM105" s="180"/>
      <c r="CN105" s="180"/>
      <c r="CO105" s="180"/>
      <c r="CP105" s="180"/>
      <c r="CQ105" s="180"/>
      <c r="CR105" s="180"/>
      <c r="CS105" s="180"/>
      <c r="CT105" s="180"/>
      <c r="CU105" s="180"/>
    </row>
    <row r="106" spans="1:99" x14ac:dyDescent="0.3">
      <c r="A106" s="155">
        <v>506</v>
      </c>
      <c r="B106" s="180" t="s">
        <v>189</v>
      </c>
      <c r="C106" s="180"/>
      <c r="D106" s="180">
        <v>3621805</v>
      </c>
      <c r="E106" s="180">
        <v>3091210</v>
      </c>
      <c r="F106" s="180">
        <v>1014312</v>
      </c>
      <c r="G106" s="180">
        <v>641370</v>
      </c>
      <c r="H106" s="180"/>
      <c r="I106" s="180">
        <v>9406883</v>
      </c>
      <c r="J106" s="180">
        <v>2291456</v>
      </c>
      <c r="K106" s="180">
        <v>10671257</v>
      </c>
      <c r="L106" s="180">
        <v>6844056</v>
      </c>
      <c r="M106" s="180">
        <v>16702144</v>
      </c>
      <c r="N106" s="180">
        <v>2264767</v>
      </c>
      <c r="O106" s="180">
        <v>88048133</v>
      </c>
      <c r="P106" s="180">
        <v>83608</v>
      </c>
      <c r="Q106" s="180">
        <v>335254</v>
      </c>
      <c r="R106" s="180">
        <v>1298767</v>
      </c>
      <c r="S106" s="180">
        <v>1324155</v>
      </c>
      <c r="T106" s="180">
        <v>1295628</v>
      </c>
      <c r="U106" s="180">
        <v>392138</v>
      </c>
      <c r="V106" s="180">
        <v>342856</v>
      </c>
      <c r="W106" s="180">
        <v>2497826</v>
      </c>
      <c r="X106" s="180">
        <v>28994310</v>
      </c>
      <c r="Y106" s="180">
        <v>206527000</v>
      </c>
      <c r="Z106" s="180">
        <v>3142690</v>
      </c>
      <c r="AA106" s="180">
        <v>658154</v>
      </c>
      <c r="AB106" s="180">
        <v>4253577</v>
      </c>
      <c r="AC106" s="180"/>
      <c r="AD106" s="180">
        <v>5474642</v>
      </c>
      <c r="AE106" s="180">
        <v>2802174</v>
      </c>
      <c r="AF106" s="180">
        <v>34614159</v>
      </c>
      <c r="AG106" s="180">
        <v>11895906</v>
      </c>
      <c r="AH106" s="180">
        <v>3438875</v>
      </c>
      <c r="AI106" s="180">
        <v>7864898</v>
      </c>
      <c r="AJ106" s="180">
        <v>1520639</v>
      </c>
      <c r="AK106" s="180">
        <v>1858677</v>
      </c>
      <c r="AL106" s="180">
        <v>609265</v>
      </c>
      <c r="AM106" s="180"/>
      <c r="AN106" s="180">
        <v>1001546</v>
      </c>
      <c r="AO106" s="180"/>
      <c r="AP106" s="180">
        <v>86003</v>
      </c>
      <c r="AQ106" s="180">
        <v>83303398</v>
      </c>
      <c r="AR106" s="180">
        <v>326125</v>
      </c>
      <c r="AS106" s="180">
        <v>1937805</v>
      </c>
      <c r="AT106" s="180">
        <v>12189446</v>
      </c>
      <c r="AU106" s="180">
        <v>477793</v>
      </c>
      <c r="AV106" s="570">
        <v>1161744</v>
      </c>
      <c r="AW106" s="180">
        <v>37455915</v>
      </c>
      <c r="AX106" s="180">
        <v>190973</v>
      </c>
      <c r="AY106" s="180">
        <v>3480959</v>
      </c>
      <c r="AZ106" s="180">
        <v>10125204</v>
      </c>
      <c r="BA106" s="180">
        <v>531347</v>
      </c>
      <c r="BB106" s="180">
        <v>326902</v>
      </c>
      <c r="BC106" s="180">
        <v>3532951</v>
      </c>
      <c r="BD106" s="180">
        <v>216920</v>
      </c>
      <c r="BE106" s="180">
        <v>18037651</v>
      </c>
      <c r="BF106" s="180">
        <v>3032218</v>
      </c>
      <c r="BG106" s="180">
        <v>908765</v>
      </c>
      <c r="BH106" s="180">
        <v>522573</v>
      </c>
      <c r="BI106" s="180">
        <v>1592954</v>
      </c>
      <c r="BJ106" s="180">
        <v>3582872</v>
      </c>
      <c r="BK106" s="180"/>
      <c r="BL106" s="180">
        <v>2119022</v>
      </c>
      <c r="BM106" s="180">
        <v>865930</v>
      </c>
      <c r="BN106" s="180">
        <v>9605426</v>
      </c>
      <c r="BO106" s="180">
        <v>5015659</v>
      </c>
      <c r="BP106" s="180">
        <v>117330457</v>
      </c>
      <c r="BQ106" s="180">
        <v>54419</v>
      </c>
      <c r="BR106" s="180"/>
      <c r="BS106" s="180">
        <v>1042784</v>
      </c>
      <c r="BT106" s="180"/>
      <c r="BU106" s="180">
        <v>8142161</v>
      </c>
      <c r="BV106" s="180">
        <v>13393540</v>
      </c>
      <c r="BW106" s="180">
        <v>2585263</v>
      </c>
      <c r="BX106" s="180">
        <v>10428772</v>
      </c>
      <c r="BY106" s="180">
        <v>1589901</v>
      </c>
      <c r="BZ106" s="180">
        <v>844166</v>
      </c>
      <c r="CA106" s="180">
        <v>6369730</v>
      </c>
      <c r="CB106" s="180">
        <v>755337</v>
      </c>
      <c r="CC106" s="180">
        <v>399608</v>
      </c>
      <c r="CD106" s="180"/>
      <c r="CE106" s="180">
        <v>9051194</v>
      </c>
      <c r="CF106" s="180">
        <v>2887994</v>
      </c>
      <c r="CG106" s="180">
        <v>442700</v>
      </c>
      <c r="CH106" s="180">
        <v>4543321</v>
      </c>
      <c r="CI106" s="180"/>
      <c r="CJ106" s="180"/>
      <c r="CK106" s="180"/>
      <c r="CL106" s="180"/>
      <c r="CM106" s="180"/>
      <c r="CN106" s="180"/>
      <c r="CO106" s="180"/>
      <c r="CP106" s="180"/>
      <c r="CQ106" s="180"/>
      <c r="CR106" s="180"/>
      <c r="CS106" s="180"/>
      <c r="CT106" s="180"/>
      <c r="CU106" s="180"/>
    </row>
    <row r="107" spans="1:99" x14ac:dyDescent="0.3">
      <c r="A107" s="155">
        <v>507</v>
      </c>
      <c r="B107" s="180" t="s">
        <v>886</v>
      </c>
      <c r="C107" s="180"/>
      <c r="D107" s="180">
        <v>0</v>
      </c>
      <c r="E107" s="180">
        <v>0</v>
      </c>
      <c r="F107" s="180">
        <v>0</v>
      </c>
      <c r="G107" s="180">
        <v>0</v>
      </c>
      <c r="H107" s="180"/>
      <c r="I107" s="180">
        <v>0</v>
      </c>
      <c r="J107" s="180">
        <v>0</v>
      </c>
      <c r="K107" s="180">
        <v>0</v>
      </c>
      <c r="L107" s="180">
        <v>0</v>
      </c>
      <c r="M107" s="180">
        <v>0</v>
      </c>
      <c r="N107" s="180">
        <v>2233766</v>
      </c>
      <c r="O107" s="180">
        <v>0</v>
      </c>
      <c r="P107" s="180">
        <v>0</v>
      </c>
      <c r="Q107" s="180">
        <v>0</v>
      </c>
      <c r="R107" s="180">
        <v>39968</v>
      </c>
      <c r="S107" s="180">
        <v>0</v>
      </c>
      <c r="T107" s="180">
        <v>0</v>
      </c>
      <c r="U107" s="180">
        <v>0</v>
      </c>
      <c r="V107" s="180">
        <v>0</v>
      </c>
      <c r="W107" s="180">
        <v>0</v>
      </c>
      <c r="X107" s="180">
        <v>0</v>
      </c>
      <c r="Y107" s="180">
        <v>0</v>
      </c>
      <c r="Z107" s="180">
        <v>0</v>
      </c>
      <c r="AA107" s="180">
        <v>0</v>
      </c>
      <c r="AB107" s="180">
        <v>0</v>
      </c>
      <c r="AC107" s="180"/>
      <c r="AD107" s="180">
        <v>31830</v>
      </c>
      <c r="AE107" s="180">
        <v>0</v>
      </c>
      <c r="AF107" s="180">
        <v>0</v>
      </c>
      <c r="AG107" s="180">
        <v>0</v>
      </c>
      <c r="AH107" s="180">
        <v>0</v>
      </c>
      <c r="AI107" s="180">
        <v>0</v>
      </c>
      <c r="AJ107" s="180">
        <v>0</v>
      </c>
      <c r="AK107" s="180">
        <v>0</v>
      </c>
      <c r="AL107" s="180">
        <v>0</v>
      </c>
      <c r="AM107" s="180"/>
      <c r="AN107" s="180">
        <v>0</v>
      </c>
      <c r="AO107" s="180"/>
      <c r="AP107" s="180">
        <v>0</v>
      </c>
      <c r="AQ107" s="180">
        <v>0</v>
      </c>
      <c r="AR107" s="180">
        <v>0</v>
      </c>
      <c r="AS107" s="180">
        <v>0</v>
      </c>
      <c r="AT107" s="180">
        <v>0</v>
      </c>
      <c r="AU107" s="180">
        <v>-2</v>
      </c>
      <c r="AV107" s="570">
        <v>2</v>
      </c>
      <c r="AW107" s="180">
        <v>0</v>
      </c>
      <c r="AX107" s="180">
        <v>0</v>
      </c>
      <c r="AY107" s="180">
        <v>0</v>
      </c>
      <c r="AZ107" s="180">
        <v>0</v>
      </c>
      <c r="BA107" s="180">
        <v>0</v>
      </c>
      <c r="BB107" s="180">
        <v>0</v>
      </c>
      <c r="BC107" s="180">
        <v>1317</v>
      </c>
      <c r="BD107" s="180">
        <v>0</v>
      </c>
      <c r="BE107" s="180">
        <v>0</v>
      </c>
      <c r="BF107" s="180">
        <v>0</v>
      </c>
      <c r="BG107" s="180">
        <v>0</v>
      </c>
      <c r="BH107" s="180">
        <v>-50000</v>
      </c>
      <c r="BI107" s="180">
        <v>0</v>
      </c>
      <c r="BJ107" s="180">
        <v>0</v>
      </c>
      <c r="BK107" s="180"/>
      <c r="BL107" s="180">
        <v>0</v>
      </c>
      <c r="BM107" s="180">
        <v>0</v>
      </c>
      <c r="BN107" s="180">
        <v>0</v>
      </c>
      <c r="BO107" s="180">
        <v>0</v>
      </c>
      <c r="BP107" s="180">
        <v>0</v>
      </c>
      <c r="BQ107" s="180">
        <v>0</v>
      </c>
      <c r="BR107" s="180"/>
      <c r="BS107" s="180">
        <v>0</v>
      </c>
      <c r="BT107" s="180"/>
      <c r="BU107" s="180">
        <v>0</v>
      </c>
      <c r="BV107" s="180">
        <v>1</v>
      </c>
      <c r="BW107" s="180">
        <v>0</v>
      </c>
      <c r="BX107" s="180">
        <v>44865</v>
      </c>
      <c r="BY107" s="180">
        <v>0</v>
      </c>
      <c r="BZ107" s="180">
        <v>0</v>
      </c>
      <c r="CA107" s="180">
        <v>145790</v>
      </c>
      <c r="CB107" s="180">
        <v>0</v>
      </c>
      <c r="CC107" s="180">
        <v>-500000</v>
      </c>
      <c r="CD107" s="180"/>
      <c r="CE107" s="180">
        <v>0</v>
      </c>
      <c r="CF107" s="180">
        <v>0</v>
      </c>
      <c r="CG107" s="180">
        <v>0</v>
      </c>
      <c r="CH107" s="180">
        <v>0</v>
      </c>
      <c r="CI107" s="180"/>
      <c r="CJ107" s="180"/>
      <c r="CK107" s="180"/>
      <c r="CL107" s="180"/>
      <c r="CM107" s="180"/>
      <c r="CN107" s="180"/>
      <c r="CO107" s="180"/>
      <c r="CP107" s="180"/>
      <c r="CQ107" s="180"/>
      <c r="CR107" s="180"/>
      <c r="CS107" s="180"/>
      <c r="CT107" s="180"/>
      <c r="CU107" s="180"/>
    </row>
    <row r="108" spans="1:99" x14ac:dyDescent="0.3">
      <c r="A108" s="155">
        <v>508</v>
      </c>
      <c r="B108" s="180" t="s">
        <v>204</v>
      </c>
      <c r="C108" s="180"/>
      <c r="D108" s="180">
        <v>0</v>
      </c>
      <c r="E108" s="180">
        <v>0</v>
      </c>
      <c r="F108" s="180">
        <v>0</v>
      </c>
      <c r="G108" s="180">
        <v>0</v>
      </c>
      <c r="H108" s="180"/>
      <c r="I108" s="180">
        <v>0</v>
      </c>
      <c r="J108" s="180">
        <v>0</v>
      </c>
      <c r="K108" s="180">
        <v>0</v>
      </c>
      <c r="L108" s="180">
        <v>0</v>
      </c>
      <c r="M108" s="180">
        <v>0</v>
      </c>
      <c r="N108" s="180">
        <v>0</v>
      </c>
      <c r="O108" s="180">
        <v>0</v>
      </c>
      <c r="P108" s="180">
        <v>0</v>
      </c>
      <c r="Q108" s="180">
        <v>0</v>
      </c>
      <c r="R108" s="180">
        <v>0</v>
      </c>
      <c r="S108" s="180">
        <v>0</v>
      </c>
      <c r="T108" s="180">
        <v>0</v>
      </c>
      <c r="U108" s="180">
        <v>0</v>
      </c>
      <c r="V108" s="180">
        <v>0</v>
      </c>
      <c r="W108" s="180">
        <v>0</v>
      </c>
      <c r="X108" s="180">
        <v>0</v>
      </c>
      <c r="Y108" s="180">
        <v>0</v>
      </c>
      <c r="Z108" s="180">
        <v>0</v>
      </c>
      <c r="AA108" s="180">
        <v>0</v>
      </c>
      <c r="AB108" s="180">
        <v>0</v>
      </c>
      <c r="AC108" s="180"/>
      <c r="AD108" s="180">
        <v>0</v>
      </c>
      <c r="AE108" s="180">
        <v>0</v>
      </c>
      <c r="AF108" s="180">
        <v>0</v>
      </c>
      <c r="AG108" s="180">
        <v>0</v>
      </c>
      <c r="AH108" s="180">
        <v>0</v>
      </c>
      <c r="AI108" s="180">
        <v>0</v>
      </c>
      <c r="AJ108" s="180">
        <v>0</v>
      </c>
      <c r="AK108" s="180">
        <v>0</v>
      </c>
      <c r="AL108" s="180">
        <v>0</v>
      </c>
      <c r="AM108" s="180"/>
      <c r="AN108" s="180">
        <v>0</v>
      </c>
      <c r="AO108" s="180"/>
      <c r="AP108" s="180">
        <v>0</v>
      </c>
      <c r="AQ108" s="180">
        <v>0</v>
      </c>
      <c r="AR108" s="180">
        <v>0</v>
      </c>
      <c r="AS108" s="180">
        <v>0</v>
      </c>
      <c r="AT108" s="180">
        <v>0</v>
      </c>
      <c r="AU108" s="180">
        <v>0</v>
      </c>
      <c r="AV108" s="180">
        <v>0</v>
      </c>
      <c r="AW108" s="180">
        <v>0</v>
      </c>
      <c r="AX108" s="180">
        <v>0</v>
      </c>
      <c r="AY108" s="180">
        <v>0</v>
      </c>
      <c r="AZ108" s="180">
        <v>0</v>
      </c>
      <c r="BA108" s="180">
        <v>0</v>
      </c>
      <c r="BB108" s="180">
        <v>0</v>
      </c>
      <c r="BC108" s="180">
        <v>0</v>
      </c>
      <c r="BD108" s="180">
        <v>0</v>
      </c>
      <c r="BE108" s="180">
        <v>0</v>
      </c>
      <c r="BF108" s="180">
        <v>0</v>
      </c>
      <c r="BG108" s="180">
        <v>0</v>
      </c>
      <c r="BH108" s="180">
        <v>0</v>
      </c>
      <c r="BI108" s="180">
        <v>0</v>
      </c>
      <c r="BJ108" s="180">
        <v>0</v>
      </c>
      <c r="BK108" s="180"/>
      <c r="BL108" s="180">
        <v>0</v>
      </c>
      <c r="BM108" s="180">
        <v>0</v>
      </c>
      <c r="BN108" s="180">
        <v>0</v>
      </c>
      <c r="BO108" s="180">
        <v>0</v>
      </c>
      <c r="BP108" s="180">
        <v>0</v>
      </c>
      <c r="BQ108" s="180">
        <v>0</v>
      </c>
      <c r="BR108" s="180"/>
      <c r="BS108" s="180">
        <v>0</v>
      </c>
      <c r="BT108" s="180"/>
      <c r="BU108" s="180">
        <v>0</v>
      </c>
      <c r="BV108" s="180">
        <v>0</v>
      </c>
      <c r="BW108" s="180">
        <v>0</v>
      </c>
      <c r="BX108" s="180">
        <v>0</v>
      </c>
      <c r="BY108" s="180">
        <v>0</v>
      </c>
      <c r="BZ108" s="180">
        <v>0</v>
      </c>
      <c r="CA108" s="180">
        <v>0</v>
      </c>
      <c r="CB108" s="180">
        <v>0</v>
      </c>
      <c r="CC108" s="180">
        <v>0</v>
      </c>
      <c r="CD108" s="180"/>
      <c r="CE108" s="180">
        <v>0</v>
      </c>
      <c r="CF108" s="180">
        <v>0</v>
      </c>
      <c r="CG108" s="180">
        <v>0</v>
      </c>
      <c r="CH108" s="180">
        <v>0</v>
      </c>
      <c r="CI108" s="180"/>
      <c r="CJ108" s="180"/>
      <c r="CK108" s="180"/>
      <c r="CL108" s="180"/>
      <c r="CM108" s="180"/>
      <c r="CN108" s="180"/>
      <c r="CO108" s="180"/>
      <c r="CP108" s="180"/>
      <c r="CQ108" s="180"/>
      <c r="CR108" s="180"/>
      <c r="CS108" s="180"/>
      <c r="CT108" s="180"/>
      <c r="CU108" s="180"/>
    </row>
    <row r="109" spans="1:99" x14ac:dyDescent="0.3">
      <c r="A109" s="155">
        <v>509</v>
      </c>
      <c r="B109" s="180" t="s">
        <v>205</v>
      </c>
      <c r="C109" s="180"/>
      <c r="D109" s="180">
        <v>0</v>
      </c>
      <c r="E109" s="180">
        <v>0</v>
      </c>
      <c r="F109" s="180">
        <v>0</v>
      </c>
      <c r="G109" s="180">
        <v>0</v>
      </c>
      <c r="H109" s="180"/>
      <c r="I109" s="180">
        <v>0</v>
      </c>
      <c r="J109" s="180">
        <v>0</v>
      </c>
      <c r="K109" s="180">
        <v>0</v>
      </c>
      <c r="L109" s="180">
        <v>0</v>
      </c>
      <c r="M109" s="180">
        <v>0</v>
      </c>
      <c r="N109" s="180">
        <v>0</v>
      </c>
      <c r="O109" s="180">
        <v>0</v>
      </c>
      <c r="P109" s="180">
        <v>0</v>
      </c>
      <c r="Q109" s="180">
        <v>0</v>
      </c>
      <c r="R109" s="180">
        <v>0</v>
      </c>
      <c r="S109" s="180">
        <v>0</v>
      </c>
      <c r="T109" s="180">
        <v>0</v>
      </c>
      <c r="U109" s="180">
        <v>0</v>
      </c>
      <c r="V109" s="180">
        <v>0</v>
      </c>
      <c r="W109" s="180">
        <v>0</v>
      </c>
      <c r="X109" s="180">
        <v>0</v>
      </c>
      <c r="Y109" s="180">
        <v>0</v>
      </c>
      <c r="Z109" s="180">
        <v>0</v>
      </c>
      <c r="AA109" s="180">
        <v>0</v>
      </c>
      <c r="AB109" s="180">
        <v>0</v>
      </c>
      <c r="AC109" s="180"/>
      <c r="AD109" s="180">
        <v>0</v>
      </c>
      <c r="AE109" s="180">
        <v>0</v>
      </c>
      <c r="AF109" s="180">
        <v>0</v>
      </c>
      <c r="AG109" s="180">
        <v>0</v>
      </c>
      <c r="AH109" s="180">
        <v>0</v>
      </c>
      <c r="AI109" s="180">
        <v>0</v>
      </c>
      <c r="AJ109" s="180">
        <v>0</v>
      </c>
      <c r="AK109" s="180">
        <v>0</v>
      </c>
      <c r="AL109" s="180">
        <v>0</v>
      </c>
      <c r="AM109" s="180"/>
      <c r="AN109" s="180">
        <v>0</v>
      </c>
      <c r="AO109" s="180"/>
      <c r="AP109" s="180">
        <v>0</v>
      </c>
      <c r="AQ109" s="180">
        <v>0</v>
      </c>
      <c r="AR109" s="180">
        <v>0</v>
      </c>
      <c r="AS109" s="180">
        <v>0</v>
      </c>
      <c r="AT109" s="180">
        <v>0</v>
      </c>
      <c r="AU109" s="180">
        <v>0</v>
      </c>
      <c r="AV109" s="180">
        <v>0</v>
      </c>
      <c r="AW109" s="180">
        <v>0</v>
      </c>
      <c r="AX109" s="180">
        <v>0</v>
      </c>
      <c r="AY109" s="180">
        <v>0</v>
      </c>
      <c r="AZ109" s="180">
        <v>0</v>
      </c>
      <c r="BA109" s="180">
        <v>0</v>
      </c>
      <c r="BB109" s="180">
        <v>0</v>
      </c>
      <c r="BC109" s="180">
        <v>0</v>
      </c>
      <c r="BD109" s="180">
        <v>0</v>
      </c>
      <c r="BE109" s="180">
        <v>0</v>
      </c>
      <c r="BF109" s="180">
        <v>0</v>
      </c>
      <c r="BG109" s="180">
        <v>0</v>
      </c>
      <c r="BH109" s="180">
        <v>0</v>
      </c>
      <c r="BI109" s="180">
        <v>0</v>
      </c>
      <c r="BJ109" s="180">
        <v>0</v>
      </c>
      <c r="BK109" s="180"/>
      <c r="BL109" s="180">
        <v>0</v>
      </c>
      <c r="BM109" s="180">
        <v>0</v>
      </c>
      <c r="BN109" s="180">
        <v>0</v>
      </c>
      <c r="BO109" s="180">
        <v>0</v>
      </c>
      <c r="BP109" s="180">
        <v>0</v>
      </c>
      <c r="BQ109" s="180">
        <v>0</v>
      </c>
      <c r="BR109" s="180"/>
      <c r="BS109" s="180">
        <v>0</v>
      </c>
      <c r="BT109" s="180"/>
      <c r="BU109" s="180">
        <v>0</v>
      </c>
      <c r="BV109" s="180">
        <v>0</v>
      </c>
      <c r="BW109" s="180">
        <v>0</v>
      </c>
      <c r="BX109" s="180">
        <v>0</v>
      </c>
      <c r="BY109" s="180">
        <v>0</v>
      </c>
      <c r="BZ109" s="180">
        <v>0</v>
      </c>
      <c r="CA109" s="180">
        <v>0</v>
      </c>
      <c r="CB109" s="180">
        <v>0</v>
      </c>
      <c r="CC109" s="180">
        <v>0</v>
      </c>
      <c r="CD109" s="180"/>
      <c r="CE109" s="180">
        <v>0</v>
      </c>
      <c r="CF109" s="180">
        <v>0</v>
      </c>
      <c r="CG109" s="180">
        <v>0</v>
      </c>
      <c r="CH109" s="180">
        <v>0</v>
      </c>
      <c r="CI109" s="180"/>
      <c r="CJ109" s="180"/>
      <c r="CK109" s="180"/>
      <c r="CL109" s="180"/>
      <c r="CM109" s="180"/>
      <c r="CN109" s="180"/>
      <c r="CO109" s="180"/>
      <c r="CP109" s="180"/>
      <c r="CQ109" s="180"/>
      <c r="CR109" s="180"/>
      <c r="CS109" s="180"/>
      <c r="CT109" s="180"/>
      <c r="CU109" s="180"/>
    </row>
    <row r="110" spans="1:99" x14ac:dyDescent="0.3">
      <c r="A110" s="155">
        <v>510</v>
      </c>
      <c r="B110" s="180" t="s">
        <v>211</v>
      </c>
      <c r="C110" s="180"/>
      <c r="D110" s="180">
        <v>0</v>
      </c>
      <c r="E110" s="180">
        <v>0</v>
      </c>
      <c r="F110" s="180">
        <v>0</v>
      </c>
      <c r="G110" s="180">
        <v>0</v>
      </c>
      <c r="H110" s="180"/>
      <c r="I110" s="180">
        <v>0</v>
      </c>
      <c r="J110" s="180">
        <v>0</v>
      </c>
      <c r="K110" s="180">
        <v>0</v>
      </c>
      <c r="L110" s="180">
        <v>0</v>
      </c>
      <c r="M110" s="180">
        <v>0</v>
      </c>
      <c r="N110" s="180">
        <v>0</v>
      </c>
      <c r="O110" s="180">
        <v>0</v>
      </c>
      <c r="P110" s="180">
        <v>0</v>
      </c>
      <c r="Q110" s="180">
        <v>0</v>
      </c>
      <c r="R110" s="180">
        <v>0</v>
      </c>
      <c r="S110" s="180">
        <v>0</v>
      </c>
      <c r="T110" s="180">
        <v>0</v>
      </c>
      <c r="U110" s="180">
        <v>0</v>
      </c>
      <c r="V110" s="180">
        <v>0</v>
      </c>
      <c r="W110" s="180">
        <v>0</v>
      </c>
      <c r="X110" s="180">
        <v>0</v>
      </c>
      <c r="Y110" s="180">
        <v>2230000</v>
      </c>
      <c r="Z110" s="180">
        <v>75005</v>
      </c>
      <c r="AA110" s="180">
        <v>0</v>
      </c>
      <c r="AB110" s="180">
        <v>0</v>
      </c>
      <c r="AC110" s="180"/>
      <c r="AD110" s="180">
        <v>130467</v>
      </c>
      <c r="AE110" s="180">
        <v>0</v>
      </c>
      <c r="AF110" s="180">
        <v>614468</v>
      </c>
      <c r="AG110" s="180">
        <v>0</v>
      </c>
      <c r="AH110" s="180">
        <v>0</v>
      </c>
      <c r="AI110" s="180">
        <v>58314</v>
      </c>
      <c r="AJ110" s="180">
        <v>0</v>
      </c>
      <c r="AK110" s="180">
        <v>24217</v>
      </c>
      <c r="AL110" s="180">
        <v>0</v>
      </c>
      <c r="AM110" s="180"/>
      <c r="AN110" s="180">
        <v>0</v>
      </c>
      <c r="AO110" s="180"/>
      <c r="AP110" s="180">
        <v>0</v>
      </c>
      <c r="AQ110" s="180">
        <v>903311</v>
      </c>
      <c r="AR110" s="180">
        <v>0</v>
      </c>
      <c r="AS110" s="180">
        <v>0</v>
      </c>
      <c r="AT110" s="180">
        <v>3856</v>
      </c>
      <c r="AU110" s="180">
        <v>0</v>
      </c>
      <c r="AV110" s="570">
        <v>0</v>
      </c>
      <c r="AW110" s="180">
        <v>0</v>
      </c>
      <c r="AX110" s="180">
        <v>332</v>
      </c>
      <c r="AY110" s="180">
        <v>0</v>
      </c>
      <c r="AZ110" s="180">
        <v>0</v>
      </c>
      <c r="BA110" s="180">
        <v>15525</v>
      </c>
      <c r="BB110" s="180">
        <v>2400</v>
      </c>
      <c r="BC110" s="180">
        <v>220063</v>
      </c>
      <c r="BD110" s="180">
        <v>0</v>
      </c>
      <c r="BE110" s="180">
        <v>0</v>
      </c>
      <c r="BF110" s="180">
        <v>102056</v>
      </c>
      <c r="BG110" s="180">
        <v>0</v>
      </c>
      <c r="BH110" s="180">
        <v>0</v>
      </c>
      <c r="BI110" s="180">
        <v>209478</v>
      </c>
      <c r="BJ110" s="180">
        <v>0</v>
      </c>
      <c r="BK110" s="180"/>
      <c r="BL110" s="180">
        <v>79834</v>
      </c>
      <c r="BM110" s="180">
        <v>3382</v>
      </c>
      <c r="BN110" s="180">
        <v>0</v>
      </c>
      <c r="BO110" s="180">
        <v>100461</v>
      </c>
      <c r="BP110" s="180">
        <v>4200082</v>
      </c>
      <c r="BQ110" s="180">
        <v>0</v>
      </c>
      <c r="BR110" s="180"/>
      <c r="BS110" s="180">
        <v>0</v>
      </c>
      <c r="BT110" s="180"/>
      <c r="BU110" s="180">
        <v>0</v>
      </c>
      <c r="BV110" s="180">
        <v>309663</v>
      </c>
      <c r="BW110" s="180">
        <v>163850</v>
      </c>
      <c r="BX110" s="180">
        <v>324861</v>
      </c>
      <c r="BY110" s="180">
        <v>27735</v>
      </c>
      <c r="BZ110" s="180">
        <v>0</v>
      </c>
      <c r="CA110" s="180">
        <v>148202</v>
      </c>
      <c r="CB110" s="180">
        <v>0</v>
      </c>
      <c r="CC110" s="180">
        <v>7301</v>
      </c>
      <c r="CD110" s="180"/>
      <c r="CE110" s="180">
        <v>0</v>
      </c>
      <c r="CF110" s="180">
        <v>0</v>
      </c>
      <c r="CG110" s="180">
        <v>0</v>
      </c>
      <c r="CH110" s="180">
        <v>0</v>
      </c>
      <c r="CI110" s="180"/>
      <c r="CJ110" s="180"/>
      <c r="CK110" s="180"/>
      <c r="CL110" s="180"/>
      <c r="CM110" s="180"/>
      <c r="CN110" s="180"/>
      <c r="CO110" s="180"/>
      <c r="CP110" s="180"/>
      <c r="CQ110" s="180"/>
      <c r="CR110" s="180"/>
      <c r="CS110" s="180"/>
      <c r="CT110" s="180"/>
      <c r="CU110" s="180"/>
    </row>
    <row r="111" spans="1:99" x14ac:dyDescent="0.3">
      <c r="A111" s="155">
        <v>511</v>
      </c>
      <c r="B111" s="180" t="s">
        <v>216</v>
      </c>
      <c r="C111" s="180"/>
      <c r="D111" s="180">
        <v>0</v>
      </c>
      <c r="E111" s="180">
        <v>0</v>
      </c>
      <c r="F111" s="180">
        <v>0</v>
      </c>
      <c r="G111" s="180">
        <v>0</v>
      </c>
      <c r="H111" s="180"/>
      <c r="I111" s="180">
        <v>0</v>
      </c>
      <c r="J111" s="180">
        <v>0</v>
      </c>
      <c r="K111" s="180">
        <v>0</v>
      </c>
      <c r="L111" s="180">
        <v>0</v>
      </c>
      <c r="M111" s="180">
        <v>0</v>
      </c>
      <c r="N111" s="180">
        <v>0</v>
      </c>
      <c r="O111" s="180">
        <v>0</v>
      </c>
      <c r="P111" s="180">
        <v>0</v>
      </c>
      <c r="Q111" s="180">
        <v>0</v>
      </c>
      <c r="R111" s="180">
        <v>0</v>
      </c>
      <c r="S111" s="180">
        <v>0</v>
      </c>
      <c r="T111" s="180">
        <v>0</v>
      </c>
      <c r="U111" s="180">
        <v>0</v>
      </c>
      <c r="V111" s="180">
        <v>0</v>
      </c>
      <c r="W111" s="180">
        <v>0</v>
      </c>
      <c r="X111" s="180">
        <v>0</v>
      </c>
      <c r="Y111" s="180">
        <v>0</v>
      </c>
      <c r="Z111" s="180">
        <v>620849</v>
      </c>
      <c r="AA111" s="180">
        <v>0</v>
      </c>
      <c r="AB111" s="180">
        <v>0</v>
      </c>
      <c r="AC111" s="180"/>
      <c r="AD111" s="180">
        <v>0</v>
      </c>
      <c r="AE111" s="180">
        <v>0</v>
      </c>
      <c r="AF111" s="180">
        <v>3560878</v>
      </c>
      <c r="AG111" s="180">
        <v>0</v>
      </c>
      <c r="AH111" s="180">
        <v>0</v>
      </c>
      <c r="AI111" s="180">
        <v>0</v>
      </c>
      <c r="AJ111" s="180">
        <v>0</v>
      </c>
      <c r="AK111" s="180">
        <v>0</v>
      </c>
      <c r="AL111" s="180">
        <v>0</v>
      </c>
      <c r="AM111" s="180"/>
      <c r="AN111" s="180">
        <v>0</v>
      </c>
      <c r="AO111" s="180"/>
      <c r="AP111" s="180">
        <v>0</v>
      </c>
      <c r="AQ111" s="180">
        <v>8151868</v>
      </c>
      <c r="AR111" s="180">
        <v>0</v>
      </c>
      <c r="AS111" s="180">
        <v>0</v>
      </c>
      <c r="AT111" s="180">
        <v>0</v>
      </c>
      <c r="AU111" s="180">
        <v>0</v>
      </c>
      <c r="AV111" s="180">
        <v>0</v>
      </c>
      <c r="AW111" s="180">
        <v>106673</v>
      </c>
      <c r="AX111" s="180">
        <v>0</v>
      </c>
      <c r="AY111" s="180">
        <v>0</v>
      </c>
      <c r="AZ111" s="180">
        <v>0</v>
      </c>
      <c r="BA111" s="180">
        <v>0</v>
      </c>
      <c r="BB111" s="180">
        <v>0</v>
      </c>
      <c r="BC111" s="180">
        <v>448707</v>
      </c>
      <c r="BD111" s="180">
        <v>0</v>
      </c>
      <c r="BE111" s="180">
        <v>0</v>
      </c>
      <c r="BF111" s="180">
        <v>0</v>
      </c>
      <c r="BG111" s="180">
        <v>0</v>
      </c>
      <c r="BH111" s="180">
        <v>0</v>
      </c>
      <c r="BI111" s="180">
        <v>0</v>
      </c>
      <c r="BJ111" s="180">
        <v>0</v>
      </c>
      <c r="BK111" s="180"/>
      <c r="BL111" s="180">
        <v>77113</v>
      </c>
      <c r="BM111" s="180">
        <v>0</v>
      </c>
      <c r="BN111" s="180">
        <v>0</v>
      </c>
      <c r="BO111" s="180">
        <v>0</v>
      </c>
      <c r="BP111" s="180">
        <v>0</v>
      </c>
      <c r="BQ111" s="180">
        <v>0</v>
      </c>
      <c r="BR111" s="180"/>
      <c r="BS111" s="180">
        <v>0</v>
      </c>
      <c r="BT111" s="180"/>
      <c r="BU111" s="180">
        <v>0</v>
      </c>
      <c r="BV111" s="180">
        <v>0</v>
      </c>
      <c r="BW111" s="180">
        <v>1008327</v>
      </c>
      <c r="BX111" s="180">
        <v>2371677</v>
      </c>
      <c r="BY111" s="180">
        <v>0</v>
      </c>
      <c r="BZ111" s="180">
        <v>0</v>
      </c>
      <c r="CA111" s="180">
        <v>0</v>
      </c>
      <c r="CB111" s="180">
        <v>0</v>
      </c>
      <c r="CC111" s="180">
        <v>0</v>
      </c>
      <c r="CD111" s="180"/>
      <c r="CE111" s="180">
        <v>0</v>
      </c>
      <c r="CF111" s="180">
        <v>0</v>
      </c>
      <c r="CG111" s="180">
        <v>31372</v>
      </c>
      <c r="CH111" s="180">
        <v>0</v>
      </c>
      <c r="CI111" s="180"/>
      <c r="CJ111" s="180"/>
      <c r="CK111" s="180"/>
      <c r="CL111" s="180"/>
      <c r="CM111" s="180"/>
      <c r="CN111" s="180"/>
      <c r="CO111" s="180"/>
      <c r="CP111" s="180"/>
      <c r="CQ111" s="180"/>
      <c r="CR111" s="180"/>
      <c r="CS111" s="180"/>
      <c r="CT111" s="180"/>
      <c r="CU111" s="180"/>
    </row>
    <row r="112" spans="1:99" x14ac:dyDescent="0.3">
      <c r="A112" s="155">
        <v>512</v>
      </c>
      <c r="B112" s="180" t="s">
        <v>243</v>
      </c>
      <c r="C112" s="180"/>
      <c r="D112" s="180">
        <v>0</v>
      </c>
      <c r="E112" s="180">
        <v>0</v>
      </c>
      <c r="F112" s="180">
        <v>0</v>
      </c>
      <c r="G112" s="180">
        <v>0</v>
      </c>
      <c r="H112" s="180"/>
      <c r="I112" s="180">
        <v>11207</v>
      </c>
      <c r="J112" s="180">
        <v>0</v>
      </c>
      <c r="K112" s="180">
        <v>0</v>
      </c>
      <c r="L112" s="180">
        <v>0</v>
      </c>
      <c r="M112" s="180">
        <v>0</v>
      </c>
      <c r="N112" s="180">
        <v>0</v>
      </c>
      <c r="O112" s="180">
        <v>0</v>
      </c>
      <c r="P112" s="180">
        <v>0</v>
      </c>
      <c r="Q112" s="180">
        <v>0</v>
      </c>
      <c r="R112" s="180">
        <v>0</v>
      </c>
      <c r="S112" s="180">
        <v>0</v>
      </c>
      <c r="T112" s="180">
        <v>0</v>
      </c>
      <c r="U112" s="180">
        <v>0</v>
      </c>
      <c r="V112" s="180">
        <v>0</v>
      </c>
      <c r="W112" s="180">
        <v>0</v>
      </c>
      <c r="X112" s="180">
        <v>7754651</v>
      </c>
      <c r="Y112" s="180">
        <v>751067000</v>
      </c>
      <c r="Z112" s="180">
        <v>0</v>
      </c>
      <c r="AA112" s="180">
        <v>0</v>
      </c>
      <c r="AB112" s="180">
        <v>0</v>
      </c>
      <c r="AC112" s="180"/>
      <c r="AD112" s="180">
        <v>0</v>
      </c>
      <c r="AE112" s="180">
        <v>0</v>
      </c>
      <c r="AF112" s="180">
        <v>54469</v>
      </c>
      <c r="AG112" s="180">
        <v>0</v>
      </c>
      <c r="AH112" s="180">
        <v>0</v>
      </c>
      <c r="AI112" s="180">
        <v>0</v>
      </c>
      <c r="AJ112" s="180">
        <v>0</v>
      </c>
      <c r="AK112" s="180">
        <v>0</v>
      </c>
      <c r="AL112" s="180">
        <v>0</v>
      </c>
      <c r="AM112" s="180"/>
      <c r="AN112" s="180">
        <v>0</v>
      </c>
      <c r="AO112" s="180"/>
      <c r="AP112" s="180">
        <v>0</v>
      </c>
      <c r="AQ112" s="180">
        <v>15755264</v>
      </c>
      <c r="AR112" s="180">
        <v>0</v>
      </c>
      <c r="AS112" s="180">
        <v>0</v>
      </c>
      <c r="AT112" s="180">
        <v>0</v>
      </c>
      <c r="AU112" s="180">
        <v>0</v>
      </c>
      <c r="AV112" s="180">
        <v>0</v>
      </c>
      <c r="AW112" s="180">
        <v>1045051</v>
      </c>
      <c r="AX112" s="180">
        <v>0</v>
      </c>
      <c r="AY112" s="180">
        <v>0</v>
      </c>
      <c r="AZ112" s="180">
        <v>0</v>
      </c>
      <c r="BA112" s="180">
        <v>0</v>
      </c>
      <c r="BB112" s="180">
        <v>0</v>
      </c>
      <c r="BC112" s="180">
        <v>0</v>
      </c>
      <c r="BD112" s="180">
        <v>0</v>
      </c>
      <c r="BE112" s="180">
        <v>0</v>
      </c>
      <c r="BF112" s="180">
        <v>0</v>
      </c>
      <c r="BG112" s="180">
        <v>0</v>
      </c>
      <c r="BH112" s="180">
        <v>0</v>
      </c>
      <c r="BI112" s="180">
        <v>0</v>
      </c>
      <c r="BJ112" s="180">
        <v>0</v>
      </c>
      <c r="BK112" s="180"/>
      <c r="BL112" s="180">
        <v>0</v>
      </c>
      <c r="BM112" s="180">
        <v>0</v>
      </c>
      <c r="BN112" s="180">
        <v>0</v>
      </c>
      <c r="BO112" s="180">
        <v>0</v>
      </c>
      <c r="BP112" s="180">
        <v>0</v>
      </c>
      <c r="BQ112" s="180">
        <v>0</v>
      </c>
      <c r="BR112" s="180"/>
      <c r="BS112" s="180">
        <v>0</v>
      </c>
      <c r="BT112" s="180"/>
      <c r="BU112" s="180">
        <v>0</v>
      </c>
      <c r="BV112" s="180">
        <v>0</v>
      </c>
      <c r="BW112" s="180">
        <v>0</v>
      </c>
      <c r="BX112" s="180">
        <v>0</v>
      </c>
      <c r="BY112" s="180">
        <v>0</v>
      </c>
      <c r="BZ112" s="180">
        <v>0</v>
      </c>
      <c r="CA112" s="180">
        <v>47952</v>
      </c>
      <c r="CB112" s="180">
        <v>0</v>
      </c>
      <c r="CC112" s="180">
        <v>0</v>
      </c>
      <c r="CD112" s="180"/>
      <c r="CE112" s="180">
        <v>0</v>
      </c>
      <c r="CF112" s="180">
        <v>0</v>
      </c>
      <c r="CG112" s="180">
        <v>0</v>
      </c>
      <c r="CH112" s="180">
        <v>0</v>
      </c>
      <c r="CI112" s="180"/>
      <c r="CJ112" s="180"/>
      <c r="CK112" s="180"/>
      <c r="CL112" s="180"/>
      <c r="CM112" s="180"/>
      <c r="CN112" s="180"/>
      <c r="CO112" s="180"/>
      <c r="CP112" s="180"/>
      <c r="CQ112" s="180"/>
      <c r="CR112" s="180"/>
      <c r="CS112" s="180"/>
      <c r="CT112" s="180"/>
      <c r="CU112" s="180"/>
    </row>
    <row r="113" spans="1:99" x14ac:dyDescent="0.3">
      <c r="A113" s="155">
        <v>513</v>
      </c>
      <c r="B113" s="180" t="s">
        <v>249</v>
      </c>
      <c r="C113" s="180"/>
      <c r="D113" s="180">
        <v>0</v>
      </c>
      <c r="E113" s="180">
        <v>0</v>
      </c>
      <c r="F113" s="180">
        <v>0</v>
      </c>
      <c r="G113" s="180">
        <v>0</v>
      </c>
      <c r="H113" s="180"/>
      <c r="I113" s="180">
        <v>0</v>
      </c>
      <c r="J113" s="180">
        <v>0</v>
      </c>
      <c r="K113" s="180">
        <v>0</v>
      </c>
      <c r="L113" s="180">
        <v>0</v>
      </c>
      <c r="M113" s="180">
        <v>0</v>
      </c>
      <c r="N113" s="180">
        <v>0</v>
      </c>
      <c r="O113" s="180">
        <v>0</v>
      </c>
      <c r="P113" s="180">
        <v>0</v>
      </c>
      <c r="Q113" s="180">
        <v>0</v>
      </c>
      <c r="R113" s="180">
        <v>0</v>
      </c>
      <c r="S113" s="180">
        <v>0</v>
      </c>
      <c r="T113" s="180">
        <v>0</v>
      </c>
      <c r="U113" s="180">
        <v>0</v>
      </c>
      <c r="V113" s="180">
        <v>0</v>
      </c>
      <c r="W113" s="180">
        <v>0</v>
      </c>
      <c r="X113" s="180">
        <v>0</v>
      </c>
      <c r="Y113" s="180">
        <v>0</v>
      </c>
      <c r="Z113" s="180">
        <v>0</v>
      </c>
      <c r="AA113" s="180">
        <v>0</v>
      </c>
      <c r="AB113" s="180">
        <v>0</v>
      </c>
      <c r="AC113" s="180"/>
      <c r="AD113" s="180">
        <v>0</v>
      </c>
      <c r="AE113" s="180">
        <v>0</v>
      </c>
      <c r="AF113" s="180">
        <v>0</v>
      </c>
      <c r="AG113" s="180">
        <v>0</v>
      </c>
      <c r="AH113" s="180">
        <v>0</v>
      </c>
      <c r="AI113" s="180">
        <v>0</v>
      </c>
      <c r="AJ113" s="180">
        <v>0</v>
      </c>
      <c r="AK113" s="180">
        <v>0</v>
      </c>
      <c r="AL113" s="180">
        <v>0</v>
      </c>
      <c r="AM113" s="180"/>
      <c r="AN113" s="180">
        <v>0</v>
      </c>
      <c r="AO113" s="180"/>
      <c r="AP113" s="180">
        <v>0</v>
      </c>
      <c r="AQ113" s="180">
        <v>0</v>
      </c>
      <c r="AR113" s="180">
        <v>0</v>
      </c>
      <c r="AS113" s="180">
        <v>0</v>
      </c>
      <c r="AT113" s="180">
        <v>0</v>
      </c>
      <c r="AU113" s="180">
        <v>0</v>
      </c>
      <c r="AV113" s="180">
        <v>0</v>
      </c>
      <c r="AW113" s="180">
        <v>0</v>
      </c>
      <c r="AX113" s="180">
        <v>0</v>
      </c>
      <c r="AY113" s="180">
        <v>0</v>
      </c>
      <c r="AZ113" s="180">
        <v>0</v>
      </c>
      <c r="BA113" s="180">
        <v>0</v>
      </c>
      <c r="BB113" s="180">
        <v>0</v>
      </c>
      <c r="BC113" s="180">
        <v>0</v>
      </c>
      <c r="BD113" s="180">
        <v>0</v>
      </c>
      <c r="BE113" s="180">
        <v>0</v>
      </c>
      <c r="BF113" s="180">
        <v>0</v>
      </c>
      <c r="BG113" s="180">
        <v>0</v>
      </c>
      <c r="BH113" s="180">
        <v>0</v>
      </c>
      <c r="BI113" s="180">
        <v>0</v>
      </c>
      <c r="BJ113" s="180">
        <v>0</v>
      </c>
      <c r="BK113" s="180"/>
      <c r="BL113" s="180">
        <v>0</v>
      </c>
      <c r="BM113" s="180">
        <v>0</v>
      </c>
      <c r="BN113" s="180">
        <v>0</v>
      </c>
      <c r="BO113" s="180">
        <v>0</v>
      </c>
      <c r="BP113" s="180">
        <v>0</v>
      </c>
      <c r="BQ113" s="180">
        <v>0</v>
      </c>
      <c r="BR113" s="180"/>
      <c r="BS113" s="180">
        <v>0</v>
      </c>
      <c r="BT113" s="180"/>
      <c r="BU113" s="180">
        <v>0</v>
      </c>
      <c r="BV113" s="180">
        <v>0</v>
      </c>
      <c r="BW113" s="180">
        <v>0</v>
      </c>
      <c r="BX113" s="180">
        <v>0</v>
      </c>
      <c r="BY113" s="180">
        <v>0</v>
      </c>
      <c r="BZ113" s="180">
        <v>0</v>
      </c>
      <c r="CA113" s="180">
        <v>0</v>
      </c>
      <c r="CB113" s="180">
        <v>0</v>
      </c>
      <c r="CC113" s="180">
        <v>0</v>
      </c>
      <c r="CD113" s="180"/>
      <c r="CE113" s="180">
        <v>0</v>
      </c>
      <c r="CF113" s="180">
        <v>0</v>
      </c>
      <c r="CG113" s="180">
        <v>0</v>
      </c>
      <c r="CH113" s="180">
        <v>0</v>
      </c>
      <c r="CI113" s="180"/>
      <c r="CJ113" s="180"/>
      <c r="CK113" s="180"/>
      <c r="CL113" s="180"/>
      <c r="CM113" s="180"/>
      <c r="CN113" s="180"/>
      <c r="CO113" s="180"/>
      <c r="CP113" s="180"/>
      <c r="CQ113" s="180"/>
      <c r="CR113" s="180"/>
      <c r="CS113" s="180"/>
      <c r="CT113" s="180"/>
      <c r="CU113" s="180"/>
    </row>
    <row r="114" spans="1:99" x14ac:dyDescent="0.3">
      <c r="A114" s="155">
        <v>514</v>
      </c>
      <c r="B114" s="180" t="s">
        <v>250</v>
      </c>
      <c r="C114" s="180"/>
      <c r="D114" s="180">
        <v>0</v>
      </c>
      <c r="E114" s="180">
        <v>0</v>
      </c>
      <c r="F114" s="180">
        <v>0</v>
      </c>
      <c r="G114" s="180">
        <v>0</v>
      </c>
      <c r="H114" s="180"/>
      <c r="I114" s="180">
        <v>0</v>
      </c>
      <c r="J114" s="180">
        <v>0</v>
      </c>
      <c r="K114" s="180">
        <v>0</v>
      </c>
      <c r="L114" s="180">
        <v>0</v>
      </c>
      <c r="M114" s="180">
        <v>0</v>
      </c>
      <c r="N114" s="180">
        <v>0</v>
      </c>
      <c r="O114" s="180">
        <v>0</v>
      </c>
      <c r="P114" s="180">
        <v>0</v>
      </c>
      <c r="Q114" s="180">
        <v>0</v>
      </c>
      <c r="R114" s="180">
        <v>0</v>
      </c>
      <c r="S114" s="180">
        <v>0</v>
      </c>
      <c r="T114" s="180">
        <v>0</v>
      </c>
      <c r="U114" s="180">
        <v>0</v>
      </c>
      <c r="V114" s="180">
        <v>0</v>
      </c>
      <c r="W114" s="180">
        <v>0</v>
      </c>
      <c r="X114" s="180">
        <v>0</v>
      </c>
      <c r="Y114" s="180">
        <v>0</v>
      </c>
      <c r="Z114" s="180">
        <v>0</v>
      </c>
      <c r="AA114" s="180">
        <v>0</v>
      </c>
      <c r="AB114" s="180">
        <v>0</v>
      </c>
      <c r="AC114" s="180"/>
      <c r="AD114" s="180">
        <v>0</v>
      </c>
      <c r="AE114" s="180">
        <v>0</v>
      </c>
      <c r="AF114" s="180">
        <v>0</v>
      </c>
      <c r="AG114" s="180">
        <v>0</v>
      </c>
      <c r="AH114" s="180">
        <v>0</v>
      </c>
      <c r="AI114" s="180">
        <v>0</v>
      </c>
      <c r="AJ114" s="180">
        <v>0</v>
      </c>
      <c r="AK114" s="180">
        <v>0</v>
      </c>
      <c r="AL114" s="180">
        <v>0</v>
      </c>
      <c r="AM114" s="180"/>
      <c r="AN114" s="180">
        <v>0</v>
      </c>
      <c r="AO114" s="180"/>
      <c r="AP114" s="180">
        <v>0</v>
      </c>
      <c r="AQ114" s="180">
        <v>650377</v>
      </c>
      <c r="AR114" s="180">
        <v>0</v>
      </c>
      <c r="AS114" s="180">
        <v>0</v>
      </c>
      <c r="AT114" s="180">
        <v>0</v>
      </c>
      <c r="AU114" s="180">
        <v>0</v>
      </c>
      <c r="AV114" s="180">
        <v>0</v>
      </c>
      <c r="AW114" s="180">
        <v>0</v>
      </c>
      <c r="AX114" s="180">
        <v>0</v>
      </c>
      <c r="AY114" s="180">
        <v>0</v>
      </c>
      <c r="AZ114" s="180">
        <v>0</v>
      </c>
      <c r="BA114" s="180">
        <v>0</v>
      </c>
      <c r="BB114" s="180">
        <v>0</v>
      </c>
      <c r="BC114" s="180">
        <v>735733</v>
      </c>
      <c r="BD114" s="180">
        <v>0</v>
      </c>
      <c r="BE114" s="180">
        <v>0</v>
      </c>
      <c r="BF114" s="180">
        <v>0</v>
      </c>
      <c r="BG114" s="180">
        <v>0</v>
      </c>
      <c r="BH114" s="180">
        <v>0</v>
      </c>
      <c r="BI114" s="180">
        <v>0</v>
      </c>
      <c r="BJ114" s="180">
        <v>0</v>
      </c>
      <c r="BK114" s="180"/>
      <c r="BL114" s="180">
        <v>0</v>
      </c>
      <c r="BM114" s="180">
        <v>0</v>
      </c>
      <c r="BN114" s="180">
        <v>0</v>
      </c>
      <c r="BO114" s="180">
        <v>0</v>
      </c>
      <c r="BP114" s="180">
        <v>0</v>
      </c>
      <c r="BQ114" s="180">
        <v>0</v>
      </c>
      <c r="BR114" s="180"/>
      <c r="BS114" s="180">
        <v>0</v>
      </c>
      <c r="BT114" s="180"/>
      <c r="BU114" s="180">
        <v>0</v>
      </c>
      <c r="BV114" s="180">
        <v>0</v>
      </c>
      <c r="BW114" s="180">
        <v>49953</v>
      </c>
      <c r="BX114" s="180">
        <v>925000</v>
      </c>
      <c r="BY114" s="180">
        <v>0</v>
      </c>
      <c r="BZ114" s="180">
        <v>0</v>
      </c>
      <c r="CA114" s="180">
        <v>0</v>
      </c>
      <c r="CB114" s="180">
        <v>0</v>
      </c>
      <c r="CC114" s="180">
        <v>0</v>
      </c>
      <c r="CD114" s="180"/>
      <c r="CE114" s="180">
        <v>0</v>
      </c>
      <c r="CF114" s="180">
        <v>0</v>
      </c>
      <c r="CG114" s="180">
        <v>0</v>
      </c>
      <c r="CH114" s="180">
        <v>0</v>
      </c>
      <c r="CI114" s="180"/>
      <c r="CJ114" s="180"/>
      <c r="CK114" s="180"/>
      <c r="CL114" s="180"/>
      <c r="CM114" s="180"/>
      <c r="CN114" s="180"/>
      <c r="CO114" s="180"/>
      <c r="CP114" s="180"/>
      <c r="CQ114" s="180"/>
      <c r="CR114" s="180"/>
      <c r="CS114" s="180"/>
      <c r="CT114" s="180"/>
      <c r="CU114" s="180"/>
    </row>
    <row r="115" spans="1:99" x14ac:dyDescent="0.3">
      <c r="A115" s="555">
        <v>515</v>
      </c>
      <c r="B115" s="552" t="s">
        <v>262</v>
      </c>
      <c r="C115" s="180"/>
      <c r="D115" s="180">
        <v>0</v>
      </c>
      <c r="E115" s="180">
        <v>0</v>
      </c>
      <c r="F115" s="180">
        <v>0</v>
      </c>
      <c r="G115" s="180">
        <v>0</v>
      </c>
      <c r="H115" s="180"/>
      <c r="I115" s="180">
        <v>1019250</v>
      </c>
      <c r="J115" s="180">
        <v>0</v>
      </c>
      <c r="K115" s="180">
        <v>0</v>
      </c>
      <c r="L115" s="180">
        <v>0</v>
      </c>
      <c r="M115" s="180">
        <v>0</v>
      </c>
      <c r="N115" s="180">
        <v>2095691</v>
      </c>
      <c r="O115" s="180">
        <v>173159353</v>
      </c>
      <c r="P115" s="180">
        <v>0</v>
      </c>
      <c r="Q115" s="180">
        <v>0</v>
      </c>
      <c r="R115" s="180">
        <v>0</v>
      </c>
      <c r="S115" s="180">
        <v>0</v>
      </c>
      <c r="T115" s="180">
        <v>0</v>
      </c>
      <c r="U115" s="180">
        <v>0</v>
      </c>
      <c r="V115" s="180">
        <v>0</v>
      </c>
      <c r="W115" s="180">
        <v>0</v>
      </c>
      <c r="X115" s="180">
        <v>0</v>
      </c>
      <c r="Y115" s="180">
        <v>96992000</v>
      </c>
      <c r="Z115" s="180">
        <v>0</v>
      </c>
      <c r="AA115" s="180">
        <v>0</v>
      </c>
      <c r="AB115" s="180">
        <v>0</v>
      </c>
      <c r="AC115" s="180"/>
      <c r="AD115" s="180">
        <v>0</v>
      </c>
      <c r="AE115" s="180">
        <v>726257</v>
      </c>
      <c r="AF115" s="180">
        <v>2478745</v>
      </c>
      <c r="AG115" s="180">
        <v>0</v>
      </c>
      <c r="AH115" s="180">
        <v>0</v>
      </c>
      <c r="AI115" s="180">
        <v>7428395</v>
      </c>
      <c r="AJ115" s="180">
        <v>0</v>
      </c>
      <c r="AK115" s="180">
        <v>0</v>
      </c>
      <c r="AL115" s="180">
        <v>0</v>
      </c>
      <c r="AM115" s="180"/>
      <c r="AN115" s="180">
        <v>0</v>
      </c>
      <c r="AO115" s="180"/>
      <c r="AP115" s="180">
        <v>0</v>
      </c>
      <c r="AQ115" s="180">
        <v>17169373</v>
      </c>
      <c r="AR115" s="180">
        <v>0</v>
      </c>
      <c r="AS115" s="180">
        <v>0</v>
      </c>
      <c r="AT115" s="180">
        <v>8522954</v>
      </c>
      <c r="AU115" s="180">
        <v>0</v>
      </c>
      <c r="AV115" s="570">
        <v>0</v>
      </c>
      <c r="AW115" s="180">
        <v>0</v>
      </c>
      <c r="AX115" s="180">
        <v>0</v>
      </c>
      <c r="AY115" s="180">
        <v>0</v>
      </c>
      <c r="AZ115" s="180">
        <v>0</v>
      </c>
      <c r="BA115" s="180">
        <v>70354</v>
      </c>
      <c r="BB115" s="180">
        <v>0</v>
      </c>
      <c r="BC115" s="180">
        <v>300869</v>
      </c>
      <c r="BD115" s="180">
        <v>0</v>
      </c>
      <c r="BE115" s="180">
        <v>0</v>
      </c>
      <c r="BF115" s="180">
        <v>0</v>
      </c>
      <c r="BG115" s="180">
        <v>0</v>
      </c>
      <c r="BH115" s="180">
        <v>0</v>
      </c>
      <c r="BI115" s="180">
        <v>0</v>
      </c>
      <c r="BJ115" s="180">
        <v>0</v>
      </c>
      <c r="BK115" s="180"/>
      <c r="BL115" s="180">
        <v>0</v>
      </c>
      <c r="BM115" s="180">
        <v>77024</v>
      </c>
      <c r="BN115" s="180">
        <v>0</v>
      </c>
      <c r="BO115" s="180">
        <v>954203</v>
      </c>
      <c r="BP115" s="180">
        <v>219595131</v>
      </c>
      <c r="BQ115" s="180">
        <v>0</v>
      </c>
      <c r="BR115" s="180"/>
      <c r="BS115" s="180">
        <v>109282</v>
      </c>
      <c r="BT115" s="180"/>
      <c r="BU115" s="180">
        <v>0</v>
      </c>
      <c r="BV115" s="180">
        <v>0</v>
      </c>
      <c r="BW115" s="180">
        <v>0</v>
      </c>
      <c r="BX115" s="180">
        <v>41006</v>
      </c>
      <c r="BY115" s="180">
        <v>833984</v>
      </c>
      <c r="BZ115" s="180">
        <v>75439</v>
      </c>
      <c r="CA115" s="180">
        <v>9613207</v>
      </c>
      <c r="CB115" s="180">
        <v>0</v>
      </c>
      <c r="CC115" s="180">
        <v>455326</v>
      </c>
      <c r="CD115" s="180"/>
      <c r="CE115" s="180">
        <v>0</v>
      </c>
      <c r="CF115" s="180">
        <v>0</v>
      </c>
      <c r="CG115" s="180">
        <v>8560</v>
      </c>
      <c r="CH115" s="180">
        <v>0</v>
      </c>
      <c r="CI115" s="180"/>
      <c r="CJ115" s="180"/>
      <c r="CK115" s="180"/>
      <c r="CL115" s="180"/>
      <c r="CM115" s="180"/>
      <c r="CN115" s="180"/>
      <c r="CO115" s="180"/>
      <c r="CP115" s="180"/>
      <c r="CQ115" s="180"/>
      <c r="CR115" s="180"/>
      <c r="CS115" s="180"/>
      <c r="CT115" s="180"/>
      <c r="CU115" s="180"/>
    </row>
    <row r="116" spans="1:99" x14ac:dyDescent="0.3">
      <c r="A116" s="555">
        <v>516</v>
      </c>
      <c r="B116" s="552" t="s">
        <v>263</v>
      </c>
      <c r="C116" s="180"/>
      <c r="D116" s="180">
        <v>4560306</v>
      </c>
      <c r="E116" s="180">
        <v>0</v>
      </c>
      <c r="F116" s="180">
        <v>4715492</v>
      </c>
      <c r="G116" s="180">
        <v>1258700</v>
      </c>
      <c r="H116" s="180"/>
      <c r="I116" s="180">
        <v>16578748</v>
      </c>
      <c r="J116" s="180">
        <v>0</v>
      </c>
      <c r="K116" s="180">
        <v>60151783</v>
      </c>
      <c r="L116" s="180">
        <v>0</v>
      </c>
      <c r="M116" s="180">
        <v>0</v>
      </c>
      <c r="N116" s="180">
        <v>0</v>
      </c>
      <c r="O116" s="180">
        <v>802239539</v>
      </c>
      <c r="P116" s="180">
        <v>0</v>
      </c>
      <c r="Q116" s="180">
        <v>0</v>
      </c>
      <c r="R116" s="180">
        <v>0</v>
      </c>
      <c r="S116" s="180">
        <v>0</v>
      </c>
      <c r="T116" s="180">
        <v>0</v>
      </c>
      <c r="U116" s="180">
        <v>0</v>
      </c>
      <c r="V116" s="180">
        <v>3251691</v>
      </c>
      <c r="W116" s="180">
        <v>0</v>
      </c>
      <c r="X116" s="180">
        <v>0</v>
      </c>
      <c r="Y116" s="180">
        <v>7046256000</v>
      </c>
      <c r="Z116" s="180">
        <v>25936964</v>
      </c>
      <c r="AA116" s="180">
        <v>4768578</v>
      </c>
      <c r="AB116" s="180">
        <v>0</v>
      </c>
      <c r="AC116" s="180"/>
      <c r="AD116" s="180">
        <v>9362964</v>
      </c>
      <c r="AE116" s="180">
        <v>6363220</v>
      </c>
      <c r="AF116" s="180">
        <v>60114700</v>
      </c>
      <c r="AG116" s="180">
        <v>0</v>
      </c>
      <c r="AH116" s="180">
        <v>8122569</v>
      </c>
      <c r="AI116" s="180">
        <v>14579305</v>
      </c>
      <c r="AJ116" s="180">
        <v>4450346</v>
      </c>
      <c r="AK116" s="180">
        <v>947537</v>
      </c>
      <c r="AL116" s="180">
        <v>3794575</v>
      </c>
      <c r="AM116" s="180"/>
      <c r="AN116" s="180">
        <v>15958615</v>
      </c>
      <c r="AO116" s="180"/>
      <c r="AP116" s="180">
        <v>0</v>
      </c>
      <c r="AQ116" s="180">
        <v>324559150</v>
      </c>
      <c r="AR116" s="180">
        <v>0</v>
      </c>
      <c r="AS116" s="180">
        <v>4050098</v>
      </c>
      <c r="AT116" s="180">
        <v>0</v>
      </c>
      <c r="AU116" s="180">
        <v>5658504</v>
      </c>
      <c r="AV116" s="570">
        <v>0</v>
      </c>
      <c r="AW116" s="180">
        <v>0</v>
      </c>
      <c r="AX116" s="180">
        <v>7100841</v>
      </c>
      <c r="AY116" s="180">
        <v>0</v>
      </c>
      <c r="AZ116" s="180">
        <v>0</v>
      </c>
      <c r="BA116" s="180">
        <v>8103321</v>
      </c>
      <c r="BB116" s="180">
        <v>1679357</v>
      </c>
      <c r="BC116" s="180">
        <v>15834928</v>
      </c>
      <c r="BD116" s="180">
        <v>0</v>
      </c>
      <c r="BE116" s="180">
        <v>0</v>
      </c>
      <c r="BF116" s="180">
        <v>17670327</v>
      </c>
      <c r="BG116" s="180">
        <v>0</v>
      </c>
      <c r="BH116" s="180">
        <v>0</v>
      </c>
      <c r="BI116" s="180">
        <v>17036694</v>
      </c>
      <c r="BJ116" s="180">
        <v>0</v>
      </c>
      <c r="BK116" s="180"/>
      <c r="BL116" s="180">
        <v>4737731</v>
      </c>
      <c r="BM116" s="180">
        <v>3152055</v>
      </c>
      <c r="BN116" s="180">
        <v>0</v>
      </c>
      <c r="BO116" s="180">
        <v>50270278</v>
      </c>
      <c r="BP116" s="180">
        <v>35881466</v>
      </c>
      <c r="BQ116" s="180">
        <v>0</v>
      </c>
      <c r="BR116" s="180"/>
      <c r="BS116" s="180">
        <v>1453231</v>
      </c>
      <c r="BT116" s="180"/>
      <c r="BU116" s="180">
        <v>0</v>
      </c>
      <c r="BV116" s="180">
        <v>100680003</v>
      </c>
      <c r="BW116" s="180">
        <v>18501131</v>
      </c>
      <c r="BX116" s="180">
        <v>87146663</v>
      </c>
      <c r="BY116" s="180">
        <v>23831460</v>
      </c>
      <c r="BZ116" s="180">
        <v>4183045</v>
      </c>
      <c r="CA116" s="180">
        <v>0</v>
      </c>
      <c r="CB116" s="180">
        <v>5259921</v>
      </c>
      <c r="CC116" s="180">
        <v>5636934</v>
      </c>
      <c r="CD116" s="180"/>
      <c r="CE116" s="180">
        <v>8803937</v>
      </c>
      <c r="CF116" s="180">
        <v>0</v>
      </c>
      <c r="CG116" s="180">
        <v>13021392</v>
      </c>
      <c r="CH116" s="180">
        <v>0</v>
      </c>
      <c r="CI116" s="180"/>
      <c r="CJ116" s="180"/>
      <c r="CK116" s="180"/>
      <c r="CL116" s="180"/>
      <c r="CM116" s="180"/>
      <c r="CN116" s="180"/>
      <c r="CO116" s="180"/>
      <c r="CP116" s="180"/>
      <c r="CQ116" s="180"/>
      <c r="CR116" s="180"/>
      <c r="CS116" s="180"/>
      <c r="CT116" s="180"/>
      <c r="CU116" s="180"/>
    </row>
    <row r="117" spans="1:99" x14ac:dyDescent="0.3">
      <c r="A117" s="555">
        <v>517</v>
      </c>
      <c r="B117" s="552" t="s">
        <v>264</v>
      </c>
      <c r="C117" s="180"/>
      <c r="D117" s="180">
        <v>0</v>
      </c>
      <c r="E117" s="180">
        <v>0</v>
      </c>
      <c r="F117" s="180">
        <v>0</v>
      </c>
      <c r="G117" s="180">
        <v>0</v>
      </c>
      <c r="H117" s="180"/>
      <c r="I117" s="180">
        <v>0</v>
      </c>
      <c r="J117" s="180">
        <v>0</v>
      </c>
      <c r="K117" s="180">
        <v>0</v>
      </c>
      <c r="L117" s="180">
        <v>0</v>
      </c>
      <c r="M117" s="180">
        <v>0</v>
      </c>
      <c r="N117" s="180">
        <v>11481574</v>
      </c>
      <c r="O117" s="180">
        <v>0</v>
      </c>
      <c r="P117" s="180">
        <v>0</v>
      </c>
      <c r="Q117" s="180">
        <v>0</v>
      </c>
      <c r="R117" s="180">
        <v>0</v>
      </c>
      <c r="S117" s="180">
        <v>0</v>
      </c>
      <c r="T117" s="180">
        <v>0</v>
      </c>
      <c r="U117" s="180">
        <v>0</v>
      </c>
      <c r="V117" s="180">
        <v>0</v>
      </c>
      <c r="W117" s="180">
        <v>16016753</v>
      </c>
      <c r="X117" s="180">
        <v>0</v>
      </c>
      <c r="Y117" s="180">
        <v>0</v>
      </c>
      <c r="Z117" s="180">
        <v>0</v>
      </c>
      <c r="AA117" s="180">
        <v>0</v>
      </c>
      <c r="AB117" s="180">
        <v>0</v>
      </c>
      <c r="AC117" s="180"/>
      <c r="AD117" s="180">
        <v>0</v>
      </c>
      <c r="AE117" s="180">
        <v>0</v>
      </c>
      <c r="AF117" s="180">
        <v>0</v>
      </c>
      <c r="AG117" s="180">
        <v>0</v>
      </c>
      <c r="AH117" s="180">
        <v>0</v>
      </c>
      <c r="AI117" s="180">
        <v>26606332</v>
      </c>
      <c r="AJ117" s="180">
        <v>0</v>
      </c>
      <c r="AK117" s="180">
        <v>0</v>
      </c>
      <c r="AL117" s="180">
        <v>0</v>
      </c>
      <c r="AM117" s="180"/>
      <c r="AN117" s="180">
        <v>0</v>
      </c>
      <c r="AO117" s="180"/>
      <c r="AP117" s="180">
        <v>0</v>
      </c>
      <c r="AQ117" s="180">
        <v>0</v>
      </c>
      <c r="AR117" s="180">
        <v>0</v>
      </c>
      <c r="AS117" s="180">
        <v>0</v>
      </c>
      <c r="AT117" s="180">
        <v>39275649</v>
      </c>
      <c r="AU117" s="180">
        <v>0</v>
      </c>
      <c r="AV117" s="570">
        <v>0</v>
      </c>
      <c r="AW117" s="180">
        <v>0</v>
      </c>
      <c r="AX117" s="180">
        <v>0</v>
      </c>
      <c r="AY117" s="180">
        <v>0</v>
      </c>
      <c r="AZ117" s="180">
        <v>0</v>
      </c>
      <c r="BA117" s="180">
        <v>0</v>
      </c>
      <c r="BB117" s="180">
        <v>0</v>
      </c>
      <c r="BC117" s="180">
        <v>0</v>
      </c>
      <c r="BD117" s="180">
        <v>0</v>
      </c>
      <c r="BE117" s="180">
        <v>0</v>
      </c>
      <c r="BF117" s="180">
        <v>0</v>
      </c>
      <c r="BG117" s="180">
        <v>0</v>
      </c>
      <c r="BH117" s="180">
        <v>0</v>
      </c>
      <c r="BI117" s="180">
        <v>0</v>
      </c>
      <c r="BJ117" s="180">
        <v>0</v>
      </c>
      <c r="BK117" s="180"/>
      <c r="BL117" s="180">
        <v>0</v>
      </c>
      <c r="BM117" s="180">
        <v>0</v>
      </c>
      <c r="BN117" s="180">
        <v>0</v>
      </c>
      <c r="BO117" s="180">
        <v>0</v>
      </c>
      <c r="BP117" s="180">
        <v>1016348475</v>
      </c>
      <c r="BQ117" s="180">
        <v>0</v>
      </c>
      <c r="BR117" s="180"/>
      <c r="BS117" s="180">
        <v>0</v>
      </c>
      <c r="BT117" s="180"/>
      <c r="BU117" s="180">
        <v>0</v>
      </c>
      <c r="BV117" s="180">
        <v>0</v>
      </c>
      <c r="BW117" s="180">
        <v>0</v>
      </c>
      <c r="BX117" s="180">
        <v>0</v>
      </c>
      <c r="BY117" s="180">
        <v>0</v>
      </c>
      <c r="BZ117" s="180">
        <v>0</v>
      </c>
      <c r="CA117" s="180">
        <v>0</v>
      </c>
      <c r="CB117" s="180">
        <v>0</v>
      </c>
      <c r="CC117" s="180">
        <v>0</v>
      </c>
      <c r="CD117" s="180"/>
      <c r="CE117" s="180">
        <v>0</v>
      </c>
      <c r="CF117" s="180">
        <v>0</v>
      </c>
      <c r="CG117" s="180">
        <v>0</v>
      </c>
      <c r="CH117" s="180">
        <v>0</v>
      </c>
      <c r="CI117" s="180"/>
      <c r="CJ117" s="180"/>
      <c r="CK117" s="180"/>
      <c r="CL117" s="180"/>
      <c r="CM117" s="180"/>
      <c r="CN117" s="180"/>
      <c r="CO117" s="180"/>
      <c r="CP117" s="180"/>
      <c r="CQ117" s="180"/>
      <c r="CR117" s="180"/>
      <c r="CS117" s="180"/>
      <c r="CT117" s="180"/>
      <c r="CU117" s="180"/>
    </row>
    <row r="118" spans="1:99" s="180" customFormat="1" x14ac:dyDescent="0.3">
      <c r="A118" s="555">
        <v>518</v>
      </c>
      <c r="B118" s="552" t="s">
        <v>265</v>
      </c>
      <c r="D118" s="180">
        <v>354000</v>
      </c>
      <c r="E118" s="180">
        <v>0</v>
      </c>
      <c r="F118" s="180">
        <v>72027</v>
      </c>
      <c r="G118" s="180">
        <v>23041</v>
      </c>
      <c r="I118" s="180">
        <v>286477</v>
      </c>
      <c r="J118" s="180">
        <v>0</v>
      </c>
      <c r="K118" s="180">
        <v>5717250</v>
      </c>
      <c r="L118" s="180">
        <v>0</v>
      </c>
      <c r="M118" s="180">
        <v>0</v>
      </c>
      <c r="N118" s="180">
        <v>2631151</v>
      </c>
      <c r="O118" s="180">
        <v>24011746</v>
      </c>
      <c r="P118" s="180">
        <v>0</v>
      </c>
      <c r="Q118" s="180">
        <v>0</v>
      </c>
      <c r="R118" s="180">
        <v>0</v>
      </c>
      <c r="S118" s="180">
        <v>0</v>
      </c>
      <c r="T118" s="180">
        <v>0</v>
      </c>
      <c r="U118" s="180">
        <v>0</v>
      </c>
      <c r="V118" s="180">
        <v>39657</v>
      </c>
      <c r="W118" s="180">
        <v>605895</v>
      </c>
      <c r="X118" s="180">
        <v>0</v>
      </c>
      <c r="Y118" s="180">
        <v>142177000</v>
      </c>
      <c r="Z118" s="180">
        <v>1238766</v>
      </c>
      <c r="AA118" s="180">
        <v>0</v>
      </c>
      <c r="AB118" s="180">
        <v>0</v>
      </c>
      <c r="AD118" s="180">
        <v>930842</v>
      </c>
      <c r="AE118" s="180">
        <v>458696</v>
      </c>
      <c r="AF118" s="180">
        <v>12120908</v>
      </c>
      <c r="AG118" s="180">
        <v>0</v>
      </c>
      <c r="AH118" s="180">
        <v>84141</v>
      </c>
      <c r="AI118" s="180">
        <v>4249619</v>
      </c>
      <c r="AJ118" s="180">
        <v>378136</v>
      </c>
      <c r="AK118" s="180">
        <v>208677</v>
      </c>
      <c r="AL118" s="180">
        <v>0</v>
      </c>
      <c r="AN118" s="180">
        <v>211920</v>
      </c>
      <c r="AP118" s="180">
        <v>0</v>
      </c>
      <c r="AQ118" s="180">
        <v>9619112</v>
      </c>
      <c r="AR118" s="180">
        <v>0</v>
      </c>
      <c r="AS118" s="180">
        <v>66519</v>
      </c>
      <c r="AT118" s="180">
        <v>5506804</v>
      </c>
      <c r="AU118" s="180">
        <v>376664</v>
      </c>
      <c r="AV118" s="570">
        <v>0</v>
      </c>
      <c r="AW118" s="180">
        <v>0</v>
      </c>
      <c r="AX118" s="180">
        <v>31366</v>
      </c>
      <c r="AY118" s="180">
        <v>0</v>
      </c>
      <c r="AZ118" s="180">
        <v>0</v>
      </c>
      <c r="BA118" s="180">
        <v>163947</v>
      </c>
      <c r="BB118" s="180">
        <v>7000</v>
      </c>
      <c r="BC118" s="180">
        <v>1194665</v>
      </c>
      <c r="BD118" s="180">
        <v>0</v>
      </c>
      <c r="BE118" s="180">
        <v>0</v>
      </c>
      <c r="BF118" s="180">
        <v>1496104</v>
      </c>
      <c r="BG118" s="180">
        <v>0</v>
      </c>
      <c r="BH118" s="180">
        <v>0</v>
      </c>
      <c r="BI118" s="180">
        <v>1452546</v>
      </c>
      <c r="BJ118" s="180">
        <v>0</v>
      </c>
      <c r="BL118" s="180">
        <v>240820</v>
      </c>
      <c r="BM118" s="180">
        <v>171406</v>
      </c>
      <c r="BN118" s="180">
        <v>0</v>
      </c>
      <c r="BO118" s="180">
        <v>4422404</v>
      </c>
      <c r="BP118" s="180">
        <v>3255734</v>
      </c>
      <c r="BQ118" s="180">
        <v>0</v>
      </c>
      <c r="BS118" s="180">
        <v>107605</v>
      </c>
      <c r="BU118" s="180">
        <v>0</v>
      </c>
      <c r="BV118" s="180">
        <v>17501109</v>
      </c>
      <c r="BW118" s="180">
        <v>1087268</v>
      </c>
      <c r="BX118" s="180">
        <v>3716308</v>
      </c>
      <c r="BY118" s="180">
        <v>1345915</v>
      </c>
      <c r="BZ118" s="180">
        <v>193057</v>
      </c>
      <c r="CA118" s="180">
        <v>0</v>
      </c>
      <c r="CB118" s="180">
        <v>34066</v>
      </c>
      <c r="CC118" s="180">
        <v>201831</v>
      </c>
      <c r="CE118" s="180">
        <v>702848</v>
      </c>
      <c r="CF118" s="180">
        <v>0</v>
      </c>
      <c r="CG118" s="180">
        <v>441593</v>
      </c>
      <c r="CH118" s="180">
        <v>0</v>
      </c>
    </row>
    <row r="119" spans="1:99" x14ac:dyDescent="0.3">
      <c r="A119" s="155">
        <v>519</v>
      </c>
      <c r="B119" s="180" t="s">
        <v>266</v>
      </c>
      <c r="C119" s="180"/>
      <c r="D119" s="180">
        <v>0</v>
      </c>
      <c r="E119" s="180">
        <v>0</v>
      </c>
      <c r="F119" s="180">
        <v>0</v>
      </c>
      <c r="G119" s="180">
        <v>0</v>
      </c>
      <c r="H119" s="180"/>
      <c r="I119" s="180">
        <v>11681</v>
      </c>
      <c r="J119" s="180">
        <v>0</v>
      </c>
      <c r="K119" s="180">
        <v>0</v>
      </c>
      <c r="L119" s="180">
        <v>0</v>
      </c>
      <c r="M119" s="180">
        <v>0</v>
      </c>
      <c r="N119" s="180">
        <v>50109</v>
      </c>
      <c r="O119" s="180">
        <v>3463987</v>
      </c>
      <c r="P119" s="180">
        <v>0</v>
      </c>
      <c r="Q119" s="180">
        <v>0</v>
      </c>
      <c r="R119" s="180">
        <v>0</v>
      </c>
      <c r="S119" s="180">
        <v>0</v>
      </c>
      <c r="T119" s="180">
        <v>0</v>
      </c>
      <c r="U119" s="180">
        <v>0</v>
      </c>
      <c r="V119" s="180">
        <v>0</v>
      </c>
      <c r="W119" s="180">
        <v>0</v>
      </c>
      <c r="X119" s="180">
        <v>0</v>
      </c>
      <c r="Y119" s="180">
        <v>1790000</v>
      </c>
      <c r="Z119" s="180">
        <v>0</v>
      </c>
      <c r="AA119" s="180">
        <v>0</v>
      </c>
      <c r="AB119" s="180">
        <v>0</v>
      </c>
      <c r="AC119" s="180"/>
      <c r="AD119" s="180">
        <v>0</v>
      </c>
      <c r="AE119" s="180">
        <v>17488</v>
      </c>
      <c r="AF119" s="180">
        <v>53782</v>
      </c>
      <c r="AG119" s="180">
        <v>0</v>
      </c>
      <c r="AH119" s="180">
        <v>0</v>
      </c>
      <c r="AI119" s="180">
        <v>6880</v>
      </c>
      <c r="AJ119" s="180">
        <v>0</v>
      </c>
      <c r="AK119" s="180">
        <v>0</v>
      </c>
      <c r="AL119" s="180">
        <v>0</v>
      </c>
      <c r="AM119" s="180"/>
      <c r="AN119" s="180">
        <v>0</v>
      </c>
      <c r="AO119" s="180"/>
      <c r="AP119" s="180">
        <v>0</v>
      </c>
      <c r="AQ119" s="180">
        <v>543769</v>
      </c>
      <c r="AR119" s="180">
        <v>0</v>
      </c>
      <c r="AS119" s="180">
        <v>0</v>
      </c>
      <c r="AT119" s="180">
        <v>171668</v>
      </c>
      <c r="AU119" s="180">
        <v>0</v>
      </c>
      <c r="AV119" s="570">
        <v>0</v>
      </c>
      <c r="AW119" s="180">
        <v>0</v>
      </c>
      <c r="AX119" s="180">
        <v>0</v>
      </c>
      <c r="AY119" s="180">
        <v>0</v>
      </c>
      <c r="AZ119" s="180">
        <v>0</v>
      </c>
      <c r="BA119" s="180">
        <v>7112</v>
      </c>
      <c r="BB119" s="180">
        <v>0</v>
      </c>
      <c r="BC119" s="180">
        <v>8427</v>
      </c>
      <c r="BD119" s="180">
        <v>0</v>
      </c>
      <c r="BE119" s="180">
        <v>0</v>
      </c>
      <c r="BF119" s="180">
        <v>0</v>
      </c>
      <c r="BG119" s="180">
        <v>0</v>
      </c>
      <c r="BH119" s="180">
        <v>0</v>
      </c>
      <c r="BI119" s="180">
        <v>0</v>
      </c>
      <c r="BJ119" s="180">
        <v>0</v>
      </c>
      <c r="BK119" s="180"/>
      <c r="BL119" s="180">
        <v>0</v>
      </c>
      <c r="BM119" s="180">
        <v>1525</v>
      </c>
      <c r="BN119" s="180">
        <v>0</v>
      </c>
      <c r="BO119" s="180">
        <v>8640</v>
      </c>
      <c r="BP119" s="180">
        <v>4773656</v>
      </c>
      <c r="BQ119" s="180">
        <v>0</v>
      </c>
      <c r="BR119" s="180"/>
      <c r="BS119" s="180">
        <v>1671</v>
      </c>
      <c r="BT119" s="180"/>
      <c r="BU119" s="180">
        <v>0</v>
      </c>
      <c r="BV119" s="180">
        <v>0</v>
      </c>
      <c r="BW119" s="180">
        <v>0</v>
      </c>
      <c r="BX119" s="180">
        <v>788</v>
      </c>
      <c r="BY119" s="180">
        <v>14211</v>
      </c>
      <c r="BZ119" s="180">
        <v>1966</v>
      </c>
      <c r="CA119" s="180">
        <v>208852</v>
      </c>
      <c r="CB119" s="180">
        <v>0</v>
      </c>
      <c r="CC119" s="180">
        <v>0</v>
      </c>
      <c r="CD119" s="180"/>
      <c r="CE119" s="180">
        <v>0</v>
      </c>
      <c r="CF119" s="180">
        <v>0</v>
      </c>
      <c r="CG119" s="180">
        <v>0</v>
      </c>
      <c r="CH119" s="180">
        <v>0</v>
      </c>
      <c r="CI119" s="180"/>
      <c r="CJ119" s="180"/>
      <c r="CK119" s="180"/>
      <c r="CL119" s="180"/>
      <c r="CM119" s="180"/>
      <c r="CN119" s="180"/>
      <c r="CO119" s="180"/>
      <c r="CP119" s="180"/>
      <c r="CQ119" s="180"/>
      <c r="CR119" s="180"/>
      <c r="CS119" s="180"/>
      <c r="CT119" s="180"/>
      <c r="CU119" s="180"/>
    </row>
    <row r="120" spans="1:99" x14ac:dyDescent="0.3">
      <c r="A120" s="155">
        <v>520</v>
      </c>
      <c r="B120" s="180" t="s">
        <v>267</v>
      </c>
      <c r="C120" s="180"/>
      <c r="D120" s="180">
        <v>124105</v>
      </c>
      <c r="E120" s="180">
        <v>0</v>
      </c>
      <c r="F120" s="180">
        <v>94310</v>
      </c>
      <c r="G120" s="180">
        <v>29530</v>
      </c>
      <c r="H120" s="180"/>
      <c r="I120" s="180">
        <v>365176</v>
      </c>
      <c r="J120" s="180">
        <v>0</v>
      </c>
      <c r="K120" s="180">
        <v>1542721</v>
      </c>
      <c r="L120" s="180">
        <v>0</v>
      </c>
      <c r="M120" s="180">
        <v>0</v>
      </c>
      <c r="N120" s="180">
        <v>0</v>
      </c>
      <c r="O120" s="180">
        <v>16102700</v>
      </c>
      <c r="P120" s="180">
        <v>0</v>
      </c>
      <c r="Q120" s="180">
        <v>0</v>
      </c>
      <c r="R120" s="180">
        <v>0</v>
      </c>
      <c r="S120" s="180">
        <v>0</v>
      </c>
      <c r="T120" s="180">
        <v>0</v>
      </c>
      <c r="U120" s="180">
        <v>0</v>
      </c>
      <c r="V120" s="180">
        <v>78209</v>
      </c>
      <c r="W120" s="180">
        <v>0</v>
      </c>
      <c r="X120" s="180">
        <v>0</v>
      </c>
      <c r="Y120" s="180">
        <v>164445000</v>
      </c>
      <c r="Z120" s="180">
        <v>570156</v>
      </c>
      <c r="AA120" s="180">
        <v>119215</v>
      </c>
      <c r="AB120" s="180">
        <v>0</v>
      </c>
      <c r="AC120" s="180"/>
      <c r="AD120" s="180">
        <v>181125</v>
      </c>
      <c r="AE120" s="180">
        <v>126832</v>
      </c>
      <c r="AF120" s="180">
        <v>1773411</v>
      </c>
      <c r="AG120" s="180">
        <v>0</v>
      </c>
      <c r="AH120" s="180">
        <v>188167</v>
      </c>
      <c r="AI120" s="180">
        <v>414764</v>
      </c>
      <c r="AJ120" s="180">
        <v>96463</v>
      </c>
      <c r="AK120" s="180">
        <v>12573</v>
      </c>
      <c r="AL120" s="180">
        <v>119224</v>
      </c>
      <c r="AM120" s="180"/>
      <c r="AN120" s="180">
        <v>443619</v>
      </c>
      <c r="AO120" s="180"/>
      <c r="AP120" s="180">
        <v>0</v>
      </c>
      <c r="AQ120" s="180">
        <v>7632338</v>
      </c>
      <c r="AR120" s="180">
        <v>0</v>
      </c>
      <c r="AS120" s="180">
        <v>101538</v>
      </c>
      <c r="AT120" s="180">
        <v>0</v>
      </c>
      <c r="AU120" s="180">
        <v>126472</v>
      </c>
      <c r="AV120" s="570">
        <v>0</v>
      </c>
      <c r="AW120" s="180">
        <v>0</v>
      </c>
      <c r="AX120" s="180">
        <v>176855</v>
      </c>
      <c r="AY120" s="180">
        <v>0</v>
      </c>
      <c r="AZ120" s="180">
        <v>0</v>
      </c>
      <c r="BA120" s="180">
        <v>186509</v>
      </c>
      <c r="BB120" s="180">
        <v>36776</v>
      </c>
      <c r="BC120" s="180">
        <v>354375</v>
      </c>
      <c r="BD120" s="180">
        <v>0</v>
      </c>
      <c r="BE120" s="180">
        <v>0</v>
      </c>
      <c r="BF120" s="180">
        <v>267586</v>
      </c>
      <c r="BG120" s="180">
        <v>0</v>
      </c>
      <c r="BH120" s="180">
        <v>0</v>
      </c>
      <c r="BI120" s="180">
        <v>385545</v>
      </c>
      <c r="BJ120" s="180">
        <v>0</v>
      </c>
      <c r="BK120" s="180"/>
      <c r="BL120" s="180">
        <v>34999</v>
      </c>
      <c r="BM120" s="180">
        <v>61790</v>
      </c>
      <c r="BN120" s="180">
        <v>0</v>
      </c>
      <c r="BO120" s="180">
        <v>1204513</v>
      </c>
      <c r="BP120" s="180">
        <v>3349532</v>
      </c>
      <c r="BQ120" s="180">
        <v>0</v>
      </c>
      <c r="BR120" s="180"/>
      <c r="BS120" s="180">
        <v>43904</v>
      </c>
      <c r="BT120" s="180"/>
      <c r="BU120" s="180">
        <v>0</v>
      </c>
      <c r="BV120" s="180">
        <v>1725044</v>
      </c>
      <c r="BW120" s="180">
        <v>283301</v>
      </c>
      <c r="BX120" s="180">
        <v>1940778</v>
      </c>
      <c r="BY120" s="180">
        <v>551364</v>
      </c>
      <c r="BZ120" s="180">
        <v>100935</v>
      </c>
      <c r="CA120" s="180">
        <v>0</v>
      </c>
      <c r="CB120" s="180">
        <v>106488</v>
      </c>
      <c r="CC120" s="180">
        <v>138284</v>
      </c>
      <c r="CD120" s="180"/>
      <c r="CE120" s="180">
        <v>237204</v>
      </c>
      <c r="CF120" s="180">
        <v>0</v>
      </c>
      <c r="CG120" s="180">
        <v>260719</v>
      </c>
      <c r="CH120" s="180">
        <v>0</v>
      </c>
      <c r="CI120" s="180"/>
      <c r="CJ120" s="180"/>
      <c r="CK120" s="180"/>
      <c r="CL120" s="180"/>
      <c r="CM120" s="180"/>
      <c r="CN120" s="180"/>
      <c r="CO120" s="180"/>
      <c r="CP120" s="180"/>
      <c r="CQ120" s="180"/>
      <c r="CR120" s="180"/>
      <c r="CS120" s="180"/>
      <c r="CT120" s="180"/>
      <c r="CU120" s="180"/>
    </row>
    <row r="121" spans="1:99" x14ac:dyDescent="0.3">
      <c r="A121" s="155">
        <v>521</v>
      </c>
      <c r="B121" s="180" t="s">
        <v>268</v>
      </c>
      <c r="C121" s="180"/>
      <c r="D121" s="180">
        <v>0</v>
      </c>
      <c r="E121" s="180">
        <v>0</v>
      </c>
      <c r="F121" s="180">
        <v>0</v>
      </c>
      <c r="G121" s="180">
        <v>0</v>
      </c>
      <c r="H121" s="180"/>
      <c r="I121" s="180">
        <v>0</v>
      </c>
      <c r="J121" s="180">
        <v>0</v>
      </c>
      <c r="K121" s="180">
        <v>0</v>
      </c>
      <c r="L121" s="180">
        <v>0</v>
      </c>
      <c r="M121" s="180">
        <v>0</v>
      </c>
      <c r="N121" s="180">
        <v>152589</v>
      </c>
      <c r="O121" s="180">
        <v>0</v>
      </c>
      <c r="P121" s="180">
        <v>0</v>
      </c>
      <c r="Q121" s="180">
        <v>0</v>
      </c>
      <c r="R121" s="180">
        <v>0</v>
      </c>
      <c r="S121" s="180">
        <v>0</v>
      </c>
      <c r="T121" s="180">
        <v>0</v>
      </c>
      <c r="U121" s="180">
        <v>0</v>
      </c>
      <c r="V121" s="180">
        <v>0</v>
      </c>
      <c r="W121" s="180">
        <v>320335</v>
      </c>
      <c r="X121" s="180">
        <v>0</v>
      </c>
      <c r="Y121" s="180">
        <v>0</v>
      </c>
      <c r="Z121" s="180">
        <v>0</v>
      </c>
      <c r="AA121" s="180">
        <v>0</v>
      </c>
      <c r="AB121" s="180">
        <v>0</v>
      </c>
      <c r="AC121" s="180"/>
      <c r="AD121" s="180">
        <v>0</v>
      </c>
      <c r="AE121" s="180">
        <v>0</v>
      </c>
      <c r="AF121" s="180">
        <v>0</v>
      </c>
      <c r="AG121" s="180">
        <v>0</v>
      </c>
      <c r="AH121" s="180">
        <v>0</v>
      </c>
      <c r="AI121" s="180">
        <v>668081</v>
      </c>
      <c r="AJ121" s="180">
        <v>0</v>
      </c>
      <c r="AK121" s="180">
        <v>0</v>
      </c>
      <c r="AL121" s="180">
        <v>0</v>
      </c>
      <c r="AM121" s="180"/>
      <c r="AN121" s="180">
        <v>0</v>
      </c>
      <c r="AO121" s="180"/>
      <c r="AP121" s="180">
        <v>0</v>
      </c>
      <c r="AQ121" s="180">
        <v>0</v>
      </c>
      <c r="AR121" s="180">
        <v>0</v>
      </c>
      <c r="AS121" s="180">
        <v>0</v>
      </c>
      <c r="AT121" s="180">
        <v>878885</v>
      </c>
      <c r="AU121" s="180">
        <v>0</v>
      </c>
      <c r="AV121" s="570">
        <v>0</v>
      </c>
      <c r="AW121" s="180">
        <v>0</v>
      </c>
      <c r="AX121" s="180">
        <v>0</v>
      </c>
      <c r="AY121" s="180">
        <v>0</v>
      </c>
      <c r="AZ121" s="180">
        <v>0</v>
      </c>
      <c r="BA121" s="180">
        <v>0</v>
      </c>
      <c r="BB121" s="180">
        <v>0</v>
      </c>
      <c r="BC121" s="180">
        <v>0</v>
      </c>
      <c r="BD121" s="180">
        <v>0</v>
      </c>
      <c r="BE121" s="180">
        <v>0</v>
      </c>
      <c r="BF121" s="180">
        <v>0</v>
      </c>
      <c r="BG121" s="180">
        <v>0</v>
      </c>
      <c r="BH121" s="180">
        <v>0</v>
      </c>
      <c r="BI121" s="180">
        <v>0</v>
      </c>
      <c r="BJ121" s="180">
        <v>0</v>
      </c>
      <c r="BK121" s="180"/>
      <c r="BL121" s="180">
        <v>0</v>
      </c>
      <c r="BM121" s="180">
        <v>0</v>
      </c>
      <c r="BN121" s="180">
        <v>0</v>
      </c>
      <c r="BO121" s="180">
        <v>0</v>
      </c>
      <c r="BP121" s="180">
        <v>21547601</v>
      </c>
      <c r="BQ121" s="180">
        <v>0</v>
      </c>
      <c r="BR121" s="180"/>
      <c r="BS121" s="180">
        <v>0</v>
      </c>
      <c r="BT121" s="180"/>
      <c r="BU121" s="180">
        <v>0</v>
      </c>
      <c r="BV121" s="180">
        <v>0</v>
      </c>
      <c r="BW121" s="180">
        <v>0</v>
      </c>
      <c r="BX121" s="180">
        <v>0</v>
      </c>
      <c r="BY121" s="180">
        <v>0</v>
      </c>
      <c r="BZ121" s="180">
        <v>0</v>
      </c>
      <c r="CA121" s="180">
        <v>0</v>
      </c>
      <c r="CB121" s="180">
        <v>0</v>
      </c>
      <c r="CC121" s="180">
        <v>0</v>
      </c>
      <c r="CD121" s="180"/>
      <c r="CE121" s="180">
        <v>0</v>
      </c>
      <c r="CF121" s="180">
        <v>0</v>
      </c>
      <c r="CG121" s="180">
        <v>0</v>
      </c>
      <c r="CH121" s="180">
        <v>0</v>
      </c>
      <c r="CI121" s="180"/>
      <c r="CJ121" s="180"/>
      <c r="CK121" s="180"/>
      <c r="CL121" s="180"/>
      <c r="CM121" s="180"/>
      <c r="CN121" s="180"/>
      <c r="CO121" s="180"/>
      <c r="CP121" s="180"/>
      <c r="CQ121" s="180"/>
      <c r="CR121" s="180"/>
      <c r="CS121" s="180"/>
      <c r="CT121" s="180"/>
      <c r="CU121" s="180"/>
    </row>
    <row r="122" spans="1:99" x14ac:dyDescent="0.3">
      <c r="A122" s="155">
        <v>522</v>
      </c>
      <c r="B122" s="180" t="s">
        <v>269</v>
      </c>
      <c r="C122" s="180"/>
      <c r="D122" s="180">
        <v>7080</v>
      </c>
      <c r="E122" s="180">
        <v>0</v>
      </c>
      <c r="F122" s="180">
        <v>4529</v>
      </c>
      <c r="G122" s="180">
        <v>2603</v>
      </c>
      <c r="H122" s="180"/>
      <c r="I122" s="180">
        <v>21720</v>
      </c>
      <c r="J122" s="180">
        <v>0</v>
      </c>
      <c r="K122" s="180">
        <v>355684</v>
      </c>
      <c r="L122" s="180">
        <v>0</v>
      </c>
      <c r="M122" s="180">
        <v>0</v>
      </c>
      <c r="N122" s="180">
        <v>85612</v>
      </c>
      <c r="O122" s="180">
        <v>1556175</v>
      </c>
      <c r="P122" s="180">
        <v>0</v>
      </c>
      <c r="Q122" s="180">
        <v>0</v>
      </c>
      <c r="R122" s="180">
        <v>0</v>
      </c>
      <c r="S122" s="180">
        <v>0</v>
      </c>
      <c r="T122" s="180">
        <v>0</v>
      </c>
      <c r="U122" s="180">
        <v>0</v>
      </c>
      <c r="V122" s="180">
        <v>3258</v>
      </c>
      <c r="W122" s="180">
        <v>60375</v>
      </c>
      <c r="X122" s="180">
        <v>0</v>
      </c>
      <c r="Y122" s="180">
        <v>10385000</v>
      </c>
      <c r="Z122" s="180">
        <v>136594</v>
      </c>
      <c r="AA122" s="180">
        <v>0</v>
      </c>
      <c r="AB122" s="180">
        <v>0</v>
      </c>
      <c r="AC122" s="180"/>
      <c r="AD122" s="180">
        <v>81907</v>
      </c>
      <c r="AE122" s="180">
        <v>34008</v>
      </c>
      <c r="AF122" s="180">
        <v>1206671</v>
      </c>
      <c r="AG122" s="180">
        <v>0</v>
      </c>
      <c r="AH122" s="180">
        <v>0</v>
      </c>
      <c r="AI122" s="180">
        <v>225554</v>
      </c>
      <c r="AJ122" s="180">
        <v>17921</v>
      </c>
      <c r="AK122" s="180">
        <v>4667</v>
      </c>
      <c r="AL122" s="180">
        <v>0</v>
      </c>
      <c r="AM122" s="180"/>
      <c r="AN122" s="180">
        <v>8097</v>
      </c>
      <c r="AO122" s="180"/>
      <c r="AP122" s="180">
        <v>0</v>
      </c>
      <c r="AQ122" s="180">
        <v>821566</v>
      </c>
      <c r="AR122" s="180">
        <v>0</v>
      </c>
      <c r="AS122" s="180">
        <v>0</v>
      </c>
      <c r="AT122" s="180">
        <v>189035</v>
      </c>
      <c r="AU122" s="180">
        <v>12516</v>
      </c>
      <c r="AV122" s="570">
        <v>0</v>
      </c>
      <c r="AW122" s="180">
        <v>0</v>
      </c>
      <c r="AX122" s="180">
        <v>1896</v>
      </c>
      <c r="AY122" s="180">
        <v>0</v>
      </c>
      <c r="AZ122" s="180">
        <v>0</v>
      </c>
      <c r="BA122" s="180">
        <v>3883</v>
      </c>
      <c r="BB122" s="180">
        <v>0</v>
      </c>
      <c r="BC122" s="180">
        <v>49597</v>
      </c>
      <c r="BD122" s="180">
        <v>0</v>
      </c>
      <c r="BE122" s="180">
        <v>0</v>
      </c>
      <c r="BF122" s="180">
        <v>54692</v>
      </c>
      <c r="BG122" s="180">
        <v>0</v>
      </c>
      <c r="BH122" s="180">
        <v>0</v>
      </c>
      <c r="BI122" s="180">
        <v>70190</v>
      </c>
      <c r="BJ122" s="180">
        <v>0</v>
      </c>
      <c r="BK122" s="180"/>
      <c r="BL122" s="180">
        <v>11928</v>
      </c>
      <c r="BM122" s="180">
        <v>0</v>
      </c>
      <c r="BN122" s="180">
        <v>0</v>
      </c>
      <c r="BO122" s="180">
        <v>386763</v>
      </c>
      <c r="BP122" s="180">
        <v>162787</v>
      </c>
      <c r="BQ122" s="180">
        <v>0</v>
      </c>
      <c r="BR122" s="180"/>
      <c r="BS122" s="180">
        <v>3107</v>
      </c>
      <c r="BT122" s="180"/>
      <c r="BU122" s="180">
        <v>0</v>
      </c>
      <c r="BV122" s="180">
        <v>608575</v>
      </c>
      <c r="BW122" s="180">
        <v>69125</v>
      </c>
      <c r="BX122" s="180">
        <v>301376</v>
      </c>
      <c r="BY122" s="180">
        <v>86231</v>
      </c>
      <c r="BZ122" s="180">
        <v>11637</v>
      </c>
      <c r="CA122" s="180">
        <v>0</v>
      </c>
      <c r="CB122" s="180">
        <v>0</v>
      </c>
      <c r="CC122" s="180">
        <v>7116</v>
      </c>
      <c r="CD122" s="180"/>
      <c r="CE122" s="180">
        <v>51389</v>
      </c>
      <c r="CF122" s="180">
        <v>0</v>
      </c>
      <c r="CG122" s="180">
        <v>13461</v>
      </c>
      <c r="CH122" s="180">
        <v>0</v>
      </c>
      <c r="CI122" s="180"/>
      <c r="CJ122" s="180"/>
      <c r="CK122" s="180"/>
      <c r="CL122" s="180"/>
      <c r="CM122" s="180"/>
      <c r="CN122" s="180"/>
      <c r="CO122" s="180"/>
      <c r="CP122" s="180"/>
      <c r="CQ122" s="180"/>
      <c r="CR122" s="180"/>
      <c r="CS122" s="180"/>
      <c r="CT122" s="180"/>
      <c r="CU122" s="180"/>
    </row>
    <row r="123" spans="1:99" x14ac:dyDescent="0.3">
      <c r="A123" s="553">
        <v>523</v>
      </c>
      <c r="B123" s="554" t="s">
        <v>270</v>
      </c>
      <c r="C123" s="180"/>
      <c r="D123" s="180">
        <v>0</v>
      </c>
      <c r="E123" s="180">
        <v>0</v>
      </c>
      <c r="F123" s="180">
        <v>0</v>
      </c>
      <c r="G123" s="180">
        <v>0</v>
      </c>
      <c r="H123" s="180"/>
      <c r="I123" s="180">
        <v>11681</v>
      </c>
      <c r="J123" s="180">
        <v>0</v>
      </c>
      <c r="K123" s="180">
        <v>0</v>
      </c>
      <c r="L123" s="180">
        <v>0</v>
      </c>
      <c r="M123" s="180">
        <v>0</v>
      </c>
      <c r="N123" s="180">
        <v>1152397</v>
      </c>
      <c r="O123" s="180">
        <v>55352554</v>
      </c>
      <c r="P123" s="180">
        <v>0</v>
      </c>
      <c r="Q123" s="180">
        <v>0</v>
      </c>
      <c r="R123" s="180">
        <v>0</v>
      </c>
      <c r="S123" s="180">
        <v>0</v>
      </c>
      <c r="T123" s="180">
        <v>0</v>
      </c>
      <c r="U123" s="180">
        <v>0</v>
      </c>
      <c r="V123" s="180">
        <v>0</v>
      </c>
      <c r="W123" s="180">
        <v>0</v>
      </c>
      <c r="X123" s="180">
        <v>0</v>
      </c>
      <c r="Y123" s="180">
        <v>17100000</v>
      </c>
      <c r="Z123" s="180">
        <v>0</v>
      </c>
      <c r="AA123" s="180">
        <v>0</v>
      </c>
      <c r="AB123" s="180">
        <v>0</v>
      </c>
      <c r="AC123" s="180"/>
      <c r="AD123" s="180">
        <v>0</v>
      </c>
      <c r="AE123" s="180">
        <v>135736</v>
      </c>
      <c r="AF123" s="180">
        <v>843110</v>
      </c>
      <c r="AG123" s="180">
        <v>0</v>
      </c>
      <c r="AH123" s="180">
        <v>0</v>
      </c>
      <c r="AI123" s="180">
        <v>7391860</v>
      </c>
      <c r="AJ123" s="180">
        <v>0</v>
      </c>
      <c r="AK123" s="180">
        <v>0</v>
      </c>
      <c r="AL123" s="180">
        <v>0</v>
      </c>
      <c r="AM123" s="180"/>
      <c r="AN123" s="180">
        <v>0</v>
      </c>
      <c r="AO123" s="180"/>
      <c r="AP123" s="180">
        <v>0</v>
      </c>
      <c r="AQ123" s="180">
        <v>9359289</v>
      </c>
      <c r="AR123" s="180">
        <v>0</v>
      </c>
      <c r="AS123" s="180">
        <v>0</v>
      </c>
      <c r="AT123" s="180">
        <v>3819488</v>
      </c>
      <c r="AU123" s="180">
        <v>0</v>
      </c>
      <c r="AV123" s="570">
        <v>0</v>
      </c>
      <c r="AW123" s="180">
        <v>0</v>
      </c>
      <c r="AX123" s="180">
        <v>0</v>
      </c>
      <c r="AY123" s="180">
        <v>0</v>
      </c>
      <c r="AZ123" s="180">
        <v>0</v>
      </c>
      <c r="BA123" s="180">
        <v>63584</v>
      </c>
      <c r="BB123" s="180">
        <v>0</v>
      </c>
      <c r="BC123" s="180">
        <v>155675</v>
      </c>
      <c r="BD123" s="180">
        <v>0</v>
      </c>
      <c r="BE123" s="180">
        <v>0</v>
      </c>
      <c r="BF123" s="180">
        <v>0</v>
      </c>
      <c r="BG123" s="180">
        <v>0</v>
      </c>
      <c r="BH123" s="180">
        <v>0</v>
      </c>
      <c r="BI123" s="180">
        <v>0</v>
      </c>
      <c r="BJ123" s="180">
        <v>0</v>
      </c>
      <c r="BK123" s="180"/>
      <c r="BL123" s="180">
        <v>0</v>
      </c>
      <c r="BM123" s="180">
        <v>57103</v>
      </c>
      <c r="BN123" s="180">
        <v>0</v>
      </c>
      <c r="BO123" s="180">
        <v>766800</v>
      </c>
      <c r="BP123" s="180">
        <v>155460568</v>
      </c>
      <c r="BQ123" s="180">
        <v>0</v>
      </c>
      <c r="BR123" s="180"/>
      <c r="BS123" s="180">
        <v>94521</v>
      </c>
      <c r="BT123" s="180"/>
      <c r="BU123" s="180">
        <v>0</v>
      </c>
      <c r="BV123" s="180">
        <v>0</v>
      </c>
      <c r="BW123" s="180">
        <v>0</v>
      </c>
      <c r="BX123" s="180">
        <v>19342</v>
      </c>
      <c r="BY123" s="180">
        <v>421569</v>
      </c>
      <c r="BZ123" s="180">
        <v>29089</v>
      </c>
      <c r="CA123" s="180">
        <v>4654849</v>
      </c>
      <c r="CB123" s="180">
        <v>0</v>
      </c>
      <c r="CC123" s="180">
        <v>455326</v>
      </c>
      <c r="CD123" s="180"/>
      <c r="CE123" s="180">
        <v>0</v>
      </c>
      <c r="CF123" s="180">
        <v>0</v>
      </c>
      <c r="CG123" s="180">
        <v>5980</v>
      </c>
      <c r="CH123" s="180">
        <v>0</v>
      </c>
      <c r="CI123" s="180"/>
      <c r="CJ123" s="180"/>
      <c r="CK123" s="180"/>
      <c r="CL123" s="180"/>
      <c r="CM123" s="180"/>
      <c r="CN123" s="180"/>
      <c r="CO123" s="180"/>
      <c r="CP123" s="180"/>
      <c r="CQ123" s="180"/>
      <c r="CR123" s="180"/>
      <c r="CS123" s="180"/>
      <c r="CT123" s="180"/>
      <c r="CU123" s="180"/>
    </row>
    <row r="124" spans="1:99" x14ac:dyDescent="0.3">
      <c r="A124" s="553">
        <v>524</v>
      </c>
      <c r="B124" s="554" t="s">
        <v>271</v>
      </c>
      <c r="C124" s="180"/>
      <c r="D124" s="180">
        <v>1879443</v>
      </c>
      <c r="E124" s="180">
        <v>0</v>
      </c>
      <c r="F124" s="180">
        <v>1686747</v>
      </c>
      <c r="G124" s="180">
        <v>947846</v>
      </c>
      <c r="H124" s="180"/>
      <c r="I124" s="180">
        <v>6002961</v>
      </c>
      <c r="J124" s="180">
        <v>0</v>
      </c>
      <c r="K124" s="180">
        <v>21281737</v>
      </c>
      <c r="L124" s="180">
        <v>0</v>
      </c>
      <c r="M124" s="180">
        <v>0</v>
      </c>
      <c r="N124" s="180">
        <v>0</v>
      </c>
      <c r="O124" s="180">
        <v>252966452</v>
      </c>
      <c r="P124" s="180">
        <v>0</v>
      </c>
      <c r="Q124" s="180">
        <v>0</v>
      </c>
      <c r="R124" s="180">
        <v>0</v>
      </c>
      <c r="S124" s="180">
        <v>0</v>
      </c>
      <c r="T124" s="180">
        <v>0</v>
      </c>
      <c r="U124" s="180">
        <v>0</v>
      </c>
      <c r="V124" s="180">
        <v>1248336</v>
      </c>
      <c r="W124" s="180">
        <v>0</v>
      </c>
      <c r="X124" s="180">
        <v>0</v>
      </c>
      <c r="Y124" s="180">
        <v>2364737000</v>
      </c>
      <c r="Z124" s="180">
        <v>12161319</v>
      </c>
      <c r="AA124" s="180">
        <v>1445711</v>
      </c>
      <c r="AB124" s="180">
        <v>0</v>
      </c>
      <c r="AC124" s="180"/>
      <c r="AD124" s="180">
        <v>5812220</v>
      </c>
      <c r="AE124" s="180">
        <v>2665736</v>
      </c>
      <c r="AF124" s="180">
        <v>17023355</v>
      </c>
      <c r="AG124" s="180">
        <v>0</v>
      </c>
      <c r="AH124" s="180">
        <v>4107968</v>
      </c>
      <c r="AI124" s="180">
        <v>10026531</v>
      </c>
      <c r="AJ124" s="180">
        <v>1643974</v>
      </c>
      <c r="AK124" s="180">
        <v>719191</v>
      </c>
      <c r="AL124" s="180">
        <v>1824743</v>
      </c>
      <c r="AM124" s="180"/>
      <c r="AN124" s="180">
        <v>5891606</v>
      </c>
      <c r="AO124" s="180"/>
      <c r="AP124" s="180">
        <v>0</v>
      </c>
      <c r="AQ124" s="180">
        <v>146748664</v>
      </c>
      <c r="AR124" s="180">
        <v>0</v>
      </c>
      <c r="AS124" s="180">
        <v>2185639</v>
      </c>
      <c r="AT124" s="180">
        <v>0</v>
      </c>
      <c r="AU124" s="180">
        <v>2673612</v>
      </c>
      <c r="AV124" s="570">
        <v>0</v>
      </c>
      <c r="AW124" s="180">
        <v>0</v>
      </c>
      <c r="AX124" s="180">
        <v>2322613</v>
      </c>
      <c r="AY124" s="180">
        <v>0</v>
      </c>
      <c r="AZ124" s="180">
        <v>0</v>
      </c>
      <c r="BA124" s="180">
        <v>3223643</v>
      </c>
      <c r="BB124" s="180">
        <v>754789</v>
      </c>
      <c r="BC124" s="180">
        <v>8033587</v>
      </c>
      <c r="BD124" s="180">
        <v>0</v>
      </c>
      <c r="BE124" s="180">
        <v>0</v>
      </c>
      <c r="BF124" s="180">
        <v>8093797</v>
      </c>
      <c r="BG124" s="180">
        <v>0</v>
      </c>
      <c r="BH124" s="180">
        <v>0</v>
      </c>
      <c r="BI124" s="180">
        <v>5805818</v>
      </c>
      <c r="BJ124" s="180">
        <v>0</v>
      </c>
      <c r="BK124" s="180"/>
      <c r="BL124" s="180">
        <v>4288885</v>
      </c>
      <c r="BM124" s="180">
        <v>1233905</v>
      </c>
      <c r="BN124" s="180">
        <v>0</v>
      </c>
      <c r="BO124" s="180">
        <v>24581702</v>
      </c>
      <c r="BP124" s="180">
        <v>17829288</v>
      </c>
      <c r="BQ124" s="180">
        <v>0</v>
      </c>
      <c r="BR124" s="180"/>
      <c r="BS124" s="180">
        <v>958845</v>
      </c>
      <c r="BT124" s="180"/>
      <c r="BU124" s="180">
        <v>0</v>
      </c>
      <c r="BV124" s="180">
        <v>44298898</v>
      </c>
      <c r="BW124" s="180">
        <v>10685530</v>
      </c>
      <c r="BX124" s="180">
        <v>41422655</v>
      </c>
      <c r="BY124" s="180">
        <v>12851388</v>
      </c>
      <c r="BZ124" s="180">
        <v>2366022</v>
      </c>
      <c r="CA124" s="180">
        <v>0</v>
      </c>
      <c r="CB124" s="180">
        <v>2270139</v>
      </c>
      <c r="CC124" s="180">
        <v>1300255</v>
      </c>
      <c r="CD124" s="180"/>
      <c r="CE124" s="180">
        <v>3676924</v>
      </c>
      <c r="CF124" s="180">
        <v>0</v>
      </c>
      <c r="CG124" s="180">
        <v>7449312</v>
      </c>
      <c r="CH124" s="180">
        <v>0</v>
      </c>
      <c r="CI124" s="180"/>
      <c r="CJ124" s="180"/>
      <c r="CK124" s="180"/>
      <c r="CL124" s="180"/>
      <c r="CM124" s="180"/>
      <c r="CN124" s="180"/>
      <c r="CO124" s="180"/>
      <c r="CP124" s="180"/>
      <c r="CQ124" s="180"/>
      <c r="CR124" s="180"/>
      <c r="CS124" s="180"/>
      <c r="CT124" s="180"/>
      <c r="CU124" s="180"/>
    </row>
    <row r="125" spans="1:99" x14ac:dyDescent="0.3">
      <c r="A125" s="553">
        <v>525</v>
      </c>
      <c r="B125" s="554" t="s">
        <v>272</v>
      </c>
      <c r="C125" s="180"/>
      <c r="D125" s="180">
        <v>0</v>
      </c>
      <c r="E125" s="180">
        <v>0</v>
      </c>
      <c r="F125" s="180">
        <v>0</v>
      </c>
      <c r="G125" s="180">
        <v>0</v>
      </c>
      <c r="H125" s="180"/>
      <c r="I125" s="180">
        <v>0</v>
      </c>
      <c r="J125" s="180">
        <v>0</v>
      </c>
      <c r="K125" s="180">
        <v>0</v>
      </c>
      <c r="L125" s="180">
        <v>0</v>
      </c>
      <c r="M125" s="180">
        <v>0</v>
      </c>
      <c r="N125" s="180">
        <v>4127305</v>
      </c>
      <c r="O125" s="180">
        <v>0</v>
      </c>
      <c r="P125" s="180">
        <v>0</v>
      </c>
      <c r="Q125" s="180">
        <v>0</v>
      </c>
      <c r="R125" s="180">
        <v>0</v>
      </c>
      <c r="S125" s="180">
        <v>0</v>
      </c>
      <c r="T125" s="180">
        <v>0</v>
      </c>
      <c r="U125" s="180">
        <v>0</v>
      </c>
      <c r="V125" s="180">
        <v>0</v>
      </c>
      <c r="W125" s="180">
        <v>5190270</v>
      </c>
      <c r="X125" s="180">
        <v>0</v>
      </c>
      <c r="Y125" s="180">
        <v>0</v>
      </c>
      <c r="Z125" s="180">
        <v>0</v>
      </c>
      <c r="AA125" s="180">
        <v>0</v>
      </c>
      <c r="AB125" s="180">
        <v>0</v>
      </c>
      <c r="AC125" s="180"/>
      <c r="AD125" s="180">
        <v>0</v>
      </c>
      <c r="AE125" s="180">
        <v>0</v>
      </c>
      <c r="AF125" s="180">
        <v>0</v>
      </c>
      <c r="AG125" s="180">
        <v>0</v>
      </c>
      <c r="AH125" s="180">
        <v>0</v>
      </c>
      <c r="AI125" s="180">
        <v>11638630</v>
      </c>
      <c r="AJ125" s="180">
        <v>0</v>
      </c>
      <c r="AK125" s="180">
        <v>0</v>
      </c>
      <c r="AL125" s="180">
        <v>0</v>
      </c>
      <c r="AM125" s="180"/>
      <c r="AN125" s="180">
        <v>0</v>
      </c>
      <c r="AO125" s="180"/>
      <c r="AP125" s="180">
        <v>0</v>
      </c>
      <c r="AQ125" s="180">
        <v>0</v>
      </c>
      <c r="AR125" s="180">
        <v>0</v>
      </c>
      <c r="AS125" s="180">
        <v>0</v>
      </c>
      <c r="AT125" s="180">
        <v>17170674</v>
      </c>
      <c r="AU125" s="180">
        <v>0</v>
      </c>
      <c r="AV125" s="570">
        <v>0</v>
      </c>
      <c r="AW125" s="180">
        <v>0</v>
      </c>
      <c r="AX125" s="180">
        <v>0</v>
      </c>
      <c r="AY125" s="180">
        <v>0</v>
      </c>
      <c r="AZ125" s="180">
        <v>0</v>
      </c>
      <c r="BA125" s="180">
        <v>0</v>
      </c>
      <c r="BB125" s="180">
        <v>0</v>
      </c>
      <c r="BC125" s="180">
        <v>0</v>
      </c>
      <c r="BD125" s="180">
        <v>0</v>
      </c>
      <c r="BE125" s="180">
        <v>0</v>
      </c>
      <c r="BF125" s="180">
        <v>0</v>
      </c>
      <c r="BG125" s="180">
        <v>0</v>
      </c>
      <c r="BH125" s="180">
        <v>0</v>
      </c>
      <c r="BI125" s="180">
        <v>0</v>
      </c>
      <c r="BJ125" s="180">
        <v>0</v>
      </c>
      <c r="BK125" s="180"/>
      <c r="BL125" s="180">
        <v>0</v>
      </c>
      <c r="BM125" s="180">
        <v>0</v>
      </c>
      <c r="BN125" s="180">
        <v>0</v>
      </c>
      <c r="BO125" s="180">
        <v>0</v>
      </c>
      <c r="BP125" s="180">
        <v>419135284</v>
      </c>
      <c r="BQ125" s="180">
        <v>0</v>
      </c>
      <c r="BR125" s="180"/>
      <c r="BS125" s="180">
        <v>0</v>
      </c>
      <c r="BT125" s="180"/>
      <c r="BU125" s="180">
        <v>0</v>
      </c>
      <c r="BV125" s="180">
        <v>0</v>
      </c>
      <c r="BW125" s="180">
        <v>0</v>
      </c>
      <c r="BX125" s="180">
        <v>0</v>
      </c>
      <c r="BY125" s="180">
        <v>0</v>
      </c>
      <c r="BZ125" s="180">
        <v>0</v>
      </c>
      <c r="CA125" s="180">
        <v>0</v>
      </c>
      <c r="CB125" s="180">
        <v>0</v>
      </c>
      <c r="CC125" s="180">
        <v>0</v>
      </c>
      <c r="CD125" s="180"/>
      <c r="CE125" s="180">
        <v>0</v>
      </c>
      <c r="CF125" s="180">
        <v>0</v>
      </c>
      <c r="CG125" s="180">
        <v>0</v>
      </c>
      <c r="CH125" s="180">
        <v>0</v>
      </c>
      <c r="CI125" s="180"/>
      <c r="CJ125" s="180"/>
      <c r="CK125" s="180"/>
      <c r="CL125" s="180"/>
      <c r="CM125" s="180"/>
      <c r="CN125" s="180"/>
      <c r="CO125" s="180"/>
      <c r="CP125" s="180"/>
      <c r="CQ125" s="180"/>
      <c r="CR125" s="180"/>
      <c r="CS125" s="180"/>
      <c r="CT125" s="180"/>
      <c r="CU125" s="180"/>
    </row>
    <row r="126" spans="1:99" x14ac:dyDescent="0.3">
      <c r="A126" s="553">
        <v>526</v>
      </c>
      <c r="B126" s="554" t="s">
        <v>273</v>
      </c>
      <c r="C126" s="180"/>
      <c r="D126" s="180">
        <v>184080</v>
      </c>
      <c r="E126" s="180">
        <v>0</v>
      </c>
      <c r="F126" s="180">
        <v>48182</v>
      </c>
      <c r="G126" s="180">
        <v>2511</v>
      </c>
      <c r="H126" s="180"/>
      <c r="I126" s="180">
        <v>256580</v>
      </c>
      <c r="J126" s="180">
        <v>0</v>
      </c>
      <c r="K126" s="180">
        <v>4003340</v>
      </c>
      <c r="L126" s="180">
        <v>0</v>
      </c>
      <c r="M126" s="180">
        <v>0</v>
      </c>
      <c r="N126" s="180">
        <v>1752807</v>
      </c>
      <c r="O126" s="180">
        <v>15071512</v>
      </c>
      <c r="P126" s="180">
        <v>0</v>
      </c>
      <c r="Q126" s="180">
        <v>0</v>
      </c>
      <c r="R126" s="180">
        <v>0</v>
      </c>
      <c r="S126" s="180">
        <v>0</v>
      </c>
      <c r="T126" s="180">
        <v>0</v>
      </c>
      <c r="U126" s="180">
        <v>0</v>
      </c>
      <c r="V126" s="180">
        <v>4678</v>
      </c>
      <c r="W126" s="180">
        <v>450950</v>
      </c>
      <c r="X126" s="180">
        <v>0</v>
      </c>
      <c r="Y126" s="180">
        <v>81370000</v>
      </c>
      <c r="Z126" s="180">
        <v>811383</v>
      </c>
      <c r="AA126" s="180">
        <v>0</v>
      </c>
      <c r="AB126" s="180">
        <v>0</v>
      </c>
      <c r="AC126" s="180"/>
      <c r="AD126" s="180">
        <v>465513</v>
      </c>
      <c r="AE126" s="180">
        <v>376762</v>
      </c>
      <c r="AF126" s="180">
        <v>7918482</v>
      </c>
      <c r="AG126" s="180">
        <v>0</v>
      </c>
      <c r="AH126" s="180">
        <v>75176</v>
      </c>
      <c r="AI126" s="180">
        <v>2994030</v>
      </c>
      <c r="AJ126" s="180">
        <v>306451</v>
      </c>
      <c r="AK126" s="180">
        <v>183414</v>
      </c>
      <c r="AL126" s="180">
        <v>0</v>
      </c>
      <c r="AM126" s="180"/>
      <c r="AN126" s="180">
        <v>195152</v>
      </c>
      <c r="AO126" s="180"/>
      <c r="AP126" s="180">
        <v>0</v>
      </c>
      <c r="AQ126" s="180">
        <v>7108308</v>
      </c>
      <c r="AR126" s="180">
        <v>0</v>
      </c>
      <c r="AS126" s="180">
        <v>66519</v>
      </c>
      <c r="AT126" s="180">
        <v>3721768</v>
      </c>
      <c r="AU126" s="180">
        <v>296050</v>
      </c>
      <c r="AV126" s="570">
        <v>0</v>
      </c>
      <c r="AW126" s="180">
        <v>0</v>
      </c>
      <c r="AX126" s="180">
        <v>26094</v>
      </c>
      <c r="AY126" s="180">
        <v>0</v>
      </c>
      <c r="AZ126" s="180">
        <v>0</v>
      </c>
      <c r="BA126" s="180">
        <v>115206</v>
      </c>
      <c r="BB126" s="180">
        <v>0</v>
      </c>
      <c r="BC126" s="180">
        <v>986404</v>
      </c>
      <c r="BD126" s="180">
        <v>0</v>
      </c>
      <c r="BE126" s="180">
        <v>0</v>
      </c>
      <c r="BF126" s="180">
        <v>1269706</v>
      </c>
      <c r="BG126" s="180">
        <v>0</v>
      </c>
      <c r="BH126" s="180">
        <v>0</v>
      </c>
      <c r="BI126" s="180">
        <v>1027290</v>
      </c>
      <c r="BJ126" s="180">
        <v>0</v>
      </c>
      <c r="BK126" s="180"/>
      <c r="BL126" s="180">
        <v>204986</v>
      </c>
      <c r="BM126" s="180">
        <v>167639</v>
      </c>
      <c r="BN126" s="180">
        <v>0</v>
      </c>
      <c r="BO126" s="180">
        <v>1758855</v>
      </c>
      <c r="BP126" s="180">
        <v>1129093</v>
      </c>
      <c r="BQ126" s="180">
        <v>0</v>
      </c>
      <c r="BR126" s="180"/>
      <c r="BS126" s="180">
        <v>80994</v>
      </c>
      <c r="BT126" s="180"/>
      <c r="BU126" s="180">
        <v>0</v>
      </c>
      <c r="BV126" s="180">
        <v>15694014</v>
      </c>
      <c r="BW126" s="180">
        <v>761944</v>
      </c>
      <c r="BX126" s="180">
        <v>2247975</v>
      </c>
      <c r="BY126" s="180">
        <v>1115646</v>
      </c>
      <c r="BZ126" s="180">
        <v>221452</v>
      </c>
      <c r="CA126" s="180">
        <v>0</v>
      </c>
      <c r="CB126" s="180">
        <v>13293</v>
      </c>
      <c r="CC126" s="180">
        <v>165723</v>
      </c>
      <c r="CD126" s="180"/>
      <c r="CE126" s="180">
        <v>313961</v>
      </c>
      <c r="CF126" s="180">
        <v>0</v>
      </c>
      <c r="CG126" s="180">
        <v>404264</v>
      </c>
      <c r="CH126" s="180">
        <v>0</v>
      </c>
      <c r="CI126" s="180"/>
      <c r="CJ126" s="180"/>
      <c r="CK126" s="180"/>
      <c r="CL126" s="180"/>
      <c r="CM126" s="180"/>
      <c r="CN126" s="180"/>
      <c r="CO126" s="180"/>
      <c r="CP126" s="180"/>
      <c r="CQ126" s="180"/>
      <c r="CR126" s="180"/>
      <c r="CS126" s="180"/>
      <c r="CT126" s="180"/>
      <c r="CU126" s="180"/>
    </row>
    <row r="127" spans="1:99" x14ac:dyDescent="0.3">
      <c r="A127" s="155">
        <v>527</v>
      </c>
      <c r="B127" s="180" t="s">
        <v>274</v>
      </c>
      <c r="C127" s="180"/>
      <c r="D127" s="180">
        <v>0</v>
      </c>
      <c r="E127" s="180">
        <v>0</v>
      </c>
      <c r="F127" s="180">
        <v>0</v>
      </c>
      <c r="G127" s="180">
        <v>0</v>
      </c>
      <c r="H127" s="180"/>
      <c r="I127" s="180">
        <v>0</v>
      </c>
      <c r="J127" s="180">
        <v>0</v>
      </c>
      <c r="K127" s="180">
        <v>0</v>
      </c>
      <c r="L127" s="180">
        <v>0</v>
      </c>
      <c r="M127" s="180">
        <v>0</v>
      </c>
      <c r="N127" s="180">
        <v>0</v>
      </c>
      <c r="O127" s="180">
        <v>0</v>
      </c>
      <c r="P127" s="180">
        <v>0</v>
      </c>
      <c r="Q127" s="180">
        <v>0</v>
      </c>
      <c r="R127" s="180">
        <v>0</v>
      </c>
      <c r="S127" s="180">
        <v>0</v>
      </c>
      <c r="T127" s="180">
        <v>0</v>
      </c>
      <c r="U127" s="180">
        <v>0</v>
      </c>
      <c r="V127" s="180">
        <v>0</v>
      </c>
      <c r="W127" s="180">
        <v>0</v>
      </c>
      <c r="X127" s="180">
        <v>0</v>
      </c>
      <c r="Y127" s="180">
        <v>0</v>
      </c>
      <c r="Z127" s="180">
        <v>0</v>
      </c>
      <c r="AA127" s="180">
        <v>0</v>
      </c>
      <c r="AB127" s="180">
        <v>0</v>
      </c>
      <c r="AC127" s="180"/>
      <c r="AD127" s="180">
        <v>0</v>
      </c>
      <c r="AE127" s="180">
        <v>0</v>
      </c>
      <c r="AF127" s="180">
        <v>20000</v>
      </c>
      <c r="AG127" s="180">
        <v>0</v>
      </c>
      <c r="AH127" s="180">
        <v>0</v>
      </c>
      <c r="AI127" s="180">
        <v>0</v>
      </c>
      <c r="AJ127" s="180">
        <v>0</v>
      </c>
      <c r="AK127" s="180">
        <v>0</v>
      </c>
      <c r="AL127" s="180">
        <v>0</v>
      </c>
      <c r="AM127" s="180"/>
      <c r="AN127" s="180">
        <v>0</v>
      </c>
      <c r="AO127" s="180"/>
      <c r="AP127" s="180">
        <v>0</v>
      </c>
      <c r="AQ127" s="180">
        <v>57493498</v>
      </c>
      <c r="AR127" s="180">
        <v>0</v>
      </c>
      <c r="AS127" s="180">
        <v>0</v>
      </c>
      <c r="AT127" s="180">
        <v>0</v>
      </c>
      <c r="AU127" s="180">
        <v>0</v>
      </c>
      <c r="AV127" s="180">
        <v>0</v>
      </c>
      <c r="AW127" s="180">
        <v>267639</v>
      </c>
      <c r="AX127" s="180">
        <v>0</v>
      </c>
      <c r="AY127" s="180">
        <v>0</v>
      </c>
      <c r="AZ127" s="180">
        <v>0</v>
      </c>
      <c r="BA127" s="180">
        <v>0</v>
      </c>
      <c r="BB127" s="180">
        <v>0</v>
      </c>
      <c r="BC127" s="180">
        <v>71808</v>
      </c>
      <c r="BD127" s="180">
        <v>0</v>
      </c>
      <c r="BE127" s="180">
        <v>0</v>
      </c>
      <c r="BF127" s="180">
        <v>0</v>
      </c>
      <c r="BG127" s="180">
        <v>0</v>
      </c>
      <c r="BH127" s="180">
        <v>0</v>
      </c>
      <c r="BI127" s="180">
        <v>0</v>
      </c>
      <c r="BJ127" s="180">
        <v>0</v>
      </c>
      <c r="BK127" s="180"/>
      <c r="BL127" s="180">
        <v>0</v>
      </c>
      <c r="BM127" s="180">
        <v>0</v>
      </c>
      <c r="BN127" s="180">
        <v>0</v>
      </c>
      <c r="BO127" s="180">
        <v>0</v>
      </c>
      <c r="BP127" s="180">
        <v>0</v>
      </c>
      <c r="BQ127" s="180">
        <v>0</v>
      </c>
      <c r="BR127" s="180"/>
      <c r="BS127" s="180">
        <v>0</v>
      </c>
      <c r="BT127" s="180"/>
      <c r="BU127" s="180">
        <v>0</v>
      </c>
      <c r="BV127" s="180">
        <v>0</v>
      </c>
      <c r="BW127" s="180">
        <v>84147</v>
      </c>
      <c r="BX127" s="180">
        <v>2169960</v>
      </c>
      <c r="BY127" s="180">
        <v>0</v>
      </c>
      <c r="BZ127" s="180">
        <v>0</v>
      </c>
      <c r="CA127" s="180">
        <v>0</v>
      </c>
      <c r="CB127" s="180">
        <v>0</v>
      </c>
      <c r="CC127" s="180">
        <v>0</v>
      </c>
      <c r="CD127" s="180"/>
      <c r="CE127" s="180">
        <v>0</v>
      </c>
      <c r="CF127" s="180">
        <v>0</v>
      </c>
      <c r="CG127" s="180">
        <v>8800</v>
      </c>
      <c r="CH127" s="180">
        <v>0</v>
      </c>
      <c r="CI127" s="180"/>
      <c r="CJ127" s="180"/>
      <c r="CK127" s="180"/>
      <c r="CL127" s="180"/>
      <c r="CM127" s="180"/>
      <c r="CN127" s="180"/>
      <c r="CO127" s="180"/>
      <c r="CP127" s="180"/>
      <c r="CQ127" s="180"/>
      <c r="CR127" s="180"/>
      <c r="CS127" s="180"/>
      <c r="CT127" s="180"/>
      <c r="CU127" s="180"/>
    </row>
    <row r="128" spans="1:99" x14ac:dyDescent="0.3">
      <c r="A128" s="155">
        <v>528</v>
      </c>
      <c r="B128" s="180" t="s">
        <v>257</v>
      </c>
      <c r="C128" s="180"/>
      <c r="D128" s="180">
        <v>0</v>
      </c>
      <c r="E128" s="180">
        <v>295397</v>
      </c>
      <c r="F128" s="180">
        <v>76495</v>
      </c>
      <c r="G128" s="180">
        <v>104210</v>
      </c>
      <c r="H128" s="180"/>
      <c r="I128" s="180">
        <v>3584966</v>
      </c>
      <c r="J128" s="180">
        <v>890049</v>
      </c>
      <c r="K128" s="180">
        <v>6297652</v>
      </c>
      <c r="L128" s="180">
        <v>594457</v>
      </c>
      <c r="M128" s="180">
        <v>16045827</v>
      </c>
      <c r="N128" s="180">
        <v>1734544</v>
      </c>
      <c r="O128" s="180">
        <v>112028986</v>
      </c>
      <c r="P128" s="180">
        <v>7222</v>
      </c>
      <c r="Q128" s="180">
        <v>32378</v>
      </c>
      <c r="R128" s="180">
        <v>895026</v>
      </c>
      <c r="S128" s="180">
        <v>457662</v>
      </c>
      <c r="T128" s="180">
        <v>607154</v>
      </c>
      <c r="U128" s="180">
        <v>101699</v>
      </c>
      <c r="V128" s="180">
        <v>19315</v>
      </c>
      <c r="W128" s="180">
        <v>477105</v>
      </c>
      <c r="X128" s="180">
        <v>45853304</v>
      </c>
      <c r="Y128" s="180">
        <v>491265000</v>
      </c>
      <c r="Z128" s="180">
        <v>2229421</v>
      </c>
      <c r="AA128" s="180">
        <v>81561</v>
      </c>
      <c r="AB128" s="180">
        <v>1832324</v>
      </c>
      <c r="AC128" s="180"/>
      <c r="AD128" s="180">
        <v>2726211</v>
      </c>
      <c r="AE128" s="180">
        <v>407944</v>
      </c>
      <c r="AF128" s="180">
        <v>17112498</v>
      </c>
      <c r="AG128" s="180">
        <v>3669226</v>
      </c>
      <c r="AH128" s="180">
        <v>632471</v>
      </c>
      <c r="AI128" s="180">
        <v>3174184</v>
      </c>
      <c r="AJ128" s="180">
        <v>432344</v>
      </c>
      <c r="AK128" s="180">
        <v>671721</v>
      </c>
      <c r="AL128" s="180">
        <v>132015</v>
      </c>
      <c r="AM128" s="180"/>
      <c r="AN128" s="180">
        <v>343663</v>
      </c>
      <c r="AO128" s="180"/>
      <c r="AP128" s="180">
        <v>15091</v>
      </c>
      <c r="AQ128" s="180">
        <v>68329787</v>
      </c>
      <c r="AR128" s="180">
        <v>36862</v>
      </c>
      <c r="AS128" s="180">
        <v>56970</v>
      </c>
      <c r="AT128" s="180">
        <v>6154428</v>
      </c>
      <c r="AU128" s="180">
        <v>227447</v>
      </c>
      <c r="AV128" s="570">
        <v>142796</v>
      </c>
      <c r="AW128" s="180">
        <v>16830626</v>
      </c>
      <c r="AX128" s="180">
        <v>43598</v>
      </c>
      <c r="AY128" s="180">
        <v>3295498</v>
      </c>
      <c r="AZ128" s="180">
        <v>2074118</v>
      </c>
      <c r="BA128" s="180">
        <v>105504</v>
      </c>
      <c r="BB128" s="180">
        <v>35111</v>
      </c>
      <c r="BC128" s="180">
        <v>1357717</v>
      </c>
      <c r="BD128" s="180">
        <v>32666</v>
      </c>
      <c r="BE128" s="180">
        <v>9112449</v>
      </c>
      <c r="BF128" s="180">
        <v>832497</v>
      </c>
      <c r="BG128" s="180">
        <v>130155</v>
      </c>
      <c r="BH128" s="180">
        <v>106832</v>
      </c>
      <c r="BI128" s="180">
        <v>833037</v>
      </c>
      <c r="BJ128" s="180">
        <v>0</v>
      </c>
      <c r="BK128" s="180"/>
      <c r="BL128" s="180">
        <v>356629</v>
      </c>
      <c r="BM128" s="180">
        <v>86828</v>
      </c>
      <c r="BN128" s="180">
        <v>4104755</v>
      </c>
      <c r="BO128" s="180">
        <v>5162022</v>
      </c>
      <c r="BP128" s="180">
        <v>211316781</v>
      </c>
      <c r="BQ128" s="180">
        <v>20433</v>
      </c>
      <c r="BR128" s="180"/>
      <c r="BS128" s="180">
        <v>201436</v>
      </c>
      <c r="BT128" s="180"/>
      <c r="BU128" s="180">
        <v>640405</v>
      </c>
      <c r="BV128" s="180">
        <v>5748886</v>
      </c>
      <c r="BW128" s="180">
        <v>2553877</v>
      </c>
      <c r="BX128" s="180">
        <v>9496404</v>
      </c>
      <c r="BY128" s="180">
        <v>1793096</v>
      </c>
      <c r="BZ128" s="180">
        <v>95728</v>
      </c>
      <c r="CA128" s="180">
        <v>2705058</v>
      </c>
      <c r="CB128" s="180">
        <v>65561</v>
      </c>
      <c r="CC128" s="180">
        <v>243269</v>
      </c>
      <c r="CD128" s="180"/>
      <c r="CE128" s="180">
        <v>2712176</v>
      </c>
      <c r="CF128" s="180">
        <v>5394095</v>
      </c>
      <c r="CG128" s="180">
        <v>560441</v>
      </c>
      <c r="CH128" s="180">
        <v>1869794</v>
      </c>
      <c r="CI128" s="180"/>
      <c r="CJ128" s="180"/>
      <c r="CK128" s="180"/>
      <c r="CL128" s="180"/>
      <c r="CM128" s="180"/>
      <c r="CN128" s="180"/>
      <c r="CO128" s="180"/>
      <c r="CP128" s="180"/>
      <c r="CQ128" s="180"/>
      <c r="CR128" s="180"/>
      <c r="CS128" s="180"/>
      <c r="CT128" s="180"/>
      <c r="CU128" s="180"/>
    </row>
    <row r="129" spans="1:99" x14ac:dyDescent="0.3">
      <c r="A129" s="155">
        <v>529</v>
      </c>
      <c r="B129" s="180" t="s">
        <v>258</v>
      </c>
      <c r="C129" s="180"/>
      <c r="D129" s="180">
        <v>0</v>
      </c>
      <c r="E129" s="180">
        <v>25467</v>
      </c>
      <c r="F129" s="180">
        <v>13189</v>
      </c>
      <c r="G129" s="180">
        <v>13605</v>
      </c>
      <c r="H129" s="180"/>
      <c r="I129" s="180">
        <v>190137</v>
      </c>
      <c r="J129" s="180">
        <v>82881</v>
      </c>
      <c r="K129" s="180">
        <v>239946</v>
      </c>
      <c r="L129" s="180">
        <v>79435</v>
      </c>
      <c r="M129" s="180">
        <v>1707754</v>
      </c>
      <c r="N129" s="180">
        <v>216874</v>
      </c>
      <c r="O129" s="180">
        <v>7841505</v>
      </c>
      <c r="P129" s="180">
        <v>1065</v>
      </c>
      <c r="Q129" s="180">
        <v>5332</v>
      </c>
      <c r="R129" s="180">
        <v>27495</v>
      </c>
      <c r="S129" s="180">
        <v>60182</v>
      </c>
      <c r="T129" s="180">
        <v>51770</v>
      </c>
      <c r="U129" s="180">
        <v>9532</v>
      </c>
      <c r="V129" s="180">
        <v>3553</v>
      </c>
      <c r="W129" s="180">
        <v>64999</v>
      </c>
      <c r="X129" s="180">
        <v>3934168</v>
      </c>
      <c r="Y129" s="180">
        <v>18817000</v>
      </c>
      <c r="Z129" s="180">
        <v>285924</v>
      </c>
      <c r="AA129" s="180">
        <v>1682</v>
      </c>
      <c r="AB129" s="180">
        <v>220008</v>
      </c>
      <c r="AC129" s="180"/>
      <c r="AD129" s="180">
        <v>107076</v>
      </c>
      <c r="AE129" s="180">
        <v>25682</v>
      </c>
      <c r="AF129" s="180">
        <v>1806860</v>
      </c>
      <c r="AG129" s="180">
        <v>392201</v>
      </c>
      <c r="AH129" s="180">
        <v>26047</v>
      </c>
      <c r="AI129" s="180">
        <v>340590</v>
      </c>
      <c r="AJ129" s="180">
        <v>52443</v>
      </c>
      <c r="AK129" s="180">
        <v>91070</v>
      </c>
      <c r="AL129" s="180">
        <v>15049</v>
      </c>
      <c r="AM129" s="180"/>
      <c r="AN129" s="180">
        <v>28823</v>
      </c>
      <c r="AO129" s="180"/>
      <c r="AP129" s="180">
        <v>1682</v>
      </c>
      <c r="AQ129" s="180">
        <v>6151238</v>
      </c>
      <c r="AR129" s="180">
        <v>8292</v>
      </c>
      <c r="AS129" s="180">
        <v>8158</v>
      </c>
      <c r="AT129" s="180">
        <v>574436</v>
      </c>
      <c r="AU129" s="180">
        <v>30661</v>
      </c>
      <c r="AV129" s="570">
        <v>26151</v>
      </c>
      <c r="AW129" s="180">
        <v>1283774</v>
      </c>
      <c r="AX129" s="180">
        <v>12446</v>
      </c>
      <c r="AY129" s="180">
        <v>390814</v>
      </c>
      <c r="AZ129" s="180">
        <v>312732</v>
      </c>
      <c r="BA129" s="180">
        <v>11538</v>
      </c>
      <c r="BB129" s="180">
        <v>5308</v>
      </c>
      <c r="BC129" s="180">
        <v>190109</v>
      </c>
      <c r="BD129" s="180">
        <v>3176</v>
      </c>
      <c r="BE129" s="180">
        <v>738855</v>
      </c>
      <c r="BF129" s="180">
        <v>86681</v>
      </c>
      <c r="BG129" s="180">
        <v>5550</v>
      </c>
      <c r="BH129" s="180">
        <v>19136</v>
      </c>
      <c r="BI129" s="180">
        <v>67254</v>
      </c>
      <c r="BJ129" s="180">
        <v>0</v>
      </c>
      <c r="BK129" s="180"/>
      <c r="BL129" s="180">
        <v>56561</v>
      </c>
      <c r="BM129" s="180">
        <v>11185</v>
      </c>
      <c r="BN129" s="180">
        <v>42865</v>
      </c>
      <c r="BO129" s="180">
        <v>443764</v>
      </c>
      <c r="BP129" s="180">
        <v>14598275</v>
      </c>
      <c r="BQ129" s="180">
        <v>2694</v>
      </c>
      <c r="BR129" s="180"/>
      <c r="BS129" s="180">
        <v>28689</v>
      </c>
      <c r="BT129" s="180"/>
      <c r="BU129" s="180">
        <v>115122</v>
      </c>
      <c r="BV129" s="180">
        <v>956611</v>
      </c>
      <c r="BW129" s="180">
        <v>322774</v>
      </c>
      <c r="BX129" s="180">
        <v>865675</v>
      </c>
      <c r="BY129" s="180">
        <v>218704</v>
      </c>
      <c r="BZ129" s="180">
        <v>14240</v>
      </c>
      <c r="CA129" s="180">
        <v>228813</v>
      </c>
      <c r="CB129" s="180">
        <v>12330</v>
      </c>
      <c r="CC129" s="180">
        <v>36382</v>
      </c>
      <c r="CD129" s="180"/>
      <c r="CE129" s="180">
        <v>336690</v>
      </c>
      <c r="CF129" s="180">
        <v>167458</v>
      </c>
      <c r="CG129" s="180">
        <v>123802</v>
      </c>
      <c r="CH129" s="180">
        <v>230708</v>
      </c>
      <c r="CI129" s="180"/>
      <c r="CJ129" s="180"/>
      <c r="CK129" s="180"/>
      <c r="CL129" s="180"/>
      <c r="CM129" s="180"/>
      <c r="CN129" s="180"/>
      <c r="CO129" s="180"/>
      <c r="CP129" s="180"/>
      <c r="CQ129" s="180"/>
      <c r="CR129" s="180"/>
      <c r="CS129" s="180"/>
      <c r="CT129" s="180"/>
      <c r="CU129" s="180"/>
    </row>
    <row r="130" spans="1:99" x14ac:dyDescent="0.3">
      <c r="A130" s="155">
        <v>530</v>
      </c>
      <c r="B130" s="180" t="s">
        <v>259</v>
      </c>
      <c r="C130" s="180"/>
      <c r="D130" s="180">
        <v>0</v>
      </c>
      <c r="E130" s="180">
        <v>2767</v>
      </c>
      <c r="F130" s="180">
        <v>3858</v>
      </c>
      <c r="G130" s="180">
        <v>1603</v>
      </c>
      <c r="H130" s="180"/>
      <c r="I130" s="180">
        <v>22969</v>
      </c>
      <c r="J130" s="180">
        <v>4603</v>
      </c>
      <c r="K130" s="180">
        <v>36205</v>
      </c>
      <c r="L130" s="180">
        <v>2612</v>
      </c>
      <c r="M130" s="180">
        <v>64584</v>
      </c>
      <c r="N130" s="180">
        <v>16336</v>
      </c>
      <c r="O130" s="180">
        <v>227761</v>
      </c>
      <c r="P130" s="180">
        <v>279</v>
      </c>
      <c r="Q130" s="180">
        <v>1150</v>
      </c>
      <c r="R130" s="180">
        <v>1368</v>
      </c>
      <c r="S130" s="180">
        <v>6561</v>
      </c>
      <c r="T130" s="180">
        <v>12654</v>
      </c>
      <c r="U130" s="180">
        <v>29</v>
      </c>
      <c r="V130" s="180">
        <v>1105</v>
      </c>
      <c r="W130" s="180">
        <v>18182</v>
      </c>
      <c r="X130" s="180">
        <v>114724</v>
      </c>
      <c r="Y130" s="180">
        <v>2532000</v>
      </c>
      <c r="Z130" s="180">
        <v>29060</v>
      </c>
      <c r="AA130" s="180">
        <v>761</v>
      </c>
      <c r="AB130" s="180">
        <v>30030</v>
      </c>
      <c r="AC130" s="180"/>
      <c r="AD130" s="180">
        <v>4998</v>
      </c>
      <c r="AE130" s="180">
        <v>28051</v>
      </c>
      <c r="AF130" s="180">
        <v>4936</v>
      </c>
      <c r="AG130" s="180">
        <v>12651</v>
      </c>
      <c r="AH130" s="180">
        <v>6984</v>
      </c>
      <c r="AI130" s="180">
        <v>47199</v>
      </c>
      <c r="AJ130" s="180">
        <v>13522</v>
      </c>
      <c r="AK130" s="180">
        <v>6144</v>
      </c>
      <c r="AL130" s="180">
        <v>1426</v>
      </c>
      <c r="AM130" s="180"/>
      <c r="AN130" s="180">
        <v>25020</v>
      </c>
      <c r="AO130" s="180"/>
      <c r="AP130" s="180">
        <v>812</v>
      </c>
      <c r="AQ130" s="180">
        <v>447298</v>
      </c>
      <c r="AR130" s="180">
        <v>3534</v>
      </c>
      <c r="AS130" s="180">
        <v>1806</v>
      </c>
      <c r="AT130" s="180">
        <v>94831</v>
      </c>
      <c r="AU130" s="180">
        <v>77626</v>
      </c>
      <c r="AV130" s="570">
        <v>4589</v>
      </c>
      <c r="AW130" s="180">
        <v>47893</v>
      </c>
      <c r="AX130" s="180">
        <v>1319</v>
      </c>
      <c r="AY130" s="180">
        <v>13615</v>
      </c>
      <c r="AZ130" s="180">
        <v>12104</v>
      </c>
      <c r="BA130" s="180">
        <v>5650</v>
      </c>
      <c r="BB130" s="180">
        <v>610</v>
      </c>
      <c r="BC130" s="180">
        <v>12664</v>
      </c>
      <c r="BD130" s="180">
        <v>449</v>
      </c>
      <c r="BE130" s="180">
        <v>17105</v>
      </c>
      <c r="BF130" s="180">
        <v>20083</v>
      </c>
      <c r="BG130" s="180">
        <v>1940</v>
      </c>
      <c r="BH130" s="180">
        <v>18931</v>
      </c>
      <c r="BI130" s="180">
        <v>2037</v>
      </c>
      <c r="BJ130" s="180">
        <v>0</v>
      </c>
      <c r="BK130" s="180"/>
      <c r="BL130" s="180">
        <v>6195</v>
      </c>
      <c r="BM130" s="180">
        <v>5799</v>
      </c>
      <c r="BN130" s="180">
        <v>1508</v>
      </c>
      <c r="BO130" s="180">
        <v>44152</v>
      </c>
      <c r="BP130" s="180">
        <v>1124028</v>
      </c>
      <c r="BQ130" s="180">
        <v>1078</v>
      </c>
      <c r="BR130" s="180"/>
      <c r="BS130" s="180">
        <v>7610</v>
      </c>
      <c r="BT130" s="180"/>
      <c r="BU130" s="180">
        <v>5743</v>
      </c>
      <c r="BV130" s="180">
        <v>94774</v>
      </c>
      <c r="BW130" s="180">
        <v>52309</v>
      </c>
      <c r="BX130" s="180">
        <v>383004</v>
      </c>
      <c r="BY130" s="180">
        <v>57502</v>
      </c>
      <c r="BZ130" s="180">
        <v>1542</v>
      </c>
      <c r="CA130" s="180">
        <v>28115</v>
      </c>
      <c r="CB130" s="180">
        <v>2313</v>
      </c>
      <c r="CC130" s="180">
        <v>14020</v>
      </c>
      <c r="CD130" s="180"/>
      <c r="CE130" s="180">
        <v>1375</v>
      </c>
      <c r="CF130" s="180">
        <v>48620</v>
      </c>
      <c r="CG130" s="180">
        <v>35978</v>
      </c>
      <c r="CH130" s="180">
        <v>17701</v>
      </c>
      <c r="CI130" s="180"/>
      <c r="CJ130" s="180"/>
      <c r="CK130" s="180"/>
      <c r="CL130" s="180"/>
      <c r="CM130" s="180"/>
      <c r="CN130" s="180"/>
      <c r="CO130" s="180"/>
      <c r="CP130" s="180"/>
      <c r="CQ130" s="180"/>
      <c r="CR130" s="180"/>
      <c r="CS130" s="180"/>
      <c r="CT130" s="180"/>
      <c r="CU130" s="180"/>
    </row>
    <row r="131" spans="1:99" x14ac:dyDescent="0.3">
      <c r="A131" s="155">
        <v>531</v>
      </c>
      <c r="B131" s="180" t="s">
        <v>260</v>
      </c>
      <c r="C131" s="180"/>
      <c r="D131" s="180">
        <v>0</v>
      </c>
      <c r="E131" s="180">
        <v>0</v>
      </c>
      <c r="F131" s="180">
        <v>0</v>
      </c>
      <c r="G131" s="180">
        <v>0</v>
      </c>
      <c r="H131" s="180"/>
      <c r="I131" s="180">
        <v>0</v>
      </c>
      <c r="J131" s="180">
        <v>0</v>
      </c>
      <c r="K131" s="180">
        <v>0</v>
      </c>
      <c r="L131" s="180">
        <v>0</v>
      </c>
      <c r="M131" s="180">
        <v>4411</v>
      </c>
      <c r="N131" s="180">
        <v>142</v>
      </c>
      <c r="O131" s="180">
        <v>0</v>
      </c>
      <c r="P131" s="180">
        <v>0</v>
      </c>
      <c r="Q131" s="180">
        <v>0</v>
      </c>
      <c r="R131" s="180">
        <v>0</v>
      </c>
      <c r="S131" s="180">
        <v>0</v>
      </c>
      <c r="T131" s="180">
        <v>0</v>
      </c>
      <c r="U131" s="180">
        <v>0</v>
      </c>
      <c r="V131" s="180">
        <v>0</v>
      </c>
      <c r="W131" s="180">
        <v>0</v>
      </c>
      <c r="X131" s="180">
        <v>22639</v>
      </c>
      <c r="Y131" s="180">
        <v>0</v>
      </c>
      <c r="Z131" s="180">
        <v>0</v>
      </c>
      <c r="AA131" s="180">
        <v>0</v>
      </c>
      <c r="AB131" s="180">
        <v>0</v>
      </c>
      <c r="AC131" s="180"/>
      <c r="AD131" s="180">
        <v>0</v>
      </c>
      <c r="AE131" s="180">
        <v>0</v>
      </c>
      <c r="AF131" s="180">
        <v>0</v>
      </c>
      <c r="AG131" s="180">
        <v>0</v>
      </c>
      <c r="AH131" s="180">
        <v>0</v>
      </c>
      <c r="AI131" s="180">
        <v>179</v>
      </c>
      <c r="AJ131" s="180">
        <v>0</v>
      </c>
      <c r="AK131" s="180">
        <v>0</v>
      </c>
      <c r="AL131" s="180">
        <v>0</v>
      </c>
      <c r="AM131" s="180"/>
      <c r="AN131" s="180">
        <v>0</v>
      </c>
      <c r="AO131" s="180"/>
      <c r="AP131" s="180">
        <v>0</v>
      </c>
      <c r="AQ131" s="180">
        <v>0</v>
      </c>
      <c r="AR131" s="180">
        <v>0</v>
      </c>
      <c r="AS131" s="180">
        <v>0</v>
      </c>
      <c r="AT131" s="180">
        <v>0</v>
      </c>
      <c r="AU131" s="180">
        <v>0</v>
      </c>
      <c r="AV131" s="180">
        <v>0</v>
      </c>
      <c r="AW131" s="180">
        <v>0</v>
      </c>
      <c r="AX131" s="180">
        <v>0</v>
      </c>
      <c r="AY131" s="180">
        <v>0</v>
      </c>
      <c r="AZ131" s="180">
        <v>399</v>
      </c>
      <c r="BA131" s="180">
        <v>0</v>
      </c>
      <c r="BB131" s="180">
        <v>0</v>
      </c>
      <c r="BC131" s="180">
        <v>0</v>
      </c>
      <c r="BD131" s="180">
        <v>0</v>
      </c>
      <c r="BE131" s="180">
        <v>0</v>
      </c>
      <c r="BF131" s="180">
        <v>0</v>
      </c>
      <c r="BG131" s="180">
        <v>0</v>
      </c>
      <c r="BH131" s="180">
        <v>0</v>
      </c>
      <c r="BI131" s="180">
        <v>0</v>
      </c>
      <c r="BJ131" s="180">
        <v>0</v>
      </c>
      <c r="BK131" s="180"/>
      <c r="BL131" s="180">
        <v>0</v>
      </c>
      <c r="BM131" s="180">
        <v>0</v>
      </c>
      <c r="BN131" s="180">
        <v>0</v>
      </c>
      <c r="BO131" s="180">
        <v>0</v>
      </c>
      <c r="BP131" s="180">
        <v>0</v>
      </c>
      <c r="BQ131" s="180">
        <v>0</v>
      </c>
      <c r="BR131" s="180"/>
      <c r="BS131" s="180">
        <v>0</v>
      </c>
      <c r="BT131" s="180"/>
      <c r="BU131" s="180">
        <v>0</v>
      </c>
      <c r="BV131" s="180">
        <v>0</v>
      </c>
      <c r="BW131" s="180">
        <v>0</v>
      </c>
      <c r="BX131" s="180">
        <v>0</v>
      </c>
      <c r="BY131" s="180">
        <v>0</v>
      </c>
      <c r="BZ131" s="180">
        <v>0</v>
      </c>
      <c r="CA131" s="180">
        <v>0</v>
      </c>
      <c r="CB131" s="180">
        <v>0</v>
      </c>
      <c r="CC131" s="180">
        <v>0</v>
      </c>
      <c r="CD131" s="180"/>
      <c r="CE131" s="180">
        <v>2894</v>
      </c>
      <c r="CF131" s="180">
        <v>0</v>
      </c>
      <c r="CG131" s="180">
        <v>438</v>
      </c>
      <c r="CH131" s="180">
        <v>0</v>
      </c>
      <c r="CI131" s="180"/>
      <c r="CJ131" s="180"/>
      <c r="CK131" s="180"/>
      <c r="CL131" s="180"/>
      <c r="CM131" s="180"/>
      <c r="CN131" s="180"/>
      <c r="CO131" s="180"/>
      <c r="CP131" s="180"/>
      <c r="CQ131" s="180"/>
      <c r="CR131" s="180"/>
      <c r="CS131" s="180"/>
      <c r="CT131" s="180"/>
      <c r="CU131" s="180"/>
    </row>
    <row r="132" spans="1:99" x14ac:dyDescent="0.3">
      <c r="A132" s="155">
        <v>532</v>
      </c>
      <c r="B132" s="180" t="s">
        <v>887</v>
      </c>
      <c r="C132" s="180"/>
      <c r="D132" s="180">
        <v>633980</v>
      </c>
      <c r="E132" s="180">
        <v>1565054</v>
      </c>
      <c r="F132" s="180">
        <v>379175</v>
      </c>
      <c r="G132" s="180">
        <v>281768</v>
      </c>
      <c r="H132" s="180"/>
      <c r="I132" s="180">
        <v>11060286</v>
      </c>
      <c r="J132" s="180">
        <v>2002284</v>
      </c>
      <c r="K132" s="180">
        <v>20302798</v>
      </c>
      <c r="L132" s="180">
        <v>2824709</v>
      </c>
      <c r="M132" s="180">
        <v>25178668</v>
      </c>
      <c r="N132" s="180">
        <v>3415595</v>
      </c>
      <c r="O132" s="180">
        <v>260167736</v>
      </c>
      <c r="P132" s="180">
        <v>39307</v>
      </c>
      <c r="Q132" s="180">
        <v>194342</v>
      </c>
      <c r="R132" s="180">
        <v>1422498</v>
      </c>
      <c r="S132" s="180">
        <v>1194031</v>
      </c>
      <c r="T132" s="180">
        <v>2215047</v>
      </c>
      <c r="U132" s="180">
        <v>163284</v>
      </c>
      <c r="V132" s="180">
        <v>153697</v>
      </c>
      <c r="W132" s="180">
        <v>2135408</v>
      </c>
      <c r="X132" s="180">
        <v>73351655</v>
      </c>
      <c r="Y132" s="180">
        <v>803314000</v>
      </c>
      <c r="Z132" s="180">
        <v>7762348</v>
      </c>
      <c r="AA132" s="180">
        <v>281437</v>
      </c>
      <c r="AB132" s="180">
        <v>4907659</v>
      </c>
      <c r="AC132" s="180"/>
      <c r="AD132" s="180">
        <v>4468282</v>
      </c>
      <c r="AE132" s="180">
        <v>721186</v>
      </c>
      <c r="AF132" s="180">
        <v>37252317</v>
      </c>
      <c r="AG132" s="180">
        <v>6870225</v>
      </c>
      <c r="AH132" s="180">
        <v>1471953</v>
      </c>
      <c r="AI132" s="180">
        <v>11189244</v>
      </c>
      <c r="AJ132" s="180">
        <v>1365121</v>
      </c>
      <c r="AK132" s="180">
        <v>1733305</v>
      </c>
      <c r="AL132" s="180">
        <v>467729</v>
      </c>
      <c r="AM132" s="180"/>
      <c r="AN132" s="180">
        <v>613240</v>
      </c>
      <c r="AO132" s="180"/>
      <c r="AP132" s="180">
        <v>25767</v>
      </c>
      <c r="AQ132" s="180">
        <v>106453897</v>
      </c>
      <c r="AR132" s="180">
        <v>203956</v>
      </c>
      <c r="AS132" s="180">
        <v>540619</v>
      </c>
      <c r="AT132" s="180">
        <v>11341382</v>
      </c>
      <c r="AU132" s="180">
        <v>759535</v>
      </c>
      <c r="AV132" s="570">
        <v>541789</v>
      </c>
      <c r="AW132" s="180">
        <v>29445385</v>
      </c>
      <c r="AX132" s="180">
        <v>261156</v>
      </c>
      <c r="AY132" s="180">
        <v>8652701</v>
      </c>
      <c r="AZ132" s="180">
        <v>4551140</v>
      </c>
      <c r="BA132" s="180">
        <v>164536</v>
      </c>
      <c r="BB132" s="180">
        <v>128997</v>
      </c>
      <c r="BC132" s="180">
        <v>4542983</v>
      </c>
      <c r="BD132" s="180">
        <v>59433</v>
      </c>
      <c r="BE132" s="180">
        <v>17616336</v>
      </c>
      <c r="BF132" s="180">
        <v>1720833</v>
      </c>
      <c r="BG132" s="180">
        <v>190687</v>
      </c>
      <c r="BH132" s="180">
        <v>558948</v>
      </c>
      <c r="BI132" s="180">
        <v>2235931</v>
      </c>
      <c r="BJ132" s="180">
        <v>244570</v>
      </c>
      <c r="BK132" s="180"/>
      <c r="BL132" s="180">
        <v>2518749</v>
      </c>
      <c r="BM132" s="180">
        <v>523980</v>
      </c>
      <c r="BN132" s="180">
        <v>17462854</v>
      </c>
      <c r="BO132" s="180">
        <v>12967028</v>
      </c>
      <c r="BP132" s="180">
        <v>238584751</v>
      </c>
      <c r="BQ132" s="180">
        <v>95233</v>
      </c>
      <c r="BR132" s="180"/>
      <c r="BS132" s="180">
        <v>385854</v>
      </c>
      <c r="BT132" s="180"/>
      <c r="BU132" s="180">
        <v>2252911</v>
      </c>
      <c r="BV132" s="180">
        <v>16482841</v>
      </c>
      <c r="BW132" s="180">
        <v>7474857</v>
      </c>
      <c r="BX132" s="180">
        <v>22309329</v>
      </c>
      <c r="BY132" s="180">
        <v>5377894</v>
      </c>
      <c r="BZ132" s="180">
        <v>355529</v>
      </c>
      <c r="CA132" s="180">
        <v>7503249</v>
      </c>
      <c r="CB132" s="180">
        <v>318404</v>
      </c>
      <c r="CC132" s="180">
        <v>837569</v>
      </c>
      <c r="CD132" s="180"/>
      <c r="CE132" s="180">
        <v>8500928</v>
      </c>
      <c r="CF132" s="180">
        <v>12615993</v>
      </c>
      <c r="CG132" s="180">
        <v>1325530</v>
      </c>
      <c r="CH132" s="180">
        <v>3384063</v>
      </c>
      <c r="CI132" s="180"/>
      <c r="CJ132" s="180"/>
      <c r="CK132" s="180"/>
      <c r="CL132" s="180"/>
      <c r="CM132" s="180"/>
      <c r="CN132" s="180"/>
      <c r="CO132" s="180"/>
      <c r="CP132" s="180"/>
      <c r="CQ132" s="180"/>
      <c r="CR132" s="180"/>
      <c r="CS132" s="180"/>
      <c r="CT132" s="180"/>
      <c r="CU132" s="180"/>
    </row>
    <row r="133" spans="1:99" x14ac:dyDescent="0.3">
      <c r="A133" s="155">
        <v>533</v>
      </c>
      <c r="B133" s="180" t="s">
        <v>888</v>
      </c>
      <c r="C133" s="180"/>
      <c r="D133" s="180">
        <v>0</v>
      </c>
      <c r="E133" s="180">
        <v>0</v>
      </c>
      <c r="F133" s="180">
        <v>0</v>
      </c>
      <c r="G133" s="180">
        <v>0</v>
      </c>
      <c r="H133" s="180"/>
      <c r="I133" s="180">
        <v>854731</v>
      </c>
      <c r="J133" s="180">
        <v>126183</v>
      </c>
      <c r="K133" s="180">
        <v>2827810</v>
      </c>
      <c r="L133" s="180">
        <v>0</v>
      </c>
      <c r="M133" s="180">
        <v>95064</v>
      </c>
      <c r="N133" s="180">
        <v>0</v>
      </c>
      <c r="O133" s="180">
        <v>0</v>
      </c>
      <c r="P133" s="180">
        <v>0</v>
      </c>
      <c r="Q133" s="180">
        <v>0</v>
      </c>
      <c r="R133" s="180">
        <v>0</v>
      </c>
      <c r="S133" s="180">
        <v>0</v>
      </c>
      <c r="T133" s="180">
        <v>735000</v>
      </c>
      <c r="U133" s="180">
        <v>0</v>
      </c>
      <c r="V133" s="180">
        <v>0</v>
      </c>
      <c r="W133" s="180">
        <v>190000</v>
      </c>
      <c r="X133" s="180">
        <v>0</v>
      </c>
      <c r="Y133" s="180">
        <v>0</v>
      </c>
      <c r="Z133" s="180">
        <v>0</v>
      </c>
      <c r="AA133" s="180">
        <v>0</v>
      </c>
      <c r="AB133" s="180">
        <v>0</v>
      </c>
      <c r="AC133" s="180"/>
      <c r="AD133" s="180">
        <v>124873</v>
      </c>
      <c r="AE133" s="180">
        <v>0</v>
      </c>
      <c r="AF133" s="180">
        <v>0</v>
      </c>
      <c r="AG133" s="180">
        <v>66159</v>
      </c>
      <c r="AH133" s="180">
        <v>0</v>
      </c>
      <c r="AI133" s="180">
        <v>225000</v>
      </c>
      <c r="AJ133" s="180">
        <v>0</v>
      </c>
      <c r="AK133" s="180">
        <v>0</v>
      </c>
      <c r="AL133" s="180">
        <v>0</v>
      </c>
      <c r="AM133" s="180"/>
      <c r="AN133" s="180">
        <v>0</v>
      </c>
      <c r="AO133" s="180"/>
      <c r="AP133" s="180">
        <v>0</v>
      </c>
      <c r="AQ133" s="180">
        <v>11685</v>
      </c>
      <c r="AR133" s="180">
        <v>0</v>
      </c>
      <c r="AS133" s="180">
        <v>0</v>
      </c>
      <c r="AT133" s="180">
        <v>174909</v>
      </c>
      <c r="AU133" s="180">
        <v>0</v>
      </c>
      <c r="AV133" s="180">
        <v>0</v>
      </c>
      <c r="AW133" s="180">
        <v>2583294</v>
      </c>
      <c r="AX133" s="180">
        <v>0</v>
      </c>
      <c r="AY133" s="180">
        <v>82150</v>
      </c>
      <c r="AZ133" s="180">
        <v>0</v>
      </c>
      <c r="BA133" s="180">
        <v>0</v>
      </c>
      <c r="BB133" s="180">
        <v>0</v>
      </c>
      <c r="BC133" s="180">
        <v>151864</v>
      </c>
      <c r="BD133" s="180">
        <v>0</v>
      </c>
      <c r="BE133" s="180">
        <v>0</v>
      </c>
      <c r="BF133" s="180">
        <v>52655</v>
      </c>
      <c r="BG133" s="180">
        <v>0</v>
      </c>
      <c r="BH133" s="180">
        <v>0</v>
      </c>
      <c r="BI133" s="180">
        <v>0</v>
      </c>
      <c r="BJ133" s="180">
        <v>0</v>
      </c>
      <c r="BK133" s="180"/>
      <c r="BL133" s="180">
        <v>0</v>
      </c>
      <c r="BM133" s="180">
        <v>0</v>
      </c>
      <c r="BN133" s="180">
        <v>0</v>
      </c>
      <c r="BO133" s="180">
        <v>467770</v>
      </c>
      <c r="BP133" s="180">
        <v>0</v>
      </c>
      <c r="BQ133" s="180">
        <v>0</v>
      </c>
      <c r="BR133" s="180"/>
      <c r="BS133" s="180">
        <v>0</v>
      </c>
      <c r="BT133" s="180"/>
      <c r="BU133" s="180">
        <v>0</v>
      </c>
      <c r="BV133" s="180">
        <v>0</v>
      </c>
      <c r="BW133" s="180">
        <v>184076</v>
      </c>
      <c r="BX133" s="180">
        <v>0</v>
      </c>
      <c r="BY133" s="180">
        <v>1275128</v>
      </c>
      <c r="BZ133" s="180">
        <v>0</v>
      </c>
      <c r="CA133" s="180">
        <v>0</v>
      </c>
      <c r="CB133" s="180">
        <v>0</v>
      </c>
      <c r="CC133" s="180">
        <v>0</v>
      </c>
      <c r="CD133" s="180"/>
      <c r="CE133" s="180">
        <v>0</v>
      </c>
      <c r="CF133" s="180">
        <v>914591</v>
      </c>
      <c r="CG133" s="180">
        <v>0</v>
      </c>
      <c r="CH133" s="180">
        <v>0</v>
      </c>
      <c r="CI133" s="180"/>
      <c r="CJ133" s="180"/>
      <c r="CK133" s="180"/>
      <c r="CL133" s="180"/>
      <c r="CM133" s="180"/>
      <c r="CN133" s="180"/>
      <c r="CO133" s="180"/>
      <c r="CP133" s="180"/>
      <c r="CQ133" s="180"/>
      <c r="CR133" s="180"/>
      <c r="CS133" s="180"/>
      <c r="CT133" s="180"/>
      <c r="CU133" s="180"/>
    </row>
    <row r="134" spans="1:99" x14ac:dyDescent="0.3">
      <c r="A134" s="155">
        <v>535</v>
      </c>
      <c r="B134" s="180" t="s">
        <v>244</v>
      </c>
      <c r="C134" s="180"/>
      <c r="D134" s="180">
        <v>0</v>
      </c>
      <c r="E134" s="180">
        <v>0</v>
      </c>
      <c r="F134" s="180">
        <v>0</v>
      </c>
      <c r="G134" s="180">
        <v>0</v>
      </c>
      <c r="H134" s="180"/>
      <c r="I134" s="180">
        <v>0</v>
      </c>
      <c r="J134" s="180">
        <v>0</v>
      </c>
      <c r="K134" s="180">
        <v>2271499</v>
      </c>
      <c r="L134" s="180">
        <v>0</v>
      </c>
      <c r="M134" s="180">
        <v>10794211</v>
      </c>
      <c r="N134" s="180">
        <v>0</v>
      </c>
      <c r="O134" s="180">
        <v>40233898</v>
      </c>
      <c r="P134" s="180">
        <v>0</v>
      </c>
      <c r="Q134" s="180">
        <v>0</v>
      </c>
      <c r="R134" s="180">
        <v>0</v>
      </c>
      <c r="S134" s="180">
        <v>0</v>
      </c>
      <c r="T134" s="180">
        <v>0</v>
      </c>
      <c r="U134" s="180">
        <v>0</v>
      </c>
      <c r="V134" s="180">
        <v>0</v>
      </c>
      <c r="W134" s="180">
        <v>0</v>
      </c>
      <c r="X134" s="180">
        <v>50556106</v>
      </c>
      <c r="Y134" s="180">
        <v>379200000</v>
      </c>
      <c r="Z134" s="180">
        <v>3083690</v>
      </c>
      <c r="AA134" s="180">
        <v>0</v>
      </c>
      <c r="AB134" s="180">
        <v>0</v>
      </c>
      <c r="AC134" s="180"/>
      <c r="AD134" s="180">
        <v>0</v>
      </c>
      <c r="AE134" s="180">
        <v>0</v>
      </c>
      <c r="AF134" s="180">
        <v>0</v>
      </c>
      <c r="AG134" s="180">
        <v>0</v>
      </c>
      <c r="AH134" s="180">
        <v>0</v>
      </c>
      <c r="AI134" s="180">
        <v>0</v>
      </c>
      <c r="AJ134" s="180">
        <v>0</v>
      </c>
      <c r="AK134" s="180">
        <v>0</v>
      </c>
      <c r="AL134" s="180">
        <v>0</v>
      </c>
      <c r="AM134" s="180"/>
      <c r="AN134" s="180">
        <v>0</v>
      </c>
      <c r="AO134" s="180"/>
      <c r="AP134" s="180">
        <v>0</v>
      </c>
      <c r="AQ134" s="180">
        <v>89059</v>
      </c>
      <c r="AR134" s="180">
        <v>0</v>
      </c>
      <c r="AS134" s="180">
        <v>0</v>
      </c>
      <c r="AT134" s="180">
        <v>0</v>
      </c>
      <c r="AU134" s="180">
        <v>0</v>
      </c>
      <c r="AV134" s="180">
        <v>0</v>
      </c>
      <c r="AW134" s="180">
        <v>9429602</v>
      </c>
      <c r="AX134" s="180">
        <v>0</v>
      </c>
      <c r="AY134" s="180">
        <v>0</v>
      </c>
      <c r="AZ134" s="180">
        <v>0</v>
      </c>
      <c r="BA134" s="180">
        <v>0</v>
      </c>
      <c r="BB134" s="180">
        <v>0</v>
      </c>
      <c r="BC134" s="180">
        <v>0</v>
      </c>
      <c r="BD134" s="180">
        <v>0</v>
      </c>
      <c r="BE134" s="180">
        <v>2026437</v>
      </c>
      <c r="BF134" s="180">
        <v>0</v>
      </c>
      <c r="BG134" s="180">
        <v>0</v>
      </c>
      <c r="BH134" s="180">
        <v>0</v>
      </c>
      <c r="BI134" s="180">
        <v>0</v>
      </c>
      <c r="BJ134" s="180">
        <v>0</v>
      </c>
      <c r="BK134" s="180"/>
      <c r="BL134" s="180">
        <v>0</v>
      </c>
      <c r="BM134" s="180">
        <v>0</v>
      </c>
      <c r="BN134" s="180">
        <v>0</v>
      </c>
      <c r="BO134" s="180">
        <v>0</v>
      </c>
      <c r="BP134" s="180">
        <v>15284197</v>
      </c>
      <c r="BQ134" s="180">
        <v>0</v>
      </c>
      <c r="BR134" s="180"/>
      <c r="BS134" s="180">
        <v>0</v>
      </c>
      <c r="BT134" s="180"/>
      <c r="BU134" s="180">
        <v>0</v>
      </c>
      <c r="BV134" s="180">
        <v>0</v>
      </c>
      <c r="BW134" s="180">
        <v>0</v>
      </c>
      <c r="BX134" s="180">
        <v>1104846</v>
      </c>
      <c r="BY134" s="180">
        <v>0</v>
      </c>
      <c r="BZ134" s="180">
        <v>0</v>
      </c>
      <c r="CA134" s="180">
        <v>0</v>
      </c>
      <c r="CB134" s="180">
        <v>0</v>
      </c>
      <c r="CC134" s="180">
        <v>0</v>
      </c>
      <c r="CD134" s="180"/>
      <c r="CE134" s="180">
        <v>0</v>
      </c>
      <c r="CF134" s="180">
        <v>0</v>
      </c>
      <c r="CG134" s="180">
        <v>0</v>
      </c>
      <c r="CH134" s="180">
        <v>0</v>
      </c>
      <c r="CI134" s="180"/>
      <c r="CJ134" s="180"/>
      <c r="CK134" s="180"/>
      <c r="CL134" s="180"/>
      <c r="CM134" s="180"/>
      <c r="CN134" s="180"/>
      <c r="CO134" s="180"/>
      <c r="CP134" s="180"/>
      <c r="CQ134" s="180"/>
      <c r="CR134" s="180"/>
      <c r="CS134" s="180"/>
      <c r="CT134" s="180"/>
      <c r="CU134" s="180"/>
    </row>
    <row r="135" spans="1:99" x14ac:dyDescent="0.3">
      <c r="A135" s="155">
        <v>536</v>
      </c>
      <c r="B135" s="180" t="s">
        <v>190</v>
      </c>
      <c r="C135" s="180"/>
      <c r="D135" s="180">
        <v>73913</v>
      </c>
      <c r="E135" s="180">
        <v>353177</v>
      </c>
      <c r="F135" s="180">
        <v>57124</v>
      </c>
      <c r="G135" s="180">
        <v>46555</v>
      </c>
      <c r="H135" s="180"/>
      <c r="I135" s="180">
        <v>16995</v>
      </c>
      <c r="J135" s="180">
        <v>193599</v>
      </c>
      <c r="K135" s="180">
        <v>970111</v>
      </c>
      <c r="L135" s="180">
        <v>107230</v>
      </c>
      <c r="M135" s="180">
        <v>644993</v>
      </c>
      <c r="N135" s="180">
        <v>444878</v>
      </c>
      <c r="O135" s="180">
        <v>37439089</v>
      </c>
      <c r="P135" s="180">
        <v>0</v>
      </c>
      <c r="Q135" s="180">
        <v>29603</v>
      </c>
      <c r="R135" s="180">
        <v>268679</v>
      </c>
      <c r="S135" s="180">
        <v>5180</v>
      </c>
      <c r="T135" s="180">
        <v>287970</v>
      </c>
      <c r="U135" s="180">
        <v>203983</v>
      </c>
      <c r="V135" s="180">
        <v>103548</v>
      </c>
      <c r="W135" s="180">
        <v>100757</v>
      </c>
      <c r="X135" s="180">
        <v>883476</v>
      </c>
      <c r="Y135" s="180">
        <v>0</v>
      </c>
      <c r="Z135" s="180">
        <v>1286769</v>
      </c>
      <c r="AA135" s="180">
        <v>0</v>
      </c>
      <c r="AB135" s="180">
        <v>720394</v>
      </c>
      <c r="AC135" s="180"/>
      <c r="AD135" s="180">
        <v>10550</v>
      </c>
      <c r="AE135" s="180">
        <v>61050</v>
      </c>
      <c r="AF135" s="180">
        <v>1067406</v>
      </c>
      <c r="AG135" s="180">
        <v>458989</v>
      </c>
      <c r="AH135" s="180">
        <v>68516</v>
      </c>
      <c r="AI135" s="180">
        <v>122277</v>
      </c>
      <c r="AJ135" s="180">
        <v>909</v>
      </c>
      <c r="AK135" s="180">
        <v>124889</v>
      </c>
      <c r="AL135" s="180">
        <v>170721</v>
      </c>
      <c r="AM135" s="180"/>
      <c r="AN135" s="180">
        <v>0</v>
      </c>
      <c r="AO135" s="180"/>
      <c r="AP135" s="180">
        <v>0</v>
      </c>
      <c r="AQ135" s="180">
        <v>6597109</v>
      </c>
      <c r="AR135" s="180">
        <v>89652</v>
      </c>
      <c r="AS135" s="180">
        <v>292400</v>
      </c>
      <c r="AT135" s="180">
        <v>309055</v>
      </c>
      <c r="AU135" s="180">
        <v>74136</v>
      </c>
      <c r="AV135" s="570">
        <v>87879</v>
      </c>
      <c r="AW135" s="180">
        <v>2730805</v>
      </c>
      <c r="AX135" s="180">
        <v>36751</v>
      </c>
      <c r="AY135" s="180">
        <v>130028</v>
      </c>
      <c r="AZ135" s="180">
        <v>585594</v>
      </c>
      <c r="BA135" s="180">
        <v>83813</v>
      </c>
      <c r="BB135" s="180">
        <v>28236</v>
      </c>
      <c r="BC135" s="180">
        <v>199531</v>
      </c>
      <c r="BD135" s="180">
        <v>20379</v>
      </c>
      <c r="BE135" s="180">
        <v>298095</v>
      </c>
      <c r="BF135" s="180">
        <v>213400</v>
      </c>
      <c r="BG135" s="180">
        <v>13120</v>
      </c>
      <c r="BH135" s="180">
        <v>1014</v>
      </c>
      <c r="BI135" s="180">
        <v>265476</v>
      </c>
      <c r="BJ135" s="180">
        <v>0</v>
      </c>
      <c r="BK135" s="180"/>
      <c r="BL135" s="180">
        <v>46817</v>
      </c>
      <c r="BM135" s="180">
        <v>68105</v>
      </c>
      <c r="BN135" s="180">
        <v>2887846</v>
      </c>
      <c r="BO135" s="180">
        <v>410457</v>
      </c>
      <c r="BP135" s="180">
        <v>0</v>
      </c>
      <c r="BQ135" s="180">
        <v>50725</v>
      </c>
      <c r="BR135" s="180"/>
      <c r="BS135" s="180">
        <v>7508</v>
      </c>
      <c r="BT135" s="180"/>
      <c r="BU135" s="180">
        <v>242322</v>
      </c>
      <c r="BV135" s="180">
        <v>439068</v>
      </c>
      <c r="BW135" s="180">
        <v>93792</v>
      </c>
      <c r="BX135" s="180">
        <v>729978</v>
      </c>
      <c r="BY135" s="180">
        <v>1843072</v>
      </c>
      <c r="BZ135" s="180">
        <v>27641</v>
      </c>
      <c r="CA135" s="180">
        <v>188970</v>
      </c>
      <c r="CB135" s="180">
        <v>79066</v>
      </c>
      <c r="CC135" s="180">
        <v>203990</v>
      </c>
      <c r="CD135" s="180"/>
      <c r="CE135" s="180">
        <v>753101</v>
      </c>
      <c r="CF135" s="180">
        <v>0</v>
      </c>
      <c r="CG135" s="180">
        <v>134536</v>
      </c>
      <c r="CH135" s="180">
        <v>322135</v>
      </c>
      <c r="CI135" s="180"/>
      <c r="CJ135" s="180"/>
      <c r="CK135" s="180"/>
      <c r="CL135" s="180"/>
      <c r="CM135" s="180"/>
      <c r="CN135" s="180"/>
      <c r="CO135" s="180"/>
      <c r="CP135" s="180"/>
      <c r="CQ135" s="180"/>
      <c r="CR135" s="180"/>
      <c r="CS135" s="180"/>
      <c r="CT135" s="180"/>
      <c r="CU135" s="180"/>
    </row>
    <row r="136" spans="1:99" x14ac:dyDescent="0.3">
      <c r="A136" s="155">
        <v>537</v>
      </c>
      <c r="B136" s="180" t="s">
        <v>280</v>
      </c>
      <c r="C136" s="180"/>
      <c r="D136" s="180">
        <v>2</v>
      </c>
      <c r="E136" s="180">
        <v>0</v>
      </c>
      <c r="F136" s="180">
        <v>2</v>
      </c>
      <c r="G136" s="180">
        <v>1</v>
      </c>
      <c r="H136" s="180"/>
      <c r="I136" s="180">
        <v>2</v>
      </c>
      <c r="J136" s="180">
        <v>2</v>
      </c>
      <c r="K136" s="180">
        <v>1</v>
      </c>
      <c r="L136" s="180">
        <v>2</v>
      </c>
      <c r="M136" s="180">
        <v>2</v>
      </c>
      <c r="N136" s="180">
        <v>2</v>
      </c>
      <c r="O136" s="180">
        <v>1</v>
      </c>
      <c r="P136" s="180">
        <v>0</v>
      </c>
      <c r="Q136" s="180">
        <v>0</v>
      </c>
      <c r="R136" s="180">
        <v>0</v>
      </c>
      <c r="S136" s="180">
        <v>0</v>
      </c>
      <c r="T136" s="180">
        <v>2</v>
      </c>
      <c r="U136" s="180">
        <v>2</v>
      </c>
      <c r="V136" s="180">
        <v>2</v>
      </c>
      <c r="W136" s="180">
        <v>1</v>
      </c>
      <c r="X136" s="180">
        <v>2</v>
      </c>
      <c r="Y136" s="180">
        <v>1</v>
      </c>
      <c r="Z136" s="180">
        <v>2</v>
      </c>
      <c r="AA136" s="180">
        <v>1</v>
      </c>
      <c r="AB136" s="180">
        <v>0</v>
      </c>
      <c r="AC136" s="180"/>
      <c r="AD136" s="180">
        <v>1</v>
      </c>
      <c r="AE136" s="180">
        <v>2</v>
      </c>
      <c r="AF136" s="180">
        <v>1</v>
      </c>
      <c r="AG136" s="180">
        <v>2</v>
      </c>
      <c r="AH136" s="180">
        <v>2</v>
      </c>
      <c r="AI136" s="180">
        <v>2</v>
      </c>
      <c r="AJ136" s="180">
        <v>1</v>
      </c>
      <c r="AK136" s="180">
        <v>2</v>
      </c>
      <c r="AL136" s="180">
        <v>2</v>
      </c>
      <c r="AM136" s="180"/>
      <c r="AN136" s="180">
        <v>2</v>
      </c>
      <c r="AO136" s="180"/>
      <c r="AP136" s="180">
        <v>0</v>
      </c>
      <c r="AQ136" s="180">
        <v>1</v>
      </c>
      <c r="AR136" s="180">
        <v>0</v>
      </c>
      <c r="AS136" s="180">
        <v>2</v>
      </c>
      <c r="AT136" s="180">
        <v>1</v>
      </c>
      <c r="AU136" s="180">
        <v>2</v>
      </c>
      <c r="AV136" s="180">
        <v>0</v>
      </c>
      <c r="AW136" s="180">
        <v>2</v>
      </c>
      <c r="AX136" s="180">
        <v>1</v>
      </c>
      <c r="AY136" s="180">
        <v>0</v>
      </c>
      <c r="AZ136" s="180">
        <v>0</v>
      </c>
      <c r="BA136" s="180">
        <v>2</v>
      </c>
      <c r="BB136" s="180">
        <v>2</v>
      </c>
      <c r="BC136" s="180">
        <v>2</v>
      </c>
      <c r="BD136" s="180">
        <v>0</v>
      </c>
      <c r="BE136" s="180">
        <v>0</v>
      </c>
      <c r="BF136" s="180">
        <v>1</v>
      </c>
      <c r="BG136" s="180">
        <v>0</v>
      </c>
      <c r="BH136" s="180">
        <v>0</v>
      </c>
      <c r="BI136" s="180">
        <v>1</v>
      </c>
      <c r="BJ136" s="180">
        <v>0</v>
      </c>
      <c r="BK136" s="180"/>
      <c r="BL136" s="180">
        <v>2</v>
      </c>
      <c r="BM136" s="180">
        <v>1</v>
      </c>
      <c r="BN136" s="180">
        <v>0</v>
      </c>
      <c r="BO136" s="180">
        <v>2</v>
      </c>
      <c r="BP136" s="180">
        <v>1</v>
      </c>
      <c r="BQ136" s="180">
        <v>0</v>
      </c>
      <c r="BR136" s="180"/>
      <c r="BS136" s="180">
        <v>2</v>
      </c>
      <c r="BT136" s="180"/>
      <c r="BU136" s="180">
        <v>2</v>
      </c>
      <c r="BV136" s="180">
        <v>1</v>
      </c>
      <c r="BW136" s="180">
        <v>2</v>
      </c>
      <c r="BX136" s="180">
        <v>2</v>
      </c>
      <c r="BY136" s="180">
        <v>1</v>
      </c>
      <c r="BZ136" s="180">
        <v>2</v>
      </c>
      <c r="CA136" s="180">
        <v>2</v>
      </c>
      <c r="CB136" s="180">
        <v>2</v>
      </c>
      <c r="CC136" s="180">
        <v>2</v>
      </c>
      <c r="CD136" s="180"/>
      <c r="CE136" s="180">
        <v>1</v>
      </c>
      <c r="CF136" s="180">
        <v>2</v>
      </c>
      <c r="CG136" s="180">
        <v>2</v>
      </c>
      <c r="CH136" s="180">
        <v>2</v>
      </c>
      <c r="CI136" s="180"/>
      <c r="CJ136" s="180"/>
      <c r="CK136" s="180"/>
      <c r="CL136" s="180"/>
      <c r="CM136" s="180"/>
      <c r="CN136" s="180"/>
      <c r="CO136" s="180"/>
      <c r="CP136" s="180"/>
      <c r="CQ136" s="180"/>
      <c r="CR136" s="180"/>
      <c r="CS136" s="180"/>
      <c r="CT136" s="180"/>
      <c r="CU136" s="180"/>
    </row>
    <row r="137" spans="1:99" x14ac:dyDescent="0.3">
      <c r="A137" s="155">
        <v>538</v>
      </c>
      <c r="B137" s="180" t="s">
        <v>279</v>
      </c>
      <c r="C137" s="180"/>
      <c r="D137" s="180">
        <v>2</v>
      </c>
      <c r="E137" s="180">
        <v>0</v>
      </c>
      <c r="F137" s="180">
        <v>2</v>
      </c>
      <c r="G137" s="180">
        <v>1</v>
      </c>
      <c r="H137" s="180"/>
      <c r="I137" s="180">
        <v>2</v>
      </c>
      <c r="J137" s="180">
        <v>2</v>
      </c>
      <c r="K137" s="180">
        <v>1</v>
      </c>
      <c r="L137" s="180">
        <v>2</v>
      </c>
      <c r="M137" s="180">
        <v>2</v>
      </c>
      <c r="N137" s="180">
        <v>2</v>
      </c>
      <c r="O137" s="180">
        <v>1</v>
      </c>
      <c r="P137" s="180">
        <v>0</v>
      </c>
      <c r="Q137" s="180">
        <v>0</v>
      </c>
      <c r="R137" s="180">
        <v>0</v>
      </c>
      <c r="S137" s="180">
        <v>0</v>
      </c>
      <c r="T137" s="180">
        <v>2</v>
      </c>
      <c r="U137" s="180">
        <v>2</v>
      </c>
      <c r="V137" s="180">
        <v>2</v>
      </c>
      <c r="W137" s="180">
        <v>2</v>
      </c>
      <c r="X137" s="180">
        <v>2</v>
      </c>
      <c r="Y137" s="180">
        <v>1</v>
      </c>
      <c r="Z137" s="180">
        <v>2</v>
      </c>
      <c r="AA137" s="180">
        <v>2</v>
      </c>
      <c r="AB137" s="180">
        <v>0</v>
      </c>
      <c r="AC137" s="180"/>
      <c r="AD137" s="180">
        <v>1</v>
      </c>
      <c r="AE137" s="180">
        <v>2</v>
      </c>
      <c r="AF137" s="180">
        <v>1</v>
      </c>
      <c r="AG137" s="180">
        <v>2</v>
      </c>
      <c r="AH137" s="180">
        <v>2</v>
      </c>
      <c r="AI137" s="180">
        <v>2</v>
      </c>
      <c r="AJ137" s="180">
        <v>1</v>
      </c>
      <c r="AK137" s="180">
        <v>2</v>
      </c>
      <c r="AL137" s="180">
        <v>2</v>
      </c>
      <c r="AM137" s="180"/>
      <c r="AN137" s="180">
        <v>2</v>
      </c>
      <c r="AO137" s="180"/>
      <c r="AP137" s="180">
        <v>0</v>
      </c>
      <c r="AQ137" s="180">
        <v>1</v>
      </c>
      <c r="AR137" s="180">
        <v>0</v>
      </c>
      <c r="AS137" s="180">
        <v>2</v>
      </c>
      <c r="AT137" s="180">
        <v>1</v>
      </c>
      <c r="AU137" s="180">
        <v>1</v>
      </c>
      <c r="AV137" s="180">
        <v>0</v>
      </c>
      <c r="AW137" s="180">
        <v>2</v>
      </c>
      <c r="AX137" s="180">
        <v>2</v>
      </c>
      <c r="AY137" s="180">
        <v>0</v>
      </c>
      <c r="AZ137" s="180">
        <v>0</v>
      </c>
      <c r="BA137" s="180">
        <v>1</v>
      </c>
      <c r="BB137" s="180">
        <v>2</v>
      </c>
      <c r="BC137" s="180">
        <v>1</v>
      </c>
      <c r="BD137" s="180">
        <v>0</v>
      </c>
      <c r="BE137" s="180">
        <v>0</v>
      </c>
      <c r="BF137" s="180">
        <v>2</v>
      </c>
      <c r="BG137" s="180">
        <v>0</v>
      </c>
      <c r="BH137" s="180">
        <v>0</v>
      </c>
      <c r="BI137" s="180">
        <v>2</v>
      </c>
      <c r="BJ137" s="180">
        <v>0</v>
      </c>
      <c r="BK137" s="180"/>
      <c r="BL137" s="180">
        <v>2</v>
      </c>
      <c r="BM137" s="180">
        <v>1</v>
      </c>
      <c r="BN137" s="180">
        <v>0</v>
      </c>
      <c r="BO137" s="180">
        <v>2</v>
      </c>
      <c r="BP137" s="180">
        <v>1</v>
      </c>
      <c r="BQ137" s="180">
        <v>0</v>
      </c>
      <c r="BR137" s="180"/>
      <c r="BS137" s="180">
        <v>2</v>
      </c>
      <c r="BT137" s="180"/>
      <c r="BU137" s="180">
        <v>2</v>
      </c>
      <c r="BV137" s="180">
        <v>2</v>
      </c>
      <c r="BW137" s="180">
        <v>2</v>
      </c>
      <c r="BX137" s="180">
        <v>2</v>
      </c>
      <c r="BY137" s="180">
        <v>1</v>
      </c>
      <c r="BZ137" s="180">
        <v>2</v>
      </c>
      <c r="CA137" s="180">
        <v>2</v>
      </c>
      <c r="CB137" s="180">
        <v>2</v>
      </c>
      <c r="CC137" s="180">
        <v>2</v>
      </c>
      <c r="CD137" s="180"/>
      <c r="CE137" s="180">
        <v>1</v>
      </c>
      <c r="CF137" s="180">
        <v>2</v>
      </c>
      <c r="CG137" s="180">
        <v>2</v>
      </c>
      <c r="CH137" s="180">
        <v>2</v>
      </c>
      <c r="CI137" s="180"/>
      <c r="CJ137" s="180"/>
      <c r="CK137" s="180"/>
      <c r="CL137" s="180"/>
      <c r="CM137" s="180"/>
      <c r="CN137" s="180"/>
      <c r="CO137" s="180"/>
      <c r="CP137" s="180"/>
      <c r="CQ137" s="180"/>
      <c r="CR137" s="180"/>
      <c r="CS137" s="180"/>
      <c r="CT137" s="180"/>
      <c r="CU137" s="180"/>
    </row>
    <row r="138" spans="1:99" x14ac:dyDescent="0.3">
      <c r="A138" s="155">
        <v>540</v>
      </c>
      <c r="B138" s="180" t="s">
        <v>253</v>
      </c>
      <c r="C138" s="180"/>
      <c r="D138" s="180">
        <v>0</v>
      </c>
      <c r="E138" s="180">
        <v>0</v>
      </c>
      <c r="F138" s="180">
        <v>0</v>
      </c>
      <c r="G138" s="180">
        <v>107363</v>
      </c>
      <c r="H138" s="180"/>
      <c r="I138" s="180">
        <v>0</v>
      </c>
      <c r="J138" s="180">
        <v>0</v>
      </c>
      <c r="K138" s="180">
        <v>0</v>
      </c>
      <c r="L138" s="180">
        <v>0</v>
      </c>
      <c r="M138" s="180">
        <v>2484459</v>
      </c>
      <c r="N138" s="180">
        <v>0</v>
      </c>
      <c r="O138" s="180">
        <v>9747385</v>
      </c>
      <c r="P138" s="180">
        <v>0</v>
      </c>
      <c r="Q138" s="180">
        <v>0</v>
      </c>
      <c r="R138" s="180">
        <v>0</v>
      </c>
      <c r="S138" s="180">
        <v>78658</v>
      </c>
      <c r="T138" s="180">
        <v>0</v>
      </c>
      <c r="U138" s="180">
        <v>17541</v>
      </c>
      <c r="V138" s="180">
        <v>0</v>
      </c>
      <c r="W138" s="180">
        <v>354918</v>
      </c>
      <c r="X138" s="180">
        <v>2469359</v>
      </c>
      <c r="Y138" s="180">
        <v>0</v>
      </c>
      <c r="Z138" s="180">
        <v>0</v>
      </c>
      <c r="AA138" s="180">
        <v>0</v>
      </c>
      <c r="AB138" s="180">
        <v>0</v>
      </c>
      <c r="AC138" s="180"/>
      <c r="AD138" s="180">
        <v>302114</v>
      </c>
      <c r="AE138" s="180">
        <v>33339</v>
      </c>
      <c r="AF138" s="180">
        <v>6211318</v>
      </c>
      <c r="AG138" s="180">
        <v>845050</v>
      </c>
      <c r="AH138" s="180">
        <v>0</v>
      </c>
      <c r="AI138" s="180">
        <v>0</v>
      </c>
      <c r="AJ138" s="180">
        <v>222050</v>
      </c>
      <c r="AK138" s="180">
        <v>0</v>
      </c>
      <c r="AL138" s="180">
        <v>0</v>
      </c>
      <c r="AM138" s="180"/>
      <c r="AN138" s="180">
        <v>0</v>
      </c>
      <c r="AO138" s="180"/>
      <c r="AP138" s="180">
        <v>0</v>
      </c>
      <c r="AQ138" s="180">
        <v>0</v>
      </c>
      <c r="AR138" s="180">
        <v>0</v>
      </c>
      <c r="AS138" s="180">
        <v>0</v>
      </c>
      <c r="AT138" s="180">
        <v>452107</v>
      </c>
      <c r="AU138" s="180">
        <v>145871</v>
      </c>
      <c r="AV138" s="570">
        <v>0</v>
      </c>
      <c r="AW138" s="180">
        <v>0</v>
      </c>
      <c r="AX138" s="180">
        <v>0</v>
      </c>
      <c r="AY138" s="180">
        <v>0</v>
      </c>
      <c r="AZ138" s="180">
        <v>312716</v>
      </c>
      <c r="BA138" s="180">
        <v>0</v>
      </c>
      <c r="BB138" s="180">
        <v>0</v>
      </c>
      <c r="BC138" s="180">
        <v>474213</v>
      </c>
      <c r="BD138" s="180">
        <v>0</v>
      </c>
      <c r="BE138" s="180">
        <v>215400</v>
      </c>
      <c r="BF138" s="180">
        <v>0</v>
      </c>
      <c r="BG138" s="180">
        <v>0</v>
      </c>
      <c r="BH138" s="180">
        <v>0</v>
      </c>
      <c r="BI138" s="180">
        <v>0</v>
      </c>
      <c r="BJ138" s="180">
        <v>0</v>
      </c>
      <c r="BK138" s="180"/>
      <c r="BL138" s="180">
        <v>375018</v>
      </c>
      <c r="BM138" s="180">
        <v>0</v>
      </c>
      <c r="BN138" s="180">
        <v>0</v>
      </c>
      <c r="BO138" s="180">
        <v>0</v>
      </c>
      <c r="BP138" s="180">
        <v>13836870</v>
      </c>
      <c r="BQ138" s="180">
        <v>0</v>
      </c>
      <c r="BR138" s="180"/>
      <c r="BS138" s="180">
        <v>0</v>
      </c>
      <c r="BT138" s="180"/>
      <c r="BU138" s="180">
        <v>0</v>
      </c>
      <c r="BV138" s="180">
        <v>1160000</v>
      </c>
      <c r="BW138" s="180">
        <v>0</v>
      </c>
      <c r="BX138" s="180">
        <v>0</v>
      </c>
      <c r="BY138" s="180">
        <v>264728</v>
      </c>
      <c r="BZ138" s="180">
        <v>0</v>
      </c>
      <c r="CA138" s="180">
        <v>1914733</v>
      </c>
      <c r="CB138" s="180">
        <v>434700</v>
      </c>
      <c r="CC138" s="180">
        <v>0</v>
      </c>
      <c r="CD138" s="180"/>
      <c r="CE138" s="180">
        <v>0</v>
      </c>
      <c r="CF138" s="180">
        <v>0</v>
      </c>
      <c r="CG138" s="180">
        <v>102560</v>
      </c>
      <c r="CH138" s="180">
        <v>0</v>
      </c>
      <c r="CI138" s="180"/>
      <c r="CJ138" s="180"/>
      <c r="CK138" s="180"/>
      <c r="CL138" s="180"/>
      <c r="CM138" s="180"/>
      <c r="CN138" s="180"/>
      <c r="CO138" s="180"/>
      <c r="CP138" s="180"/>
      <c r="CQ138" s="180"/>
      <c r="CR138" s="180"/>
      <c r="CS138" s="180"/>
      <c r="CT138" s="180"/>
      <c r="CU138" s="180"/>
    </row>
    <row r="139" spans="1:99" x14ac:dyDescent="0.3">
      <c r="A139" s="155">
        <v>541</v>
      </c>
      <c r="B139" s="180" t="s">
        <v>308</v>
      </c>
      <c r="C139" s="180"/>
      <c r="D139" s="180">
        <v>82024</v>
      </c>
      <c r="E139" s="180">
        <v>0</v>
      </c>
      <c r="F139" s="180">
        <v>122019</v>
      </c>
      <c r="G139" s="180">
        <v>-33146</v>
      </c>
      <c r="H139" s="180"/>
      <c r="I139" s="180">
        <v>192282</v>
      </c>
      <c r="J139" s="180">
        <v>0</v>
      </c>
      <c r="K139" s="180">
        <v>1494904</v>
      </c>
      <c r="L139" s="180">
        <v>0</v>
      </c>
      <c r="M139" s="180">
        <v>0</v>
      </c>
      <c r="N139" s="180">
        <v>0</v>
      </c>
      <c r="O139" s="180">
        <v>18152256</v>
      </c>
      <c r="P139" s="180">
        <v>0</v>
      </c>
      <c r="Q139" s="180">
        <v>0</v>
      </c>
      <c r="R139" s="180">
        <v>0</v>
      </c>
      <c r="S139" s="180">
        <v>0</v>
      </c>
      <c r="T139" s="180">
        <v>0</v>
      </c>
      <c r="U139" s="180">
        <v>0</v>
      </c>
      <c r="V139" s="180">
        <v>-22717</v>
      </c>
      <c r="W139" s="180">
        <v>103971</v>
      </c>
      <c r="X139" s="180">
        <v>0</v>
      </c>
      <c r="Y139" s="180">
        <v>331785000</v>
      </c>
      <c r="Z139" s="180">
        <v>116444</v>
      </c>
      <c r="AA139" s="180">
        <v>29648</v>
      </c>
      <c r="AB139" s="180">
        <v>0</v>
      </c>
      <c r="AC139" s="180"/>
      <c r="AD139" s="180">
        <v>647752</v>
      </c>
      <c r="AE139" s="180">
        <v>236766</v>
      </c>
      <c r="AF139" s="180">
        <v>2205198</v>
      </c>
      <c r="AG139" s="180">
        <v>0</v>
      </c>
      <c r="AH139" s="180">
        <v>-413385</v>
      </c>
      <c r="AI139" s="180">
        <v>-1246020</v>
      </c>
      <c r="AJ139" s="180">
        <v>258455</v>
      </c>
      <c r="AK139" s="180">
        <v>54364</v>
      </c>
      <c r="AL139" s="180">
        <v>127382</v>
      </c>
      <c r="AM139" s="180"/>
      <c r="AN139" s="180">
        <v>205834</v>
      </c>
      <c r="AO139" s="180"/>
      <c r="AP139" s="180">
        <v>0</v>
      </c>
      <c r="AQ139" s="180">
        <v>5497859</v>
      </c>
      <c r="AR139" s="180">
        <v>0</v>
      </c>
      <c r="AS139" s="180">
        <v>-9173</v>
      </c>
      <c r="AT139" s="180">
        <v>1856182</v>
      </c>
      <c r="AU139" s="180">
        <v>184963</v>
      </c>
      <c r="AV139" s="570">
        <v>0</v>
      </c>
      <c r="AW139" s="180">
        <v>0</v>
      </c>
      <c r="AX139" s="180">
        <v>7758</v>
      </c>
      <c r="AY139" s="180">
        <v>0</v>
      </c>
      <c r="AZ139" s="180">
        <v>0</v>
      </c>
      <c r="BA139" s="180">
        <v>-29897</v>
      </c>
      <c r="BB139" s="180">
        <v>27810</v>
      </c>
      <c r="BC139" s="180">
        <v>-329896</v>
      </c>
      <c r="BD139" s="180">
        <v>0</v>
      </c>
      <c r="BE139" s="180">
        <v>0</v>
      </c>
      <c r="BF139" s="180">
        <v>274263</v>
      </c>
      <c r="BG139" s="180">
        <v>0</v>
      </c>
      <c r="BH139" s="180">
        <v>0</v>
      </c>
      <c r="BI139" s="180">
        <v>-59424</v>
      </c>
      <c r="BJ139" s="180">
        <v>0</v>
      </c>
      <c r="BK139" s="180"/>
      <c r="BL139" s="180">
        <v>65377</v>
      </c>
      <c r="BM139" s="180">
        <v>31808</v>
      </c>
      <c r="BN139" s="180">
        <v>0</v>
      </c>
      <c r="BO139" s="180">
        <v>590141</v>
      </c>
      <c r="BP139" s="180">
        <v>31233158</v>
      </c>
      <c r="BQ139" s="180">
        <v>0</v>
      </c>
      <c r="BR139" s="180"/>
      <c r="BS139" s="180">
        <v>63147</v>
      </c>
      <c r="BT139" s="180"/>
      <c r="BU139" s="180">
        <v>0</v>
      </c>
      <c r="BV139" s="180">
        <v>620736</v>
      </c>
      <c r="BW139" s="180">
        <v>-171445</v>
      </c>
      <c r="BX139" s="180">
        <v>1786574</v>
      </c>
      <c r="BY139" s="180">
        <v>383470</v>
      </c>
      <c r="BZ139" s="180">
        <v>12627</v>
      </c>
      <c r="CA139" s="180">
        <v>597090</v>
      </c>
      <c r="CB139" s="180">
        <v>0</v>
      </c>
      <c r="CC139" s="180">
        <v>123106</v>
      </c>
      <c r="CD139" s="180"/>
      <c r="CE139" s="180">
        <v>1214217</v>
      </c>
      <c r="CF139" s="180">
        <v>0</v>
      </c>
      <c r="CG139" s="180">
        <v>102531</v>
      </c>
      <c r="CH139" s="180">
        <v>0</v>
      </c>
      <c r="CI139" s="180"/>
      <c r="CJ139" s="180"/>
      <c r="CK139" s="180"/>
      <c r="CL139" s="180"/>
      <c r="CM139" s="180"/>
      <c r="CN139" s="180"/>
      <c r="CO139" s="180"/>
      <c r="CP139" s="180"/>
      <c r="CQ139" s="180"/>
      <c r="CR139" s="180"/>
      <c r="CS139" s="180"/>
      <c r="CT139" s="180"/>
      <c r="CU139" s="180"/>
    </row>
    <row r="140" spans="1:99" x14ac:dyDescent="0.3">
      <c r="A140" s="155">
        <v>542</v>
      </c>
      <c r="B140" s="180" t="s">
        <v>889</v>
      </c>
      <c r="C140" s="180"/>
      <c r="D140" s="180">
        <v>0</v>
      </c>
      <c r="E140" s="180">
        <v>0</v>
      </c>
      <c r="F140" s="180">
        <v>0</v>
      </c>
      <c r="G140" s="180">
        <v>19623</v>
      </c>
      <c r="H140" s="180"/>
      <c r="I140" s="180">
        <v>0</v>
      </c>
      <c r="J140" s="180">
        <v>0</v>
      </c>
      <c r="K140" s="180">
        <v>258957</v>
      </c>
      <c r="L140" s="180">
        <v>0</v>
      </c>
      <c r="M140" s="180">
        <v>0</v>
      </c>
      <c r="N140" s="180">
        <v>0</v>
      </c>
      <c r="O140" s="180">
        <v>10366119</v>
      </c>
      <c r="P140" s="180">
        <v>0</v>
      </c>
      <c r="Q140" s="180">
        <v>0</v>
      </c>
      <c r="R140" s="180">
        <v>0</v>
      </c>
      <c r="S140" s="180">
        <v>0</v>
      </c>
      <c r="T140" s="180">
        <v>0</v>
      </c>
      <c r="U140" s="180">
        <v>0</v>
      </c>
      <c r="V140" s="180">
        <v>0</v>
      </c>
      <c r="W140" s="180">
        <v>137365</v>
      </c>
      <c r="X140" s="180">
        <v>0</v>
      </c>
      <c r="Y140" s="180">
        <v>23001000</v>
      </c>
      <c r="Z140" s="180">
        <v>0</v>
      </c>
      <c r="AA140" s="180">
        <v>0</v>
      </c>
      <c r="AB140" s="180">
        <v>0</v>
      </c>
      <c r="AC140" s="180"/>
      <c r="AD140" s="180">
        <v>369735</v>
      </c>
      <c r="AE140" s="180">
        <v>0</v>
      </c>
      <c r="AF140" s="180">
        <v>0</v>
      </c>
      <c r="AG140" s="180">
        <v>0</v>
      </c>
      <c r="AH140" s="180">
        <v>0</v>
      </c>
      <c r="AI140" s="180">
        <v>0</v>
      </c>
      <c r="AJ140" s="180">
        <v>155000</v>
      </c>
      <c r="AK140" s="180">
        <v>0</v>
      </c>
      <c r="AL140" s="180">
        <v>0</v>
      </c>
      <c r="AM140" s="180"/>
      <c r="AN140" s="180">
        <v>0</v>
      </c>
      <c r="AO140" s="180"/>
      <c r="AP140" s="180">
        <v>0</v>
      </c>
      <c r="AQ140" s="180">
        <v>4501225</v>
      </c>
      <c r="AR140" s="180">
        <v>0</v>
      </c>
      <c r="AS140" s="180">
        <v>0</v>
      </c>
      <c r="AT140" s="180">
        <v>576627</v>
      </c>
      <c r="AU140" s="180">
        <v>0</v>
      </c>
      <c r="AV140" s="180">
        <v>0</v>
      </c>
      <c r="AW140" s="180">
        <v>0</v>
      </c>
      <c r="AX140" s="180">
        <v>0</v>
      </c>
      <c r="AY140" s="180">
        <v>0</v>
      </c>
      <c r="AZ140" s="180">
        <v>0</v>
      </c>
      <c r="BA140" s="180">
        <v>0</v>
      </c>
      <c r="BB140" s="180">
        <v>0</v>
      </c>
      <c r="BC140" s="180">
        <v>66725</v>
      </c>
      <c r="BD140" s="180">
        <v>0</v>
      </c>
      <c r="BE140" s="180">
        <v>0</v>
      </c>
      <c r="BF140" s="180">
        <v>0</v>
      </c>
      <c r="BG140" s="180">
        <v>0</v>
      </c>
      <c r="BH140" s="180">
        <v>0</v>
      </c>
      <c r="BI140" s="180">
        <v>0</v>
      </c>
      <c r="BJ140" s="180">
        <v>0</v>
      </c>
      <c r="BK140" s="180"/>
      <c r="BL140" s="180">
        <v>0</v>
      </c>
      <c r="BM140" s="180">
        <v>0</v>
      </c>
      <c r="BN140" s="180">
        <v>0</v>
      </c>
      <c r="BO140" s="180">
        <v>0</v>
      </c>
      <c r="BP140" s="180">
        <v>0</v>
      </c>
      <c r="BQ140" s="180">
        <v>0</v>
      </c>
      <c r="BR140" s="180"/>
      <c r="BS140" s="180">
        <v>0</v>
      </c>
      <c r="BT140" s="180"/>
      <c r="BU140" s="180">
        <v>0</v>
      </c>
      <c r="BV140" s="180">
        <v>500000</v>
      </c>
      <c r="BW140" s="180">
        <v>0</v>
      </c>
      <c r="BX140" s="180">
        <v>0</v>
      </c>
      <c r="BY140" s="180">
        <v>0</v>
      </c>
      <c r="BZ140" s="180">
        <v>21200</v>
      </c>
      <c r="CA140" s="180">
        <v>0</v>
      </c>
      <c r="CB140" s="180">
        <v>542550</v>
      </c>
      <c r="CC140" s="180">
        <v>0</v>
      </c>
      <c r="CD140" s="180"/>
      <c r="CE140" s="180">
        <v>0</v>
      </c>
      <c r="CF140" s="180">
        <v>0</v>
      </c>
      <c r="CG140" s="180">
        <v>0</v>
      </c>
      <c r="CH140" s="180">
        <v>0</v>
      </c>
      <c r="CI140" s="180"/>
      <c r="CJ140" s="180"/>
      <c r="CK140" s="180"/>
      <c r="CL140" s="180"/>
      <c r="CM140" s="180"/>
      <c r="CN140" s="180"/>
      <c r="CO140" s="180"/>
      <c r="CP140" s="180"/>
      <c r="CQ140" s="180"/>
      <c r="CR140" s="180"/>
      <c r="CS140" s="180"/>
      <c r="CT140" s="180"/>
      <c r="CU140" s="180"/>
    </row>
    <row r="141" spans="1:99" x14ac:dyDescent="0.3">
      <c r="A141" s="155">
        <v>544</v>
      </c>
      <c r="B141" s="180" t="s">
        <v>52</v>
      </c>
      <c r="C141" s="180"/>
      <c r="D141" s="180">
        <v>0</v>
      </c>
      <c r="E141" s="180">
        <v>0</v>
      </c>
      <c r="F141" s="180">
        <v>0</v>
      </c>
      <c r="G141" s="180">
        <v>0</v>
      </c>
      <c r="H141" s="180"/>
      <c r="I141" s="180">
        <v>0</v>
      </c>
      <c r="J141" s="180">
        <v>0</v>
      </c>
      <c r="K141" s="180">
        <v>0</v>
      </c>
      <c r="L141" s="180">
        <v>0</v>
      </c>
      <c r="M141" s="180">
        <v>0</v>
      </c>
      <c r="N141" s="180">
        <v>0</v>
      </c>
      <c r="O141" s="180">
        <v>0</v>
      </c>
      <c r="P141" s="180">
        <v>0</v>
      </c>
      <c r="Q141" s="180">
        <v>0</v>
      </c>
      <c r="R141" s="180">
        <v>0</v>
      </c>
      <c r="S141" s="180">
        <v>0</v>
      </c>
      <c r="T141" s="180">
        <v>0</v>
      </c>
      <c r="U141" s="180">
        <v>0</v>
      </c>
      <c r="V141" s="180">
        <v>0</v>
      </c>
      <c r="W141" s="180">
        <v>0</v>
      </c>
      <c r="X141" s="180">
        <v>0.8</v>
      </c>
      <c r="Y141" s="180">
        <v>0</v>
      </c>
      <c r="Z141" s="180">
        <v>0</v>
      </c>
      <c r="AA141" s="180">
        <v>0</v>
      </c>
      <c r="AB141" s="180">
        <v>0</v>
      </c>
      <c r="AC141" s="180"/>
      <c r="AD141" s="180">
        <v>0</v>
      </c>
      <c r="AE141" s="180">
        <v>0</v>
      </c>
      <c r="AF141" s="180">
        <v>0</v>
      </c>
      <c r="AG141" s="180">
        <v>0</v>
      </c>
      <c r="AH141" s="180">
        <v>0</v>
      </c>
      <c r="AI141" s="180">
        <v>0</v>
      </c>
      <c r="AJ141" s="180">
        <v>0</v>
      </c>
      <c r="AK141" s="180">
        <v>0</v>
      </c>
      <c r="AL141" s="180">
        <v>0</v>
      </c>
      <c r="AM141" s="180"/>
      <c r="AN141" s="180">
        <v>0</v>
      </c>
      <c r="AO141" s="180"/>
      <c r="AP141" s="180">
        <v>0</v>
      </c>
      <c r="AQ141" s="180">
        <v>0</v>
      </c>
      <c r="AR141" s="180">
        <v>0.19</v>
      </c>
      <c r="AS141" s="180">
        <v>0</v>
      </c>
      <c r="AT141" s="180">
        <v>0</v>
      </c>
      <c r="AU141" s="180">
        <v>0</v>
      </c>
      <c r="AV141" s="180">
        <v>0</v>
      </c>
      <c r="AW141" s="180">
        <v>0.01</v>
      </c>
      <c r="AX141" s="180">
        <v>0</v>
      </c>
      <c r="AY141" s="180">
        <v>0</v>
      </c>
      <c r="AZ141" s="180">
        <v>0</v>
      </c>
      <c r="BA141" s="180">
        <v>0</v>
      </c>
      <c r="BB141" s="180">
        <v>0</v>
      </c>
      <c r="BC141" s="180">
        <v>0</v>
      </c>
      <c r="BD141" s="180">
        <v>0</v>
      </c>
      <c r="BE141" s="180">
        <v>0</v>
      </c>
      <c r="BF141" s="180">
        <v>0</v>
      </c>
      <c r="BG141" s="180">
        <v>0</v>
      </c>
      <c r="BH141" s="180">
        <v>0</v>
      </c>
      <c r="BI141" s="180">
        <v>0</v>
      </c>
      <c r="BJ141" s="180">
        <v>0</v>
      </c>
      <c r="BK141" s="180"/>
      <c r="BL141" s="180">
        <v>0</v>
      </c>
      <c r="BM141" s="180">
        <v>0</v>
      </c>
      <c r="BN141" s="180">
        <v>0</v>
      </c>
      <c r="BO141" s="180">
        <v>0</v>
      </c>
      <c r="BP141" s="180">
        <v>0</v>
      </c>
      <c r="BQ141" s="180">
        <v>0</v>
      </c>
      <c r="BR141" s="180"/>
      <c r="BS141" s="180">
        <v>0</v>
      </c>
      <c r="BT141" s="180"/>
      <c r="BU141" s="180">
        <v>0</v>
      </c>
      <c r="BV141" s="180">
        <v>0</v>
      </c>
      <c r="BW141" s="180">
        <v>0</v>
      </c>
      <c r="BX141" s="180">
        <v>0.01</v>
      </c>
      <c r="BY141" s="180">
        <v>0</v>
      </c>
      <c r="BZ141" s="180">
        <v>0</v>
      </c>
      <c r="CA141" s="180">
        <v>0</v>
      </c>
      <c r="CB141" s="180">
        <v>0</v>
      </c>
      <c r="CC141" s="180">
        <v>0</v>
      </c>
      <c r="CD141" s="180"/>
      <c r="CE141" s="180">
        <v>0</v>
      </c>
      <c r="CF141" s="180">
        <v>0.01</v>
      </c>
      <c r="CG141" s="180">
        <v>0</v>
      </c>
      <c r="CH141" s="180">
        <v>0</v>
      </c>
      <c r="CI141" s="180"/>
      <c r="CJ141" s="180"/>
      <c r="CK141" s="180"/>
      <c r="CL141" s="180"/>
      <c r="CM141" s="180"/>
      <c r="CN141" s="180"/>
      <c r="CO141" s="180"/>
      <c r="CP141" s="180"/>
      <c r="CQ141" s="180"/>
      <c r="CR141" s="180"/>
      <c r="CS141" s="180"/>
      <c r="CT141" s="180"/>
      <c r="CU141" s="180"/>
    </row>
    <row r="142" spans="1:99" s="565" customFormat="1" x14ac:dyDescent="0.3">
      <c r="A142" s="564">
        <v>545</v>
      </c>
      <c r="B142" s="565" t="s">
        <v>53</v>
      </c>
      <c r="D142" s="565">
        <v>0</v>
      </c>
      <c r="E142" s="565">
        <v>0</v>
      </c>
      <c r="F142" s="565">
        <v>0</v>
      </c>
      <c r="G142" s="565">
        <v>0</v>
      </c>
      <c r="I142" s="565">
        <v>0</v>
      </c>
      <c r="J142" s="565">
        <v>0</v>
      </c>
      <c r="K142" s="565">
        <v>0</v>
      </c>
      <c r="L142" s="565">
        <v>0</v>
      </c>
      <c r="M142" s="565">
        <v>0</v>
      </c>
      <c r="N142" s="565">
        <v>0</v>
      </c>
      <c r="O142" s="565">
        <v>0</v>
      </c>
      <c r="P142" s="565">
        <v>0</v>
      </c>
      <c r="Q142" s="565">
        <v>0</v>
      </c>
      <c r="R142" s="565">
        <v>0</v>
      </c>
      <c r="S142" s="565">
        <v>0</v>
      </c>
      <c r="T142" s="565">
        <v>0</v>
      </c>
      <c r="U142" s="565">
        <v>0</v>
      </c>
      <c r="V142" s="565">
        <v>0</v>
      </c>
      <c r="W142" s="565">
        <v>0</v>
      </c>
      <c r="X142" s="565">
        <v>5</v>
      </c>
      <c r="Y142" s="565">
        <v>0</v>
      </c>
      <c r="Z142" s="565">
        <v>0</v>
      </c>
      <c r="AA142" s="565">
        <v>-0.03</v>
      </c>
      <c r="AB142" s="565">
        <v>0</v>
      </c>
      <c r="AD142" s="565">
        <v>0</v>
      </c>
      <c r="AE142" s="565">
        <v>0</v>
      </c>
      <c r="AF142" s="565">
        <v>0</v>
      </c>
      <c r="AG142" s="565">
        <v>0</v>
      </c>
      <c r="AH142" s="565">
        <v>0</v>
      </c>
      <c r="AI142" s="565">
        <v>0</v>
      </c>
      <c r="AJ142" s="565">
        <v>0</v>
      </c>
      <c r="AK142" s="565">
        <v>0</v>
      </c>
      <c r="AL142" s="565">
        <v>0</v>
      </c>
      <c r="AN142" s="565">
        <v>0</v>
      </c>
      <c r="AP142" s="565">
        <v>0</v>
      </c>
      <c r="AQ142" s="565">
        <v>0</v>
      </c>
      <c r="AR142" s="565">
        <v>0</v>
      </c>
      <c r="AS142" s="565">
        <v>0</v>
      </c>
      <c r="AT142" s="565">
        <v>0</v>
      </c>
      <c r="AU142" s="565">
        <v>0</v>
      </c>
      <c r="AV142" s="565">
        <v>0</v>
      </c>
      <c r="AW142" s="565">
        <v>0</v>
      </c>
      <c r="AX142" s="565">
        <v>0</v>
      </c>
      <c r="AY142" s="565">
        <v>0</v>
      </c>
      <c r="AZ142" s="565">
        <v>0</v>
      </c>
      <c r="BA142" s="565">
        <v>0</v>
      </c>
      <c r="BB142" s="565">
        <v>0</v>
      </c>
      <c r="BC142" s="565">
        <v>0</v>
      </c>
      <c r="BD142" s="565">
        <v>0</v>
      </c>
      <c r="BE142" s="565">
        <v>0</v>
      </c>
      <c r="BF142" s="565">
        <v>0</v>
      </c>
      <c r="BG142" s="565">
        <v>0</v>
      </c>
      <c r="BH142" s="565">
        <v>0</v>
      </c>
      <c r="BI142" s="565">
        <v>0</v>
      </c>
      <c r="BJ142" s="565">
        <v>0</v>
      </c>
      <c r="BL142" s="565">
        <v>0</v>
      </c>
      <c r="BM142" s="565">
        <v>0</v>
      </c>
      <c r="BN142" s="565">
        <v>0</v>
      </c>
      <c r="BO142" s="565">
        <v>0</v>
      </c>
      <c r="BP142" s="565">
        <v>0</v>
      </c>
      <c r="BQ142" s="565">
        <v>0</v>
      </c>
      <c r="BS142" s="565">
        <v>0</v>
      </c>
      <c r="BU142" s="565">
        <v>0</v>
      </c>
      <c r="BV142" s="565">
        <v>0</v>
      </c>
      <c r="BW142" s="565">
        <v>0</v>
      </c>
      <c r="BX142" s="565">
        <v>0</v>
      </c>
      <c r="BY142" s="565">
        <v>0</v>
      </c>
      <c r="BZ142" s="565">
        <v>0</v>
      </c>
      <c r="CA142" s="565">
        <v>0</v>
      </c>
      <c r="CB142" s="565">
        <v>0</v>
      </c>
      <c r="CC142" s="565">
        <v>0</v>
      </c>
      <c r="CE142" s="565">
        <v>0</v>
      </c>
      <c r="CF142" s="565">
        <v>0</v>
      </c>
      <c r="CG142" s="565">
        <v>0</v>
      </c>
      <c r="CH142" s="565">
        <v>0</v>
      </c>
    </row>
    <row r="143" spans="1:99" x14ac:dyDescent="0.3">
      <c r="A143" s="155">
        <v>547</v>
      </c>
      <c r="B143" s="180" t="s">
        <v>890</v>
      </c>
      <c r="C143" s="180"/>
      <c r="D143" s="180">
        <v>2</v>
      </c>
      <c r="E143" s="180">
        <v>2</v>
      </c>
      <c r="F143" s="180">
        <v>2</v>
      </c>
      <c r="G143" s="180">
        <v>2</v>
      </c>
      <c r="H143" s="180"/>
      <c r="I143" s="180">
        <v>3</v>
      </c>
      <c r="J143" s="180">
        <v>2</v>
      </c>
      <c r="K143" s="180">
        <v>3</v>
      </c>
      <c r="L143" s="180">
        <v>3</v>
      </c>
      <c r="M143" s="180">
        <v>3</v>
      </c>
      <c r="N143" s="180">
        <v>2</v>
      </c>
      <c r="O143" s="180">
        <v>3</v>
      </c>
      <c r="P143" s="180">
        <v>2</v>
      </c>
      <c r="Q143" s="180">
        <v>2</v>
      </c>
      <c r="R143" s="180">
        <v>2</v>
      </c>
      <c r="S143" s="180">
        <v>3</v>
      </c>
      <c r="T143" s="180">
        <v>2</v>
      </c>
      <c r="U143" s="180">
        <v>2</v>
      </c>
      <c r="V143" s="180">
        <v>2</v>
      </c>
      <c r="W143" s="180">
        <v>1</v>
      </c>
      <c r="X143" s="180">
        <v>3</v>
      </c>
      <c r="Y143" s="180">
        <v>3</v>
      </c>
      <c r="Z143" s="180">
        <v>3</v>
      </c>
      <c r="AA143" s="180">
        <v>2</v>
      </c>
      <c r="AB143" s="180">
        <v>0</v>
      </c>
      <c r="AC143" s="180"/>
      <c r="AD143" s="180">
        <v>3</v>
      </c>
      <c r="AE143" s="180">
        <v>2</v>
      </c>
      <c r="AF143" s="180">
        <v>3</v>
      </c>
      <c r="AG143" s="180">
        <v>2</v>
      </c>
      <c r="AH143" s="180">
        <v>3</v>
      </c>
      <c r="AI143" s="180">
        <v>3</v>
      </c>
      <c r="AJ143" s="180">
        <v>0</v>
      </c>
      <c r="AK143" s="180">
        <v>2</v>
      </c>
      <c r="AL143" s="180">
        <v>2</v>
      </c>
      <c r="AM143" s="180"/>
      <c r="AN143" s="180">
        <v>3</v>
      </c>
      <c r="AO143" s="180"/>
      <c r="AP143" s="180">
        <v>0</v>
      </c>
      <c r="AQ143" s="180">
        <v>3</v>
      </c>
      <c r="AR143" s="180">
        <v>2</v>
      </c>
      <c r="AS143" s="180">
        <v>2</v>
      </c>
      <c r="AT143" s="180">
        <v>2</v>
      </c>
      <c r="AU143" s="180">
        <v>1</v>
      </c>
      <c r="AV143" s="180">
        <v>2</v>
      </c>
      <c r="AW143" s="180">
        <v>3</v>
      </c>
      <c r="AX143" s="180">
        <v>2</v>
      </c>
      <c r="AY143" s="180">
        <v>3</v>
      </c>
      <c r="AZ143" s="180">
        <v>3</v>
      </c>
      <c r="BA143" s="180">
        <v>2</v>
      </c>
      <c r="BB143" s="180">
        <v>2</v>
      </c>
      <c r="BC143" s="180">
        <v>3</v>
      </c>
      <c r="BD143" s="180">
        <v>2</v>
      </c>
      <c r="BE143" s="180">
        <v>0</v>
      </c>
      <c r="BF143" s="180">
        <v>2</v>
      </c>
      <c r="BG143" s="180">
        <v>2</v>
      </c>
      <c r="BH143" s="180">
        <v>2</v>
      </c>
      <c r="BI143" s="180">
        <v>3</v>
      </c>
      <c r="BJ143" s="180">
        <v>2</v>
      </c>
      <c r="BK143" s="180"/>
      <c r="BL143" s="180">
        <v>2</v>
      </c>
      <c r="BM143" s="180">
        <v>2</v>
      </c>
      <c r="BN143" s="180">
        <v>2</v>
      </c>
      <c r="BO143" s="180">
        <v>3</v>
      </c>
      <c r="BP143" s="180">
        <v>3</v>
      </c>
      <c r="BQ143" s="180">
        <v>2</v>
      </c>
      <c r="BR143" s="180"/>
      <c r="BS143" s="180">
        <v>2</v>
      </c>
      <c r="BT143" s="180"/>
      <c r="BU143" s="180">
        <v>3</v>
      </c>
      <c r="BV143" s="180">
        <v>3</v>
      </c>
      <c r="BW143" s="180">
        <v>3</v>
      </c>
      <c r="BX143" s="180">
        <v>3</v>
      </c>
      <c r="BY143" s="180">
        <v>2</v>
      </c>
      <c r="BZ143" s="180">
        <v>3</v>
      </c>
      <c r="CA143" s="180">
        <v>3</v>
      </c>
      <c r="CB143" s="180">
        <v>2</v>
      </c>
      <c r="CC143" s="180">
        <v>1</v>
      </c>
      <c r="CD143" s="180"/>
      <c r="CE143" s="180">
        <v>2</v>
      </c>
      <c r="CF143" s="180">
        <v>2</v>
      </c>
      <c r="CG143" s="180">
        <v>2</v>
      </c>
      <c r="CH143" s="180">
        <v>3</v>
      </c>
      <c r="CI143" s="180"/>
      <c r="CJ143" s="180"/>
      <c r="CK143" s="180"/>
      <c r="CL143" s="180"/>
      <c r="CM143" s="180"/>
      <c r="CN143" s="180"/>
      <c r="CO143" s="180"/>
      <c r="CP143" s="180"/>
      <c r="CQ143" s="180"/>
      <c r="CR143" s="180"/>
      <c r="CS143" s="180"/>
      <c r="CT143" s="180"/>
      <c r="CU143" s="180"/>
    </row>
    <row r="144" spans="1:99" s="552" customFormat="1" x14ac:dyDescent="0.3">
      <c r="A144" s="555">
        <v>554</v>
      </c>
      <c r="B144" s="552" t="s">
        <v>318</v>
      </c>
      <c r="I144" s="552">
        <v>1228681</v>
      </c>
      <c r="K144" s="552">
        <v>861356</v>
      </c>
      <c r="N144" s="552">
        <v>2057862</v>
      </c>
      <c r="O144" s="552">
        <v>10921888</v>
      </c>
      <c r="R144" s="552">
        <v>51843</v>
      </c>
      <c r="X144" s="552">
        <v>9327092</v>
      </c>
      <c r="Y144" s="552">
        <v>237465208</v>
      </c>
      <c r="Z144" s="552">
        <v>967622</v>
      </c>
      <c r="AD144" s="552">
        <v>3110465</v>
      </c>
      <c r="AF144" s="552">
        <v>10139681</v>
      </c>
      <c r="AG144" s="552">
        <v>3707617</v>
      </c>
      <c r="AQ144" s="552">
        <v>34586956</v>
      </c>
      <c r="AT144" s="552">
        <v>1990506</v>
      </c>
      <c r="AV144" s="1039"/>
      <c r="AW144" s="552">
        <v>5062466</v>
      </c>
      <c r="BE144" s="552">
        <v>4066358</v>
      </c>
      <c r="BN144" s="552">
        <v>1945337</v>
      </c>
      <c r="BO144" s="552">
        <v>6731305</v>
      </c>
      <c r="BP144" s="552">
        <v>27508111</v>
      </c>
      <c r="BV144" s="552">
        <v>1531542</v>
      </c>
      <c r="BW144" s="552">
        <v>1509679</v>
      </c>
      <c r="BX144" s="552">
        <v>2252110</v>
      </c>
      <c r="BY144" s="552">
        <v>1963659</v>
      </c>
      <c r="CA144" s="552">
        <v>791199</v>
      </c>
      <c r="CF144" s="552">
        <v>1358721</v>
      </c>
      <c r="CG144" s="552">
        <v>1171027</v>
      </c>
    </row>
    <row r="145" spans="1:99" s="552" customFormat="1" x14ac:dyDescent="0.3">
      <c r="A145" s="555">
        <v>555</v>
      </c>
      <c r="B145" s="552" t="s">
        <v>319</v>
      </c>
      <c r="I145" s="552">
        <v>751129</v>
      </c>
      <c r="K145" s="552">
        <v>604093</v>
      </c>
      <c r="N145" s="552">
        <v>2025219</v>
      </c>
      <c r="O145" s="552">
        <v>3555145</v>
      </c>
      <c r="R145" s="552">
        <v>0</v>
      </c>
      <c r="X145" s="552">
        <v>2864202</v>
      </c>
      <c r="Y145" s="552">
        <v>160199889</v>
      </c>
      <c r="Z145" s="552">
        <v>967622</v>
      </c>
      <c r="AD145" s="552">
        <v>3027131</v>
      </c>
      <c r="AF145" s="552">
        <v>9922064</v>
      </c>
      <c r="AG145" s="552">
        <v>3682002</v>
      </c>
      <c r="AQ145" s="552">
        <v>16159509</v>
      </c>
      <c r="AT145" s="552">
        <v>1360838</v>
      </c>
      <c r="AW145" s="552">
        <v>4821414</v>
      </c>
      <c r="BE145" s="552">
        <v>4066358</v>
      </c>
      <c r="BN145" s="552">
        <v>1819133</v>
      </c>
      <c r="BO145" s="552">
        <v>6204361</v>
      </c>
      <c r="BP145" s="552">
        <v>17975381</v>
      </c>
      <c r="BV145" s="552">
        <v>0</v>
      </c>
      <c r="BW145" s="552">
        <v>1349652</v>
      </c>
      <c r="BX145" s="552">
        <v>966793</v>
      </c>
      <c r="BY145" s="552">
        <v>1793098</v>
      </c>
      <c r="CA145" s="552">
        <v>749988</v>
      </c>
      <c r="CF145" s="552">
        <v>769928</v>
      </c>
      <c r="CG145" s="552">
        <v>589699</v>
      </c>
    </row>
    <row r="146" spans="1:99" s="552" customFormat="1" x14ac:dyDescent="0.3">
      <c r="A146" s="555">
        <v>556</v>
      </c>
      <c r="B146" s="552" t="s">
        <v>320</v>
      </c>
      <c r="I146" s="552">
        <v>5257201</v>
      </c>
      <c r="K146" s="552">
        <v>1658095</v>
      </c>
      <c r="N146" s="552">
        <v>1028470</v>
      </c>
      <c r="O146" s="552">
        <v>6369405</v>
      </c>
      <c r="R146" s="552">
        <v>740396</v>
      </c>
      <c r="X146" s="552">
        <v>6020025</v>
      </c>
      <c r="Y146" s="552">
        <v>78829309</v>
      </c>
      <c r="Z146" s="552">
        <v>203775</v>
      </c>
      <c r="AD146" s="552">
        <v>830520</v>
      </c>
      <c r="AF146" s="552">
        <v>20222</v>
      </c>
      <c r="AG146" s="552">
        <v>921421</v>
      </c>
      <c r="AQ146" s="552">
        <v>4687283</v>
      </c>
      <c r="AT146" s="552">
        <v>3041242</v>
      </c>
      <c r="AV146" s="1039"/>
      <c r="AW146" s="552">
        <v>1147862</v>
      </c>
      <c r="BE146" s="552">
        <v>1075878</v>
      </c>
      <c r="BN146" s="552">
        <v>2115796</v>
      </c>
      <c r="BO146" s="552">
        <v>1214204</v>
      </c>
      <c r="BP146" s="552">
        <v>12093791</v>
      </c>
      <c r="BV146" s="552">
        <v>7302250</v>
      </c>
      <c r="BW146" s="552">
        <v>999561</v>
      </c>
      <c r="BX146" s="552">
        <v>1229201</v>
      </c>
      <c r="BY146" s="552">
        <v>359210</v>
      </c>
      <c r="CA146" s="552">
        <v>624882</v>
      </c>
      <c r="CF146" s="552">
        <v>558461</v>
      </c>
      <c r="CG146" s="552">
        <v>1237200</v>
      </c>
    </row>
    <row r="147" spans="1:99" s="552" customFormat="1" x14ac:dyDescent="0.3">
      <c r="A147" s="555">
        <v>557</v>
      </c>
      <c r="B147" s="552" t="s">
        <v>321</v>
      </c>
      <c r="I147" s="552">
        <v>4444786</v>
      </c>
      <c r="K147" s="552">
        <v>1526845</v>
      </c>
      <c r="N147" s="552">
        <v>934439</v>
      </c>
      <c r="O147" s="552">
        <v>6116981</v>
      </c>
      <c r="R147" s="552">
        <v>646819</v>
      </c>
      <c r="X147" s="552">
        <v>3631704</v>
      </c>
      <c r="Y147" s="552">
        <v>63423995</v>
      </c>
      <c r="Z147" s="552">
        <v>0</v>
      </c>
      <c r="AD147" s="552">
        <v>375000</v>
      </c>
      <c r="AF147" s="552">
        <v>0</v>
      </c>
      <c r="AG147" s="552">
        <v>921421</v>
      </c>
      <c r="AQ147" s="552">
        <v>1970639</v>
      </c>
      <c r="AT147" s="552">
        <v>1807765</v>
      </c>
      <c r="AV147" s="1039"/>
      <c r="AW147" s="552">
        <v>1147862</v>
      </c>
      <c r="BE147" s="552">
        <v>1075878</v>
      </c>
      <c r="BN147" s="552">
        <v>2057299</v>
      </c>
      <c r="BO147" s="552">
        <v>827404</v>
      </c>
      <c r="BP147" s="552">
        <v>7549750</v>
      </c>
      <c r="BV147" s="552">
        <v>5258399</v>
      </c>
      <c r="BW147" s="552">
        <v>441909</v>
      </c>
      <c r="BX147" s="552">
        <v>516185</v>
      </c>
      <c r="BY147" s="552">
        <v>0</v>
      </c>
      <c r="CA147" s="552">
        <v>340268</v>
      </c>
      <c r="CF147" s="552">
        <v>256643</v>
      </c>
      <c r="CG147" s="552">
        <v>1030914</v>
      </c>
    </row>
    <row r="148" spans="1:99" x14ac:dyDescent="0.3">
      <c r="A148" s="155">
        <v>575</v>
      </c>
      <c r="B148" s="180" t="s">
        <v>300</v>
      </c>
      <c r="C148" s="180"/>
      <c r="D148" s="180">
        <v>2028</v>
      </c>
      <c r="E148" s="180">
        <v>0</v>
      </c>
      <c r="F148" s="180">
        <v>0</v>
      </c>
      <c r="G148" s="180">
        <v>0</v>
      </c>
      <c r="H148" s="180"/>
      <c r="I148" s="180">
        <v>0</v>
      </c>
      <c r="J148" s="180">
        <v>0</v>
      </c>
      <c r="K148" s="180">
        <v>0</v>
      </c>
      <c r="L148" s="180">
        <v>0</v>
      </c>
      <c r="M148" s="180">
        <v>0</v>
      </c>
      <c r="N148" s="180">
        <v>0</v>
      </c>
      <c r="O148" s="180">
        <v>0</v>
      </c>
      <c r="P148" s="180">
        <v>0</v>
      </c>
      <c r="Q148" s="180">
        <v>0</v>
      </c>
      <c r="R148" s="180">
        <v>0</v>
      </c>
      <c r="S148" s="180">
        <v>0</v>
      </c>
      <c r="T148" s="180">
        <v>0</v>
      </c>
      <c r="U148" s="180">
        <v>0</v>
      </c>
      <c r="V148" s="180">
        <v>2958</v>
      </c>
      <c r="W148" s="180">
        <v>0</v>
      </c>
      <c r="X148" s="180">
        <v>6219349</v>
      </c>
      <c r="Y148" s="180">
        <v>14699000</v>
      </c>
      <c r="Z148" s="180">
        <v>0</v>
      </c>
      <c r="AA148" s="180">
        <v>0</v>
      </c>
      <c r="AB148" s="180">
        <v>0</v>
      </c>
      <c r="AC148" s="180"/>
      <c r="AD148" s="180">
        <v>0</v>
      </c>
      <c r="AE148" s="180">
        <v>0</v>
      </c>
      <c r="AF148" s="180">
        <v>0</v>
      </c>
      <c r="AG148" s="180">
        <v>0</v>
      </c>
      <c r="AH148" s="180">
        <v>0</v>
      </c>
      <c r="AI148" s="180">
        <v>0</v>
      </c>
      <c r="AJ148" s="180">
        <v>480</v>
      </c>
      <c r="AK148" s="180">
        <v>0</v>
      </c>
      <c r="AL148" s="180">
        <v>180317</v>
      </c>
      <c r="AM148" s="180"/>
      <c r="AN148" s="180">
        <v>0</v>
      </c>
      <c r="AO148" s="180"/>
      <c r="AP148" s="180">
        <v>0</v>
      </c>
      <c r="AQ148" s="180">
        <v>9101446</v>
      </c>
      <c r="AR148" s="180">
        <v>0</v>
      </c>
      <c r="AS148" s="180">
        <v>0</v>
      </c>
      <c r="AT148" s="180">
        <v>0</v>
      </c>
      <c r="AU148" s="180">
        <v>0</v>
      </c>
      <c r="AV148" s="180">
        <v>0</v>
      </c>
      <c r="AW148" s="180">
        <v>345457</v>
      </c>
      <c r="AX148" s="180">
        <v>57166</v>
      </c>
      <c r="AY148" s="180">
        <v>0</v>
      </c>
      <c r="AZ148" s="180">
        <v>0</v>
      </c>
      <c r="BA148" s="180">
        <v>0</v>
      </c>
      <c r="BB148" s="180">
        <v>0</v>
      </c>
      <c r="BC148" s="180">
        <v>0</v>
      </c>
      <c r="BD148" s="180">
        <v>0</v>
      </c>
      <c r="BE148" s="180">
        <v>0</v>
      </c>
      <c r="BF148" s="180">
        <v>0</v>
      </c>
      <c r="BG148" s="180">
        <v>0</v>
      </c>
      <c r="BH148" s="180">
        <v>0</v>
      </c>
      <c r="BI148" s="180">
        <v>0</v>
      </c>
      <c r="BJ148" s="180">
        <v>0</v>
      </c>
      <c r="BK148" s="180"/>
      <c r="BL148" s="180">
        <v>0</v>
      </c>
      <c r="BM148" s="180">
        <v>51924</v>
      </c>
      <c r="BN148" s="180">
        <v>0</v>
      </c>
      <c r="BO148" s="180">
        <v>0</v>
      </c>
      <c r="BP148" s="180">
        <v>0</v>
      </c>
      <c r="BQ148" s="180">
        <v>0</v>
      </c>
      <c r="BR148" s="180"/>
      <c r="BS148" s="180">
        <v>0</v>
      </c>
      <c r="BT148" s="180"/>
      <c r="BU148" s="180">
        <v>0</v>
      </c>
      <c r="BV148" s="180">
        <v>209482</v>
      </c>
      <c r="BW148" s="180">
        <v>372371</v>
      </c>
      <c r="BX148" s="180">
        <v>206648</v>
      </c>
      <c r="BY148" s="180">
        <v>0</v>
      </c>
      <c r="BZ148" s="180">
        <v>0</v>
      </c>
      <c r="CA148" s="180">
        <v>0</v>
      </c>
      <c r="CB148" s="180">
        <v>0</v>
      </c>
      <c r="CC148" s="180">
        <v>0</v>
      </c>
      <c r="CD148" s="180"/>
      <c r="CE148" s="180">
        <v>0</v>
      </c>
      <c r="CF148" s="180">
        <v>0</v>
      </c>
      <c r="CG148" s="180">
        <v>53185</v>
      </c>
      <c r="CH148" s="180">
        <v>0</v>
      </c>
      <c r="CI148" s="180"/>
      <c r="CJ148" s="180"/>
      <c r="CK148" s="180"/>
      <c r="CL148" s="180"/>
      <c r="CM148" s="180"/>
      <c r="CN148" s="180"/>
      <c r="CO148" s="180"/>
      <c r="CP148" s="180"/>
      <c r="CQ148" s="180"/>
      <c r="CR148" s="180"/>
      <c r="CS148" s="180"/>
      <c r="CT148" s="180"/>
      <c r="CU148" s="180"/>
    </row>
    <row r="149" spans="1:99" x14ac:dyDescent="0.3">
      <c r="A149" s="155">
        <v>576</v>
      </c>
      <c r="B149" s="180" t="s">
        <v>301</v>
      </c>
      <c r="C149" s="180"/>
      <c r="D149" s="180">
        <v>0</v>
      </c>
      <c r="E149" s="180">
        <v>0</v>
      </c>
      <c r="F149" s="180">
        <v>0</v>
      </c>
      <c r="G149" s="180">
        <v>0</v>
      </c>
      <c r="H149" s="180"/>
      <c r="I149" s="180">
        <v>0</v>
      </c>
      <c r="J149" s="180">
        <v>0</v>
      </c>
      <c r="K149" s="180">
        <v>0</v>
      </c>
      <c r="L149" s="180">
        <v>0</v>
      </c>
      <c r="M149" s="180">
        <v>0</v>
      </c>
      <c r="N149" s="180">
        <v>0</v>
      </c>
      <c r="O149" s="180">
        <v>0</v>
      </c>
      <c r="P149" s="180">
        <v>0</v>
      </c>
      <c r="Q149" s="180">
        <v>0</v>
      </c>
      <c r="R149" s="180">
        <v>0</v>
      </c>
      <c r="S149" s="180">
        <v>0</v>
      </c>
      <c r="T149" s="180">
        <v>0</v>
      </c>
      <c r="U149" s="180">
        <v>0</v>
      </c>
      <c r="V149" s="180">
        <v>0</v>
      </c>
      <c r="W149" s="180">
        <v>0</v>
      </c>
      <c r="X149" s="180">
        <v>0</v>
      </c>
      <c r="Y149" s="180">
        <v>0</v>
      </c>
      <c r="Z149" s="180">
        <v>0</v>
      </c>
      <c r="AA149" s="180">
        <v>0</v>
      </c>
      <c r="AB149" s="180">
        <v>0</v>
      </c>
      <c r="AC149" s="180"/>
      <c r="AD149" s="180">
        <v>0</v>
      </c>
      <c r="AE149" s="180">
        <v>86015</v>
      </c>
      <c r="AF149" s="180">
        <v>0</v>
      </c>
      <c r="AG149" s="180">
        <v>0</v>
      </c>
      <c r="AH149" s="180">
        <v>0</v>
      </c>
      <c r="AI149" s="180">
        <v>0</v>
      </c>
      <c r="AJ149" s="180">
        <v>0</v>
      </c>
      <c r="AK149" s="180">
        <v>0</v>
      </c>
      <c r="AL149" s="180">
        <v>0</v>
      </c>
      <c r="AM149" s="180"/>
      <c r="AN149" s="180">
        <v>0</v>
      </c>
      <c r="AO149" s="180"/>
      <c r="AP149" s="180">
        <v>0</v>
      </c>
      <c r="AQ149" s="180">
        <v>0</v>
      </c>
      <c r="AR149" s="180">
        <v>0</v>
      </c>
      <c r="AS149" s="180">
        <v>0</v>
      </c>
      <c r="AT149" s="180">
        <v>0</v>
      </c>
      <c r="AU149" s="180">
        <v>0</v>
      </c>
      <c r="AV149" s="180">
        <v>0</v>
      </c>
      <c r="AW149" s="180">
        <v>0</v>
      </c>
      <c r="AX149" s="180">
        <v>0</v>
      </c>
      <c r="AY149" s="180">
        <v>0</v>
      </c>
      <c r="AZ149" s="180">
        <v>0</v>
      </c>
      <c r="BA149" s="180">
        <v>0</v>
      </c>
      <c r="BB149" s="180">
        <v>0</v>
      </c>
      <c r="BC149" s="180">
        <v>0</v>
      </c>
      <c r="BD149" s="180">
        <v>0</v>
      </c>
      <c r="BE149" s="180">
        <v>394197</v>
      </c>
      <c r="BF149" s="180">
        <v>0</v>
      </c>
      <c r="BG149" s="180">
        <v>0</v>
      </c>
      <c r="BH149" s="180">
        <v>0</v>
      </c>
      <c r="BI149" s="180">
        <v>0</v>
      </c>
      <c r="BJ149" s="180">
        <v>0</v>
      </c>
      <c r="BK149" s="180"/>
      <c r="BL149" s="180">
        <v>0</v>
      </c>
      <c r="BM149" s="180">
        <v>0</v>
      </c>
      <c r="BN149" s="180">
        <v>0</v>
      </c>
      <c r="BO149" s="180">
        <v>0</v>
      </c>
      <c r="BP149" s="180">
        <v>705244</v>
      </c>
      <c r="BQ149" s="180">
        <v>0</v>
      </c>
      <c r="BR149" s="180"/>
      <c r="BS149" s="180">
        <v>0</v>
      </c>
      <c r="BT149" s="180"/>
      <c r="BU149" s="180">
        <v>0</v>
      </c>
      <c r="BV149" s="180">
        <v>0</v>
      </c>
      <c r="BW149" s="180">
        <v>0</v>
      </c>
      <c r="BX149" s="180">
        <v>0</v>
      </c>
      <c r="BY149" s="180">
        <v>45565</v>
      </c>
      <c r="BZ149" s="180">
        <v>0</v>
      </c>
      <c r="CA149" s="180">
        <v>0</v>
      </c>
      <c r="CB149" s="180">
        <v>0</v>
      </c>
      <c r="CC149" s="180">
        <v>0</v>
      </c>
      <c r="CD149" s="180"/>
      <c r="CE149" s="180">
        <v>0</v>
      </c>
      <c r="CF149" s="180">
        <v>0</v>
      </c>
      <c r="CG149" s="180">
        <v>0</v>
      </c>
      <c r="CH149" s="180">
        <v>0</v>
      </c>
      <c r="CI149" s="180"/>
      <c r="CJ149" s="180"/>
      <c r="CK149" s="180"/>
      <c r="CL149" s="180"/>
      <c r="CM149" s="180"/>
      <c r="CN149" s="180"/>
      <c r="CO149" s="180"/>
      <c r="CP149" s="180"/>
      <c r="CQ149" s="180"/>
      <c r="CR149" s="180"/>
      <c r="CS149" s="180"/>
      <c r="CT149" s="180"/>
      <c r="CU149" s="180"/>
    </row>
    <row r="150" spans="1:99" s="565" customFormat="1" x14ac:dyDescent="0.3">
      <c r="A150" s="564">
        <v>577</v>
      </c>
      <c r="B150" s="565" t="s">
        <v>891</v>
      </c>
      <c r="D150" s="565">
        <v>0</v>
      </c>
      <c r="E150" s="565">
        <v>2</v>
      </c>
      <c r="F150" s="565">
        <v>2</v>
      </c>
      <c r="G150" s="565">
        <v>2</v>
      </c>
      <c r="I150" s="565">
        <v>2</v>
      </c>
      <c r="J150" s="565">
        <v>2</v>
      </c>
      <c r="K150" s="565">
        <v>2</v>
      </c>
      <c r="L150" s="565">
        <v>2</v>
      </c>
      <c r="M150" s="565">
        <v>1</v>
      </c>
      <c r="N150" s="565">
        <v>2</v>
      </c>
      <c r="O150" s="565">
        <v>2</v>
      </c>
      <c r="P150" s="565">
        <v>2</v>
      </c>
      <c r="Q150" s="565">
        <v>2</v>
      </c>
      <c r="R150" s="565">
        <v>2</v>
      </c>
      <c r="S150" s="565">
        <v>2</v>
      </c>
      <c r="T150" s="565">
        <v>2</v>
      </c>
      <c r="U150" s="565">
        <v>0</v>
      </c>
      <c r="V150" s="565">
        <v>2</v>
      </c>
      <c r="W150" s="565">
        <v>2</v>
      </c>
      <c r="X150" s="565">
        <v>2</v>
      </c>
      <c r="Y150" s="565">
        <v>1</v>
      </c>
      <c r="Z150" s="565">
        <v>2</v>
      </c>
      <c r="AA150" s="565">
        <v>2</v>
      </c>
      <c r="AB150" s="565">
        <v>0</v>
      </c>
      <c r="AD150" s="565">
        <v>2</v>
      </c>
      <c r="AE150" s="565">
        <v>2</v>
      </c>
      <c r="AF150" s="565">
        <v>2</v>
      </c>
      <c r="AG150" s="565">
        <v>2</v>
      </c>
      <c r="AH150" s="565">
        <v>2</v>
      </c>
      <c r="AI150" s="565">
        <v>2</v>
      </c>
      <c r="AJ150" s="565">
        <v>0</v>
      </c>
      <c r="AK150" s="565">
        <v>2</v>
      </c>
      <c r="AL150" s="565">
        <v>2</v>
      </c>
      <c r="AN150" s="565">
        <v>2</v>
      </c>
      <c r="AP150" s="565">
        <v>0</v>
      </c>
      <c r="AQ150" s="565">
        <v>2</v>
      </c>
      <c r="AR150" s="565">
        <v>2</v>
      </c>
      <c r="AS150" s="565">
        <v>0</v>
      </c>
      <c r="AT150" s="565">
        <v>2</v>
      </c>
      <c r="AU150" s="565">
        <v>2</v>
      </c>
      <c r="AV150" s="565">
        <v>2</v>
      </c>
      <c r="AW150" s="565">
        <v>2</v>
      </c>
      <c r="AX150" s="565">
        <v>2</v>
      </c>
      <c r="AY150" s="565">
        <v>2</v>
      </c>
      <c r="AZ150" s="565">
        <v>2</v>
      </c>
      <c r="BA150" s="565">
        <v>2</v>
      </c>
      <c r="BB150" s="565">
        <v>2</v>
      </c>
      <c r="BC150" s="565">
        <v>2</v>
      </c>
      <c r="BD150" s="565">
        <v>0</v>
      </c>
      <c r="BE150" s="565">
        <v>2</v>
      </c>
      <c r="BF150" s="565">
        <v>2</v>
      </c>
      <c r="BG150" s="565">
        <v>0</v>
      </c>
      <c r="BH150" s="565">
        <v>2</v>
      </c>
      <c r="BI150" s="565">
        <v>2</v>
      </c>
      <c r="BJ150" s="565">
        <v>2</v>
      </c>
      <c r="BL150" s="565">
        <v>2</v>
      </c>
      <c r="BM150" s="565">
        <v>2</v>
      </c>
      <c r="BN150" s="565">
        <v>2</v>
      </c>
      <c r="BO150" s="565">
        <v>2</v>
      </c>
      <c r="BP150" s="565">
        <v>2</v>
      </c>
      <c r="BQ150" s="565">
        <v>0</v>
      </c>
      <c r="BS150" s="565">
        <v>2</v>
      </c>
      <c r="BU150" s="565">
        <v>2</v>
      </c>
      <c r="BV150" s="565">
        <v>0</v>
      </c>
      <c r="BW150" s="565">
        <v>2</v>
      </c>
      <c r="BX150" s="565">
        <v>2</v>
      </c>
      <c r="BY150" s="565">
        <v>2</v>
      </c>
      <c r="BZ150" s="565">
        <v>2</v>
      </c>
      <c r="CA150" s="565">
        <v>2</v>
      </c>
      <c r="CB150" s="565">
        <v>2</v>
      </c>
      <c r="CC150" s="565">
        <v>2</v>
      </c>
      <c r="CE150" s="565">
        <v>2</v>
      </c>
      <c r="CF150" s="565">
        <v>2</v>
      </c>
      <c r="CG150" s="565">
        <v>2</v>
      </c>
      <c r="CH150" s="565">
        <v>2</v>
      </c>
    </row>
    <row r="151" spans="1:99" x14ac:dyDescent="0.3">
      <c r="A151" s="155">
        <v>578</v>
      </c>
      <c r="B151" s="180" t="s">
        <v>892</v>
      </c>
      <c r="C151" s="180"/>
      <c r="D151" s="180">
        <v>0</v>
      </c>
      <c r="E151" s="180">
        <v>0</v>
      </c>
      <c r="F151" s="180">
        <v>0</v>
      </c>
      <c r="G151" s="180">
        <v>0</v>
      </c>
      <c r="H151" s="180"/>
      <c r="I151" s="180">
        <v>0</v>
      </c>
      <c r="J151" s="180">
        <v>0</v>
      </c>
      <c r="K151" s="180">
        <v>0</v>
      </c>
      <c r="L151" s="180">
        <v>0</v>
      </c>
      <c r="M151" s="180">
        <v>0</v>
      </c>
      <c r="N151" s="180">
        <v>0</v>
      </c>
      <c r="O151" s="180">
        <v>0</v>
      </c>
      <c r="P151" s="180">
        <v>0</v>
      </c>
      <c r="Q151" s="180">
        <v>0</v>
      </c>
      <c r="R151" s="180">
        <v>0</v>
      </c>
      <c r="S151" s="180">
        <v>0</v>
      </c>
      <c r="T151" s="180">
        <v>0</v>
      </c>
      <c r="U151" s="180">
        <v>0</v>
      </c>
      <c r="V151" s="180">
        <v>0</v>
      </c>
      <c r="W151" s="180">
        <v>0</v>
      </c>
      <c r="X151" s="180">
        <v>0</v>
      </c>
      <c r="Y151" s="180">
        <v>0</v>
      </c>
      <c r="Z151" s="180">
        <v>0</v>
      </c>
      <c r="AA151" s="180">
        <v>0</v>
      </c>
      <c r="AB151" s="180">
        <v>0</v>
      </c>
      <c r="AC151" s="180"/>
      <c r="AD151" s="180">
        <v>0</v>
      </c>
      <c r="AE151" s="180">
        <v>0</v>
      </c>
      <c r="AF151" s="180">
        <v>0</v>
      </c>
      <c r="AG151" s="180">
        <v>0</v>
      </c>
      <c r="AH151" s="180">
        <v>0</v>
      </c>
      <c r="AI151" s="180">
        <v>0</v>
      </c>
      <c r="AJ151" s="180">
        <v>-14957</v>
      </c>
      <c r="AK151" s="180">
        <v>0</v>
      </c>
      <c r="AL151" s="180">
        <v>0</v>
      </c>
      <c r="AM151" s="180"/>
      <c r="AN151" s="180">
        <v>0</v>
      </c>
      <c r="AO151" s="180"/>
      <c r="AP151" s="180">
        <v>0</v>
      </c>
      <c r="AQ151" s="180">
        <v>0</v>
      </c>
      <c r="AR151" s="180">
        <v>0</v>
      </c>
      <c r="AS151" s="180">
        <v>0</v>
      </c>
      <c r="AT151" s="180">
        <v>0</v>
      </c>
      <c r="AU151" s="180">
        <v>0</v>
      </c>
      <c r="AV151" s="180">
        <v>0</v>
      </c>
      <c r="AW151" s="180">
        <v>0</v>
      </c>
      <c r="AX151" s="180">
        <v>57166</v>
      </c>
      <c r="AY151" s="180">
        <v>0</v>
      </c>
      <c r="AZ151" s="180">
        <v>0</v>
      </c>
      <c r="BA151" s="180">
        <v>0</v>
      </c>
      <c r="BB151" s="180">
        <v>0</v>
      </c>
      <c r="BC151" s="180">
        <v>0</v>
      </c>
      <c r="BD151" s="180">
        <v>0</v>
      </c>
      <c r="BE151" s="180">
        <v>0</v>
      </c>
      <c r="BF151" s="180">
        <v>0</v>
      </c>
      <c r="BG151" s="180">
        <v>0</v>
      </c>
      <c r="BH151" s="180">
        <v>0</v>
      </c>
      <c r="BI151" s="180">
        <v>0</v>
      </c>
      <c r="BJ151" s="180">
        <v>0</v>
      </c>
      <c r="BK151" s="180"/>
      <c r="BL151" s="180">
        <v>0</v>
      </c>
      <c r="BM151" s="180">
        <v>0</v>
      </c>
      <c r="BN151" s="180">
        <v>0</v>
      </c>
      <c r="BO151" s="180">
        <v>0</v>
      </c>
      <c r="BP151" s="180">
        <v>0</v>
      </c>
      <c r="BQ151" s="180">
        <v>0</v>
      </c>
      <c r="BR151" s="180"/>
      <c r="BS151" s="180">
        <v>0</v>
      </c>
      <c r="BT151" s="180"/>
      <c r="BU151" s="180">
        <v>0</v>
      </c>
      <c r="BV151" s="180">
        <v>0</v>
      </c>
      <c r="BW151" s="180">
        <v>0</v>
      </c>
      <c r="BX151" s="180">
        <v>1124482</v>
      </c>
      <c r="BY151" s="180">
        <v>0</v>
      </c>
      <c r="BZ151" s="180">
        <v>0</v>
      </c>
      <c r="CA151" s="180">
        <v>0</v>
      </c>
      <c r="CB151" s="180">
        <v>0</v>
      </c>
      <c r="CC151" s="180">
        <v>0</v>
      </c>
      <c r="CD151" s="180"/>
      <c r="CE151" s="180">
        <v>0</v>
      </c>
      <c r="CF151" s="180">
        <v>0</v>
      </c>
      <c r="CG151" s="180">
        <v>0</v>
      </c>
      <c r="CH151" s="180">
        <v>0</v>
      </c>
      <c r="CI151" s="180"/>
      <c r="CJ151" s="180"/>
      <c r="CK151" s="180"/>
      <c r="CL151" s="180"/>
      <c r="CM151" s="180"/>
      <c r="CN151" s="180"/>
      <c r="CO151" s="180"/>
      <c r="CP151" s="180"/>
      <c r="CQ151" s="180"/>
      <c r="CR151" s="180"/>
      <c r="CS151" s="180"/>
      <c r="CT151" s="180"/>
      <c r="CU151" s="180"/>
    </row>
    <row r="152" spans="1:99" x14ac:dyDescent="0.3">
      <c r="A152" s="155">
        <v>579</v>
      </c>
      <c r="B152" s="180" t="s">
        <v>893</v>
      </c>
      <c r="C152" s="180"/>
      <c r="D152" s="180">
        <v>0</v>
      </c>
      <c r="E152" s="180">
        <v>0</v>
      </c>
      <c r="F152" s="180">
        <v>0</v>
      </c>
      <c r="G152" s="180">
        <v>0</v>
      </c>
      <c r="H152" s="180"/>
      <c r="I152" s="180">
        <v>0</v>
      </c>
      <c r="J152" s="180">
        <v>0</v>
      </c>
      <c r="K152" s="180">
        <v>0</v>
      </c>
      <c r="L152" s="180">
        <v>0</v>
      </c>
      <c r="M152" s="180">
        <v>0</v>
      </c>
      <c r="N152" s="180">
        <v>0</v>
      </c>
      <c r="O152" s="180">
        <v>0</v>
      </c>
      <c r="P152" s="180">
        <v>0</v>
      </c>
      <c r="Q152" s="180">
        <v>0</v>
      </c>
      <c r="R152" s="180">
        <v>0</v>
      </c>
      <c r="S152" s="180">
        <v>0</v>
      </c>
      <c r="T152" s="180">
        <v>0</v>
      </c>
      <c r="U152" s="180">
        <v>0</v>
      </c>
      <c r="V152" s="180">
        <v>0</v>
      </c>
      <c r="W152" s="180">
        <v>0</v>
      </c>
      <c r="X152" s="180">
        <v>0</v>
      </c>
      <c r="Y152" s="180">
        <v>0</v>
      </c>
      <c r="Z152" s="180">
        <v>0</v>
      </c>
      <c r="AA152" s="180">
        <v>0</v>
      </c>
      <c r="AB152" s="180">
        <v>0</v>
      </c>
      <c r="AC152" s="180"/>
      <c r="AD152" s="180">
        <v>0</v>
      </c>
      <c r="AE152" s="180">
        <v>0</v>
      </c>
      <c r="AF152" s="180">
        <v>0</v>
      </c>
      <c r="AG152" s="180">
        <v>0</v>
      </c>
      <c r="AH152" s="180">
        <v>0</v>
      </c>
      <c r="AI152" s="180">
        <v>0</v>
      </c>
      <c r="AJ152" s="180">
        <v>0</v>
      </c>
      <c r="AK152" s="180">
        <v>0</v>
      </c>
      <c r="AL152" s="180">
        <v>0</v>
      </c>
      <c r="AM152" s="180"/>
      <c r="AN152" s="180">
        <v>0</v>
      </c>
      <c r="AO152" s="180"/>
      <c r="AP152" s="180">
        <v>0</v>
      </c>
      <c r="AQ152" s="180">
        <v>0</v>
      </c>
      <c r="AR152" s="180">
        <v>0</v>
      </c>
      <c r="AS152" s="180">
        <v>0</v>
      </c>
      <c r="AT152" s="180">
        <v>0</v>
      </c>
      <c r="AU152" s="180">
        <v>0</v>
      </c>
      <c r="AV152" s="180">
        <v>0</v>
      </c>
      <c r="AW152" s="180">
        <v>0</v>
      </c>
      <c r="AX152" s="180">
        <v>0</v>
      </c>
      <c r="AY152" s="180">
        <v>0</v>
      </c>
      <c r="AZ152" s="180">
        <v>0</v>
      </c>
      <c r="BA152" s="180">
        <v>0</v>
      </c>
      <c r="BB152" s="180">
        <v>0</v>
      </c>
      <c r="BC152" s="180">
        <v>0</v>
      </c>
      <c r="BD152" s="180">
        <v>0</v>
      </c>
      <c r="BE152" s="180">
        <v>0</v>
      </c>
      <c r="BF152" s="180">
        <v>0</v>
      </c>
      <c r="BG152" s="180">
        <v>0</v>
      </c>
      <c r="BH152" s="180">
        <v>0</v>
      </c>
      <c r="BI152" s="180">
        <v>0</v>
      </c>
      <c r="BJ152" s="180">
        <v>0</v>
      </c>
      <c r="BK152" s="180"/>
      <c r="BL152" s="180">
        <v>0</v>
      </c>
      <c r="BM152" s="180">
        <v>0</v>
      </c>
      <c r="BN152" s="180">
        <v>0</v>
      </c>
      <c r="BO152" s="180">
        <v>0</v>
      </c>
      <c r="BP152" s="180">
        <v>0</v>
      </c>
      <c r="BQ152" s="180">
        <v>0</v>
      </c>
      <c r="BR152" s="180"/>
      <c r="BS152" s="180">
        <v>0</v>
      </c>
      <c r="BT152" s="180"/>
      <c r="BU152" s="180">
        <v>0</v>
      </c>
      <c r="BV152" s="180">
        <v>0</v>
      </c>
      <c r="BW152" s="180">
        <v>0</v>
      </c>
      <c r="BX152" s="180">
        <v>0</v>
      </c>
      <c r="BY152" s="180">
        <v>0</v>
      </c>
      <c r="BZ152" s="180">
        <v>0</v>
      </c>
      <c r="CA152" s="180">
        <v>0</v>
      </c>
      <c r="CB152" s="180">
        <v>0</v>
      </c>
      <c r="CC152" s="180">
        <v>0</v>
      </c>
      <c r="CD152" s="180"/>
      <c r="CE152" s="180">
        <v>0</v>
      </c>
      <c r="CF152" s="180">
        <v>0</v>
      </c>
      <c r="CG152" s="180">
        <v>0</v>
      </c>
      <c r="CH152" s="180">
        <v>0</v>
      </c>
      <c r="CI152" s="180"/>
      <c r="CJ152" s="180"/>
      <c r="CK152" s="180"/>
      <c r="CL152" s="180"/>
      <c r="CM152" s="180"/>
      <c r="CN152" s="180"/>
      <c r="CO152" s="180"/>
      <c r="CP152" s="180"/>
      <c r="CQ152" s="180"/>
      <c r="CR152" s="180"/>
      <c r="CS152" s="180"/>
      <c r="CT152" s="180"/>
      <c r="CU152" s="180"/>
    </row>
    <row r="153" spans="1:99" x14ac:dyDescent="0.3">
      <c r="A153" s="155">
        <v>580</v>
      </c>
      <c r="B153" s="180" t="s">
        <v>894</v>
      </c>
      <c r="C153" s="180"/>
      <c r="D153" s="180">
        <v>0</v>
      </c>
      <c r="E153" s="180">
        <v>0</v>
      </c>
      <c r="F153" s="180">
        <v>0</v>
      </c>
      <c r="G153" s="180">
        <v>0</v>
      </c>
      <c r="H153" s="180"/>
      <c r="I153" s="180">
        <v>0</v>
      </c>
      <c r="J153" s="180">
        <v>0</v>
      </c>
      <c r="K153" s="180">
        <v>0</v>
      </c>
      <c r="L153" s="180">
        <v>0</v>
      </c>
      <c r="M153" s="180">
        <v>0</v>
      </c>
      <c r="N153" s="180">
        <v>0</v>
      </c>
      <c r="O153" s="180">
        <v>0</v>
      </c>
      <c r="P153" s="180">
        <v>0</v>
      </c>
      <c r="Q153" s="180">
        <v>0</v>
      </c>
      <c r="R153" s="180">
        <v>0</v>
      </c>
      <c r="S153" s="180">
        <v>0</v>
      </c>
      <c r="T153" s="180">
        <v>0</v>
      </c>
      <c r="U153" s="180">
        <v>0</v>
      </c>
      <c r="V153" s="180">
        <v>0</v>
      </c>
      <c r="W153" s="180">
        <v>0</v>
      </c>
      <c r="X153" s="180">
        <v>0</v>
      </c>
      <c r="Y153" s="180">
        <v>0</v>
      </c>
      <c r="Z153" s="180">
        <v>0</v>
      </c>
      <c r="AA153" s="180">
        <v>0</v>
      </c>
      <c r="AB153" s="180">
        <v>0</v>
      </c>
      <c r="AC153" s="180"/>
      <c r="AD153" s="180">
        <v>0</v>
      </c>
      <c r="AE153" s="180">
        <v>0</v>
      </c>
      <c r="AF153" s="180">
        <v>0</v>
      </c>
      <c r="AG153" s="180">
        <v>0</v>
      </c>
      <c r="AH153" s="180">
        <v>0</v>
      </c>
      <c r="AI153" s="180">
        <v>0</v>
      </c>
      <c r="AJ153" s="180">
        <v>0</v>
      </c>
      <c r="AK153" s="180">
        <v>0</v>
      </c>
      <c r="AL153" s="180">
        <v>0</v>
      </c>
      <c r="AM153" s="180"/>
      <c r="AN153" s="180">
        <v>0</v>
      </c>
      <c r="AO153" s="180"/>
      <c r="AP153" s="180">
        <v>0</v>
      </c>
      <c r="AQ153" s="180">
        <v>0</v>
      </c>
      <c r="AR153" s="180">
        <v>0</v>
      </c>
      <c r="AS153" s="180">
        <v>0</v>
      </c>
      <c r="AT153" s="180">
        <v>0</v>
      </c>
      <c r="AU153" s="180">
        <v>0</v>
      </c>
      <c r="AV153" s="180">
        <v>0</v>
      </c>
      <c r="AW153" s="180">
        <v>0</v>
      </c>
      <c r="AX153" s="180">
        <v>0</v>
      </c>
      <c r="AY153" s="180">
        <v>0</v>
      </c>
      <c r="AZ153" s="180">
        <v>0</v>
      </c>
      <c r="BA153" s="180">
        <v>0</v>
      </c>
      <c r="BB153" s="180">
        <v>0</v>
      </c>
      <c r="BC153" s="180">
        <v>0</v>
      </c>
      <c r="BD153" s="180">
        <v>0</v>
      </c>
      <c r="BE153" s="180">
        <v>0</v>
      </c>
      <c r="BF153" s="180">
        <v>0</v>
      </c>
      <c r="BG153" s="180">
        <v>0</v>
      </c>
      <c r="BH153" s="180">
        <v>0</v>
      </c>
      <c r="BI153" s="180">
        <v>0</v>
      </c>
      <c r="BJ153" s="180">
        <v>0</v>
      </c>
      <c r="BK153" s="180"/>
      <c r="BL153" s="180">
        <v>0</v>
      </c>
      <c r="BM153" s="180">
        <v>0</v>
      </c>
      <c r="BN153" s="180">
        <v>0</v>
      </c>
      <c r="BO153" s="180">
        <v>0</v>
      </c>
      <c r="BP153" s="180">
        <v>0</v>
      </c>
      <c r="BQ153" s="180">
        <v>0</v>
      </c>
      <c r="BR153" s="180"/>
      <c r="BS153" s="180">
        <v>0</v>
      </c>
      <c r="BT153" s="180"/>
      <c r="BU153" s="180">
        <v>0</v>
      </c>
      <c r="BV153" s="180">
        <v>0</v>
      </c>
      <c r="BW153" s="180">
        <v>0</v>
      </c>
      <c r="BX153" s="180">
        <v>0</v>
      </c>
      <c r="BY153" s="180">
        <v>0</v>
      </c>
      <c r="BZ153" s="180">
        <v>0</v>
      </c>
      <c r="CA153" s="180">
        <v>0</v>
      </c>
      <c r="CB153" s="180">
        <v>0</v>
      </c>
      <c r="CC153" s="180">
        <v>0</v>
      </c>
      <c r="CD153" s="180"/>
      <c r="CE153" s="180">
        <v>0</v>
      </c>
      <c r="CF153" s="180">
        <v>0</v>
      </c>
      <c r="CG153" s="180">
        <v>0</v>
      </c>
      <c r="CH153" s="180">
        <v>0</v>
      </c>
      <c r="CI153" s="180"/>
      <c r="CJ153" s="180"/>
      <c r="CK153" s="180"/>
      <c r="CL153" s="180"/>
      <c r="CM153" s="180"/>
      <c r="CN153" s="180"/>
      <c r="CO153" s="180"/>
      <c r="CP153" s="180"/>
      <c r="CQ153" s="180"/>
      <c r="CR153" s="180"/>
      <c r="CS153" s="180"/>
      <c r="CT153" s="180"/>
      <c r="CU153" s="180"/>
    </row>
    <row r="154" spans="1:99" x14ac:dyDescent="0.3">
      <c r="A154" s="155">
        <v>581</v>
      </c>
      <c r="B154" s="180" t="s">
        <v>895</v>
      </c>
      <c r="C154" s="180"/>
      <c r="D154" s="180">
        <v>0</v>
      </c>
      <c r="E154" s="180">
        <v>0</v>
      </c>
      <c r="F154" s="180">
        <v>0</v>
      </c>
      <c r="G154" s="180">
        <v>0</v>
      </c>
      <c r="H154" s="180"/>
      <c r="I154" s="180">
        <v>0</v>
      </c>
      <c r="J154" s="180">
        <v>0</v>
      </c>
      <c r="K154" s="180">
        <v>0</v>
      </c>
      <c r="L154" s="180">
        <v>0</v>
      </c>
      <c r="M154" s="180">
        <v>0</v>
      </c>
      <c r="N154" s="180">
        <v>0</v>
      </c>
      <c r="O154" s="180">
        <v>0</v>
      </c>
      <c r="P154" s="180">
        <v>0</v>
      </c>
      <c r="Q154" s="180">
        <v>0</v>
      </c>
      <c r="R154" s="180">
        <v>0</v>
      </c>
      <c r="S154" s="180">
        <v>0</v>
      </c>
      <c r="T154" s="180">
        <v>0</v>
      </c>
      <c r="U154" s="180">
        <v>0</v>
      </c>
      <c r="V154" s="180">
        <v>0</v>
      </c>
      <c r="W154" s="180">
        <v>0</v>
      </c>
      <c r="X154" s="180">
        <v>0</v>
      </c>
      <c r="Y154" s="180">
        <v>0</v>
      </c>
      <c r="Z154" s="180">
        <v>0</v>
      </c>
      <c r="AA154" s="180">
        <v>0</v>
      </c>
      <c r="AB154" s="180">
        <v>0</v>
      </c>
      <c r="AC154" s="180"/>
      <c r="AD154" s="180">
        <v>0</v>
      </c>
      <c r="AE154" s="180">
        <v>0</v>
      </c>
      <c r="AF154" s="180">
        <v>0</v>
      </c>
      <c r="AG154" s="180">
        <v>0</v>
      </c>
      <c r="AH154" s="180">
        <v>0</v>
      </c>
      <c r="AI154" s="180">
        <v>0</v>
      </c>
      <c r="AJ154" s="180">
        <v>0</v>
      </c>
      <c r="AK154" s="180">
        <v>0</v>
      </c>
      <c r="AL154" s="180">
        <v>0</v>
      </c>
      <c r="AM154" s="180"/>
      <c r="AN154" s="180">
        <v>0</v>
      </c>
      <c r="AO154" s="180"/>
      <c r="AP154" s="180">
        <v>0</v>
      </c>
      <c r="AQ154" s="180">
        <v>0</v>
      </c>
      <c r="AR154" s="180">
        <v>0</v>
      </c>
      <c r="AS154" s="180">
        <v>0</v>
      </c>
      <c r="AT154" s="180">
        <v>0</v>
      </c>
      <c r="AU154" s="180">
        <v>0</v>
      </c>
      <c r="AV154" s="180">
        <v>0</v>
      </c>
      <c r="AW154" s="180">
        <v>0</v>
      </c>
      <c r="AX154" s="180">
        <v>0</v>
      </c>
      <c r="AY154" s="180">
        <v>0</v>
      </c>
      <c r="AZ154" s="180">
        <v>0</v>
      </c>
      <c r="BA154" s="180">
        <v>0</v>
      </c>
      <c r="BB154" s="180">
        <v>0</v>
      </c>
      <c r="BC154" s="180">
        <v>0</v>
      </c>
      <c r="BD154" s="180">
        <v>0</v>
      </c>
      <c r="BE154" s="180">
        <v>0</v>
      </c>
      <c r="BF154" s="180">
        <v>0</v>
      </c>
      <c r="BG154" s="180">
        <v>0</v>
      </c>
      <c r="BH154" s="180">
        <v>0</v>
      </c>
      <c r="BI154" s="180">
        <v>0</v>
      </c>
      <c r="BJ154" s="180">
        <v>0</v>
      </c>
      <c r="BK154" s="180"/>
      <c r="BL154" s="180">
        <v>0</v>
      </c>
      <c r="BM154" s="180">
        <v>0</v>
      </c>
      <c r="BN154" s="180">
        <v>0</v>
      </c>
      <c r="BO154" s="180">
        <v>0</v>
      </c>
      <c r="BP154" s="180">
        <v>0</v>
      </c>
      <c r="BQ154" s="180">
        <v>0</v>
      </c>
      <c r="BR154" s="180"/>
      <c r="BS154" s="180">
        <v>0</v>
      </c>
      <c r="BT154" s="180"/>
      <c r="BU154" s="180">
        <v>0</v>
      </c>
      <c r="BV154" s="180">
        <v>0</v>
      </c>
      <c r="BW154" s="180">
        <v>0</v>
      </c>
      <c r="BX154" s="180">
        <v>0</v>
      </c>
      <c r="BY154" s="180">
        <v>0</v>
      </c>
      <c r="BZ154" s="180">
        <v>0</v>
      </c>
      <c r="CA154" s="180">
        <v>0</v>
      </c>
      <c r="CB154" s="180">
        <v>0</v>
      </c>
      <c r="CC154" s="180">
        <v>0</v>
      </c>
      <c r="CD154" s="180"/>
      <c r="CE154" s="180">
        <v>0</v>
      </c>
      <c r="CF154" s="180">
        <v>0</v>
      </c>
      <c r="CG154" s="180">
        <v>0</v>
      </c>
      <c r="CH154" s="180">
        <v>0</v>
      </c>
      <c r="CI154" s="180"/>
      <c r="CJ154" s="180"/>
      <c r="CK154" s="180"/>
      <c r="CL154" s="180"/>
      <c r="CM154" s="180"/>
      <c r="CN154" s="180"/>
      <c r="CO154" s="180"/>
      <c r="CP154" s="180"/>
      <c r="CQ154" s="180"/>
      <c r="CR154" s="180"/>
      <c r="CS154" s="180"/>
      <c r="CT154" s="180"/>
      <c r="CU154" s="180"/>
    </row>
    <row r="155" spans="1:99" x14ac:dyDescent="0.3">
      <c r="A155" s="155">
        <v>586</v>
      </c>
      <c r="B155" s="180" t="s">
        <v>896</v>
      </c>
      <c r="C155" s="180"/>
      <c r="D155" s="180">
        <v>0</v>
      </c>
      <c r="E155" s="180">
        <v>0</v>
      </c>
      <c r="F155" s="180">
        <v>0</v>
      </c>
      <c r="G155" s="180">
        <v>0</v>
      </c>
      <c r="H155" s="180"/>
      <c r="I155" s="180">
        <v>0</v>
      </c>
      <c r="J155" s="180">
        <v>0</v>
      </c>
      <c r="K155" s="180">
        <v>441206</v>
      </c>
      <c r="L155" s="180">
        <v>0</v>
      </c>
      <c r="M155" s="180">
        <v>0</v>
      </c>
      <c r="N155" s="180">
        <v>0</v>
      </c>
      <c r="O155" s="180">
        <v>0</v>
      </c>
      <c r="P155" s="180">
        <v>0</v>
      </c>
      <c r="Q155" s="180">
        <v>0</v>
      </c>
      <c r="R155" s="180">
        <v>0</v>
      </c>
      <c r="S155" s="180">
        <v>0</v>
      </c>
      <c r="T155" s="180">
        <v>0</v>
      </c>
      <c r="U155" s="180">
        <v>0</v>
      </c>
      <c r="V155" s="180">
        <v>0</v>
      </c>
      <c r="W155" s="180">
        <v>0</v>
      </c>
      <c r="X155" s="180">
        <v>0</v>
      </c>
      <c r="Y155" s="180">
        <v>0</v>
      </c>
      <c r="Z155" s="180">
        <v>0</v>
      </c>
      <c r="AA155" s="180">
        <v>0</v>
      </c>
      <c r="AB155" s="180">
        <v>0</v>
      </c>
      <c r="AC155" s="180"/>
      <c r="AD155" s="180">
        <v>0</v>
      </c>
      <c r="AE155" s="180">
        <v>0</v>
      </c>
      <c r="AF155" s="180">
        <v>0</v>
      </c>
      <c r="AG155" s="180">
        <v>0</v>
      </c>
      <c r="AH155" s="180">
        <v>0</v>
      </c>
      <c r="AI155" s="180">
        <v>0</v>
      </c>
      <c r="AJ155" s="180">
        <v>480</v>
      </c>
      <c r="AK155" s="180">
        <v>0</v>
      </c>
      <c r="AL155" s="180">
        <v>0</v>
      </c>
      <c r="AM155" s="180"/>
      <c r="AN155" s="180">
        <v>0</v>
      </c>
      <c r="AO155" s="180"/>
      <c r="AP155" s="180">
        <v>0</v>
      </c>
      <c r="AQ155" s="180">
        <v>0</v>
      </c>
      <c r="AR155" s="180">
        <v>0</v>
      </c>
      <c r="AS155" s="180">
        <v>0</v>
      </c>
      <c r="AT155" s="180">
        <v>0</v>
      </c>
      <c r="AU155" s="180">
        <v>0</v>
      </c>
      <c r="AV155" s="180">
        <v>0</v>
      </c>
      <c r="AW155" s="180">
        <v>0</v>
      </c>
      <c r="AX155" s="180">
        <v>57166</v>
      </c>
      <c r="AY155" s="180">
        <v>0</v>
      </c>
      <c r="AZ155" s="180">
        <v>0</v>
      </c>
      <c r="BA155" s="180">
        <v>0</v>
      </c>
      <c r="BB155" s="180">
        <v>0</v>
      </c>
      <c r="BC155" s="180">
        <v>0</v>
      </c>
      <c r="BD155" s="180">
        <v>0</v>
      </c>
      <c r="BE155" s="180">
        <v>0</v>
      </c>
      <c r="BF155" s="180">
        <v>0</v>
      </c>
      <c r="BG155" s="180">
        <v>0</v>
      </c>
      <c r="BH155" s="180">
        <v>0</v>
      </c>
      <c r="BI155" s="180">
        <v>0</v>
      </c>
      <c r="BJ155" s="180">
        <v>0</v>
      </c>
      <c r="BK155" s="180"/>
      <c r="BL155" s="180">
        <v>0</v>
      </c>
      <c r="BM155" s="180">
        <v>0</v>
      </c>
      <c r="BN155" s="180">
        <v>0</v>
      </c>
      <c r="BO155" s="180">
        <v>0</v>
      </c>
      <c r="BP155" s="180">
        <v>0</v>
      </c>
      <c r="BQ155" s="180">
        <v>0</v>
      </c>
      <c r="BR155" s="180"/>
      <c r="BS155" s="180">
        <v>0</v>
      </c>
      <c r="BT155" s="180"/>
      <c r="BU155" s="180">
        <v>0</v>
      </c>
      <c r="BV155" s="180">
        <v>0</v>
      </c>
      <c r="BW155" s="180">
        <v>0</v>
      </c>
      <c r="BX155" s="180">
        <v>0</v>
      </c>
      <c r="BY155" s="180">
        <v>0</v>
      </c>
      <c r="BZ155" s="180">
        <v>0</v>
      </c>
      <c r="CA155" s="180">
        <v>0</v>
      </c>
      <c r="CB155" s="180">
        <v>0</v>
      </c>
      <c r="CC155" s="180">
        <v>0</v>
      </c>
      <c r="CD155" s="180"/>
      <c r="CE155" s="180">
        <v>0</v>
      </c>
      <c r="CF155" s="180">
        <v>0</v>
      </c>
      <c r="CG155" s="180">
        <v>0</v>
      </c>
      <c r="CH155" s="180">
        <v>0</v>
      </c>
      <c r="CI155" s="180"/>
      <c r="CJ155" s="180"/>
      <c r="CK155" s="180"/>
      <c r="CL155" s="180"/>
      <c r="CM155" s="180"/>
      <c r="CN155" s="180"/>
      <c r="CO155" s="180"/>
      <c r="CP155" s="180"/>
      <c r="CQ155" s="180"/>
      <c r="CR155" s="180"/>
      <c r="CS155" s="180"/>
      <c r="CT155" s="180"/>
      <c r="CU155" s="180"/>
    </row>
    <row r="156" spans="1:99" x14ac:dyDescent="0.3">
      <c r="A156" s="155">
        <v>590</v>
      </c>
      <c r="B156" s="180" t="s">
        <v>1582</v>
      </c>
      <c r="C156" s="180"/>
      <c r="D156" s="180" t="s">
        <v>2590</v>
      </c>
      <c r="E156" s="180"/>
      <c r="F156" s="180" t="s">
        <v>1986</v>
      </c>
      <c r="G156" s="180" t="s">
        <v>2591</v>
      </c>
      <c r="H156" s="180"/>
      <c r="I156" s="180"/>
      <c r="J156" s="180" t="s">
        <v>1986</v>
      </c>
      <c r="K156" s="180" t="s">
        <v>1986</v>
      </c>
      <c r="L156" s="180" t="s">
        <v>1986</v>
      </c>
      <c r="M156" s="180" t="s">
        <v>1986</v>
      </c>
      <c r="N156" s="180" t="s">
        <v>1986</v>
      </c>
      <c r="O156" s="180" t="s">
        <v>2592</v>
      </c>
      <c r="P156" s="180" t="s">
        <v>2593</v>
      </c>
      <c r="Q156" s="180" t="s">
        <v>1986</v>
      </c>
      <c r="R156" s="180" t="s">
        <v>1986</v>
      </c>
      <c r="S156" s="180" t="s">
        <v>1986</v>
      </c>
      <c r="T156" s="180" t="s">
        <v>1986</v>
      </c>
      <c r="U156" s="180" t="s">
        <v>1986</v>
      </c>
      <c r="V156" s="180" t="s">
        <v>1986</v>
      </c>
      <c r="W156" s="180" t="s">
        <v>1986</v>
      </c>
      <c r="X156" s="180" t="s">
        <v>2594</v>
      </c>
      <c r="Y156" s="180" t="s">
        <v>1986</v>
      </c>
      <c r="Z156" s="180" t="s">
        <v>1986</v>
      </c>
      <c r="AA156" s="180" t="s">
        <v>1986</v>
      </c>
      <c r="AB156" s="180" t="s">
        <v>1986</v>
      </c>
      <c r="AC156" s="180"/>
      <c r="AD156" s="180" t="s">
        <v>1986</v>
      </c>
      <c r="AE156" s="180" t="s">
        <v>1584</v>
      </c>
      <c r="AF156" s="180" t="s">
        <v>1986</v>
      </c>
      <c r="AG156" s="180" t="s">
        <v>1584</v>
      </c>
      <c r="AH156" s="180" t="s">
        <v>1986</v>
      </c>
      <c r="AI156" s="180" t="s">
        <v>1986</v>
      </c>
      <c r="AJ156" s="180" t="s">
        <v>1986</v>
      </c>
      <c r="AK156" s="180" t="s">
        <v>1986</v>
      </c>
      <c r="AL156" s="180" t="s">
        <v>1986</v>
      </c>
      <c r="AM156" s="180"/>
      <c r="AN156" s="180" t="s">
        <v>1986</v>
      </c>
      <c r="AO156" s="180"/>
      <c r="AP156" s="180"/>
      <c r="AQ156" s="180" t="s">
        <v>1986</v>
      </c>
      <c r="AR156" s="180" t="s">
        <v>1986</v>
      </c>
      <c r="AS156" s="180"/>
      <c r="AT156" s="180" t="s">
        <v>1986</v>
      </c>
      <c r="AU156" s="180" t="s">
        <v>1584</v>
      </c>
      <c r="AV156" s="180" t="s">
        <v>1986</v>
      </c>
      <c r="AW156" s="180" t="s">
        <v>1986</v>
      </c>
      <c r="AX156" s="180" t="s">
        <v>1986</v>
      </c>
      <c r="AY156" s="180" t="s">
        <v>2595</v>
      </c>
      <c r="AZ156" s="180"/>
      <c r="BA156" s="180" t="s">
        <v>1986</v>
      </c>
      <c r="BB156" s="180"/>
      <c r="BC156" s="180" t="s">
        <v>1986</v>
      </c>
      <c r="BD156" s="180" t="s">
        <v>1986</v>
      </c>
      <c r="BE156" s="180" t="s">
        <v>1986</v>
      </c>
      <c r="BF156" s="180" t="s">
        <v>1986</v>
      </c>
      <c r="BG156" s="180" t="s">
        <v>1986</v>
      </c>
      <c r="BH156" s="180" t="s">
        <v>1986</v>
      </c>
      <c r="BI156" s="180" t="s">
        <v>1986</v>
      </c>
      <c r="BJ156" s="180" t="s">
        <v>1986</v>
      </c>
      <c r="BK156" s="180"/>
      <c r="BL156" s="180" t="s">
        <v>1986</v>
      </c>
      <c r="BM156" s="180" t="s">
        <v>1584</v>
      </c>
      <c r="BN156" s="180" t="s">
        <v>1986</v>
      </c>
      <c r="BO156" s="180" t="s">
        <v>1986</v>
      </c>
      <c r="BP156" s="180" t="s">
        <v>1986</v>
      </c>
      <c r="BQ156" s="180" t="s">
        <v>1583</v>
      </c>
      <c r="BR156" s="180"/>
      <c r="BS156" s="180"/>
      <c r="BT156" s="180"/>
      <c r="BU156" s="180" t="s">
        <v>1986</v>
      </c>
      <c r="BV156" s="180"/>
      <c r="BW156" s="180" t="s">
        <v>1584</v>
      </c>
      <c r="BX156" s="180" t="s">
        <v>1986</v>
      </c>
      <c r="BY156" s="180" t="s">
        <v>1584</v>
      </c>
      <c r="BZ156" s="180"/>
      <c r="CA156" s="180" t="s">
        <v>1986</v>
      </c>
      <c r="CB156" s="180" t="s">
        <v>1583</v>
      </c>
      <c r="CC156" s="180" t="s">
        <v>1986</v>
      </c>
      <c r="CD156" s="180"/>
      <c r="CE156" s="180" t="s">
        <v>1986</v>
      </c>
      <c r="CF156" s="180" t="s">
        <v>1986</v>
      </c>
      <c r="CG156" s="180" t="s">
        <v>1986</v>
      </c>
      <c r="CH156" s="180" t="s">
        <v>1584</v>
      </c>
      <c r="CI156" s="180"/>
      <c r="CJ156" s="180"/>
      <c r="CK156" s="180"/>
      <c r="CL156" s="180"/>
      <c r="CM156" s="180"/>
      <c r="CN156" s="180"/>
      <c r="CO156" s="180"/>
      <c r="CP156" s="180"/>
      <c r="CQ156" s="180"/>
      <c r="CR156" s="180"/>
      <c r="CS156" s="180"/>
      <c r="CT156" s="180"/>
      <c r="CU156" s="180"/>
    </row>
    <row r="157" spans="1:99" s="567" customFormat="1" x14ac:dyDescent="0.3">
      <c r="A157" s="566">
        <v>591</v>
      </c>
      <c r="B157" s="567" t="s">
        <v>327</v>
      </c>
      <c r="D157" s="567">
        <v>272126</v>
      </c>
      <c r="E157" s="567">
        <v>0</v>
      </c>
      <c r="F157" s="567">
        <v>346143</v>
      </c>
      <c r="G157" s="567">
        <v>160584</v>
      </c>
      <c r="I157" s="567">
        <v>2644303</v>
      </c>
      <c r="J157" s="567">
        <v>0</v>
      </c>
      <c r="K157" s="567">
        <v>7813912</v>
      </c>
      <c r="L157" s="567">
        <v>0</v>
      </c>
      <c r="M157" s="567">
        <v>753842</v>
      </c>
      <c r="N157" s="567">
        <v>1939827</v>
      </c>
      <c r="O157" s="567">
        <v>85667527</v>
      </c>
      <c r="P157" s="567">
        <v>0</v>
      </c>
      <c r="Q157" s="567">
        <v>0</v>
      </c>
      <c r="R157" s="567">
        <v>0</v>
      </c>
      <c r="S157" s="567">
        <v>0</v>
      </c>
      <c r="T157" s="567">
        <v>0</v>
      </c>
      <c r="U157" s="567">
        <v>0</v>
      </c>
      <c r="V157" s="567">
        <v>147315</v>
      </c>
      <c r="W157" s="567">
        <v>1268902</v>
      </c>
      <c r="X157" s="567">
        <v>37331857</v>
      </c>
      <c r="Y157" s="567">
        <v>1230892000</v>
      </c>
      <c r="Z157" s="567">
        <v>9269705</v>
      </c>
      <c r="AA157" s="567">
        <v>183902</v>
      </c>
      <c r="AB157" s="567">
        <v>0</v>
      </c>
      <c r="AD157" s="567">
        <v>1690006</v>
      </c>
      <c r="AE157" s="567">
        <v>577542</v>
      </c>
      <c r="AF157" s="567">
        <v>37734324</v>
      </c>
      <c r="AG157" s="567">
        <v>875913</v>
      </c>
      <c r="AH157" s="567">
        <v>508225</v>
      </c>
      <c r="AI157" s="567">
        <v>6854053</v>
      </c>
      <c r="AJ157" s="567">
        <v>1350492</v>
      </c>
      <c r="AK157" s="567">
        <v>442305</v>
      </c>
      <c r="AL157" s="567">
        <v>290077</v>
      </c>
      <c r="AN157" s="567">
        <v>1107754</v>
      </c>
      <c r="AP157" s="567">
        <v>0</v>
      </c>
      <c r="AQ157" s="567">
        <v>176133364</v>
      </c>
      <c r="AR157" s="567">
        <v>0</v>
      </c>
      <c r="AS157" s="567">
        <v>166495</v>
      </c>
      <c r="AT157" s="567">
        <v>5271938</v>
      </c>
      <c r="AU157" s="567">
        <v>588006</v>
      </c>
      <c r="AV157" s="1040">
        <v>0</v>
      </c>
      <c r="AW157" s="567">
        <v>6744881</v>
      </c>
      <c r="AX157" s="567">
        <v>373845</v>
      </c>
      <c r="AY157" s="567">
        <v>0</v>
      </c>
      <c r="AZ157" s="567">
        <v>253829</v>
      </c>
      <c r="BA157" s="567">
        <v>531574</v>
      </c>
      <c r="BB157" s="567">
        <v>131679</v>
      </c>
      <c r="BC157" s="567">
        <v>11655200</v>
      </c>
      <c r="BD157" s="567">
        <v>0</v>
      </c>
      <c r="BE157" s="567">
        <v>270322</v>
      </c>
      <c r="BF157" s="567">
        <v>1674219</v>
      </c>
      <c r="BG157" s="567">
        <v>0</v>
      </c>
      <c r="BH157" s="567">
        <v>0</v>
      </c>
      <c r="BI157" s="567">
        <v>2297251</v>
      </c>
      <c r="BJ157" s="567">
        <v>0</v>
      </c>
      <c r="BL157" s="567">
        <v>2827679</v>
      </c>
      <c r="BM157" s="567">
        <v>322611</v>
      </c>
      <c r="BN157" s="567">
        <v>0</v>
      </c>
      <c r="BO157" s="567">
        <v>7727708</v>
      </c>
      <c r="BP157" s="567">
        <v>215732828</v>
      </c>
      <c r="BQ157" s="567">
        <v>0</v>
      </c>
      <c r="BS157" s="567">
        <v>361501</v>
      </c>
      <c r="BU157" s="567">
        <v>0</v>
      </c>
      <c r="BV157" s="567">
        <v>11013169</v>
      </c>
      <c r="BW157" s="567">
        <v>16294624</v>
      </c>
      <c r="BX157" s="567">
        <v>44466656</v>
      </c>
      <c r="BY157" s="567">
        <v>2836263</v>
      </c>
      <c r="BZ157" s="567">
        <v>310000</v>
      </c>
      <c r="CA157" s="567">
        <v>1447334</v>
      </c>
      <c r="CB157" s="567">
        <v>616064</v>
      </c>
      <c r="CC157" s="567">
        <v>641609</v>
      </c>
      <c r="CE157" s="567">
        <v>4666583</v>
      </c>
      <c r="CF157" s="567">
        <v>0</v>
      </c>
      <c r="CG157" s="567">
        <v>3823578</v>
      </c>
      <c r="CH157" s="567">
        <v>0</v>
      </c>
    </row>
    <row r="158" spans="1:99" s="567" customFormat="1" x14ac:dyDescent="0.3">
      <c r="A158" s="566">
        <v>592</v>
      </c>
      <c r="B158" s="567" t="s">
        <v>328</v>
      </c>
      <c r="D158" s="567">
        <v>556106</v>
      </c>
      <c r="E158" s="567">
        <v>0</v>
      </c>
      <c r="F158" s="567">
        <v>24428</v>
      </c>
      <c r="G158" s="567">
        <v>-55167</v>
      </c>
      <c r="I158" s="567">
        <v>1322610</v>
      </c>
      <c r="J158" s="567">
        <v>0</v>
      </c>
      <c r="K158" s="567">
        <v>1907458</v>
      </c>
      <c r="L158" s="567">
        <v>0</v>
      </c>
      <c r="M158" s="567">
        <v>471752</v>
      </c>
      <c r="N158" s="567">
        <v>2645604</v>
      </c>
      <c r="O158" s="567">
        <v>27819107</v>
      </c>
      <c r="P158" s="567">
        <v>0</v>
      </c>
      <c r="Q158" s="567">
        <v>0</v>
      </c>
      <c r="R158" s="567">
        <v>0</v>
      </c>
      <c r="S158" s="567">
        <v>0</v>
      </c>
      <c r="T158" s="567">
        <v>0</v>
      </c>
      <c r="U158" s="567">
        <v>0</v>
      </c>
      <c r="V158" s="567">
        <v>-49702</v>
      </c>
      <c r="W158" s="567">
        <v>32835</v>
      </c>
      <c r="X158" s="567">
        <v>2023449</v>
      </c>
      <c r="Y158" s="567">
        <v>438736000</v>
      </c>
      <c r="Z158" s="567">
        <v>421089</v>
      </c>
      <c r="AA158" s="567">
        <v>-89567</v>
      </c>
      <c r="AB158" s="567">
        <v>0</v>
      </c>
      <c r="AD158" s="567">
        <v>3217426</v>
      </c>
      <c r="AE158" s="567">
        <v>93716</v>
      </c>
      <c r="AF158" s="567">
        <v>23411395</v>
      </c>
      <c r="AG158" s="567">
        <v>2590010</v>
      </c>
      <c r="AH158" s="567">
        <v>208426</v>
      </c>
      <c r="AI158" s="567">
        <v>-630184</v>
      </c>
      <c r="AJ158" s="567">
        <v>325998</v>
      </c>
      <c r="AK158" s="567">
        <v>712257</v>
      </c>
      <c r="AL158" s="567">
        <v>88013</v>
      </c>
      <c r="AN158" s="567">
        <v>-176113</v>
      </c>
      <c r="AP158" s="567">
        <v>0</v>
      </c>
      <c r="AQ158" s="567">
        <v>49356455</v>
      </c>
      <c r="AR158" s="567">
        <v>0</v>
      </c>
      <c r="AS158" s="567">
        <v>-110711</v>
      </c>
      <c r="AT158" s="567">
        <v>2821699</v>
      </c>
      <c r="AU158" s="567">
        <v>35848</v>
      </c>
      <c r="AV158" s="1040">
        <v>0</v>
      </c>
      <c r="AW158" s="567">
        <v>254734</v>
      </c>
      <c r="AX158" s="567">
        <v>-159593</v>
      </c>
      <c r="AY158" s="567">
        <v>0</v>
      </c>
      <c r="AZ158" s="567">
        <v>82552</v>
      </c>
      <c r="BA158" s="567">
        <v>-74423</v>
      </c>
      <c r="BB158" s="567">
        <v>-8965</v>
      </c>
      <c r="BC158" s="567">
        <v>-214189</v>
      </c>
      <c r="BD158" s="567">
        <v>0</v>
      </c>
      <c r="BE158" s="567">
        <v>45651</v>
      </c>
      <c r="BF158" s="567">
        <v>177099</v>
      </c>
      <c r="BG158" s="567">
        <v>0</v>
      </c>
      <c r="BH158" s="567">
        <v>0</v>
      </c>
      <c r="BI158" s="567">
        <v>453849</v>
      </c>
      <c r="BJ158" s="567">
        <v>0</v>
      </c>
      <c r="BL158" s="567">
        <v>170082</v>
      </c>
      <c r="BM158" s="567">
        <v>226288</v>
      </c>
      <c r="BN158" s="567">
        <v>0</v>
      </c>
      <c r="BO158" s="567">
        <v>5806850</v>
      </c>
      <c r="BP158" s="567">
        <v>57304347</v>
      </c>
      <c r="BQ158" s="567">
        <v>0</v>
      </c>
      <c r="BS158" s="567">
        <v>32291</v>
      </c>
      <c r="BU158" s="567">
        <v>0</v>
      </c>
      <c r="BV158" s="567">
        <v>2260879</v>
      </c>
      <c r="BW158" s="567">
        <v>-630706</v>
      </c>
      <c r="BX158" s="567">
        <v>2886467</v>
      </c>
      <c r="BY158" s="567">
        <v>383470</v>
      </c>
      <c r="BZ158" s="567">
        <v>-65768</v>
      </c>
      <c r="CA158" s="567">
        <v>596079</v>
      </c>
      <c r="CB158" s="567">
        <v>-28152</v>
      </c>
      <c r="CC158" s="567">
        <v>1841553</v>
      </c>
      <c r="CE158" s="567">
        <v>740444</v>
      </c>
      <c r="CF158" s="567">
        <v>0</v>
      </c>
      <c r="CG158" s="567">
        <v>892248</v>
      </c>
      <c r="CH158" s="567">
        <v>0</v>
      </c>
    </row>
    <row r="159" spans="1:99" x14ac:dyDescent="0.3">
      <c r="A159" s="155">
        <v>596</v>
      </c>
      <c r="B159" s="180" t="s">
        <v>333</v>
      </c>
      <c r="C159" s="180"/>
      <c r="D159" s="180">
        <v>52</v>
      </c>
      <c r="E159" s="180">
        <v>0</v>
      </c>
      <c r="F159" s="180">
        <v>52</v>
      </c>
      <c r="G159" s="180">
        <v>52</v>
      </c>
      <c r="H159" s="180"/>
      <c r="I159" s="180">
        <v>52</v>
      </c>
      <c r="J159" s="180">
        <v>52</v>
      </c>
      <c r="K159" s="180">
        <v>52</v>
      </c>
      <c r="L159" s="180">
        <v>52</v>
      </c>
      <c r="M159" s="180">
        <v>52</v>
      </c>
      <c r="N159" s="180">
        <v>52</v>
      </c>
      <c r="O159" s="180">
        <v>52</v>
      </c>
      <c r="P159" s="180">
        <v>0</v>
      </c>
      <c r="Q159" s="180">
        <v>0</v>
      </c>
      <c r="R159" s="180">
        <v>0</v>
      </c>
      <c r="S159" s="180">
        <v>52</v>
      </c>
      <c r="T159" s="180">
        <v>0</v>
      </c>
      <c r="U159" s="180">
        <v>0</v>
      </c>
      <c r="V159" s="180">
        <v>52</v>
      </c>
      <c r="W159" s="180">
        <v>52</v>
      </c>
      <c r="X159" s="180">
        <v>0</v>
      </c>
      <c r="Y159" s="180">
        <v>52</v>
      </c>
      <c r="Z159" s="180">
        <v>52</v>
      </c>
      <c r="AA159" s="180">
        <v>52</v>
      </c>
      <c r="AB159" s="180">
        <v>0</v>
      </c>
      <c r="AC159" s="180"/>
      <c r="AD159" s="180">
        <v>52</v>
      </c>
      <c r="AE159" s="180">
        <v>52</v>
      </c>
      <c r="AF159" s="180">
        <v>52</v>
      </c>
      <c r="AG159" s="180">
        <v>0</v>
      </c>
      <c r="AH159" s="180">
        <v>52</v>
      </c>
      <c r="AI159" s="180">
        <v>52</v>
      </c>
      <c r="AJ159" s="180">
        <v>52</v>
      </c>
      <c r="AK159" s="180">
        <v>52</v>
      </c>
      <c r="AL159" s="180">
        <v>52</v>
      </c>
      <c r="AM159" s="180"/>
      <c r="AN159" s="180">
        <v>52</v>
      </c>
      <c r="AO159" s="180"/>
      <c r="AP159" s="180">
        <v>0</v>
      </c>
      <c r="AQ159" s="180">
        <v>52</v>
      </c>
      <c r="AR159" s="180">
        <v>52</v>
      </c>
      <c r="AS159" s="180">
        <v>52</v>
      </c>
      <c r="AT159" s="180">
        <v>52</v>
      </c>
      <c r="AU159" s="180">
        <v>52</v>
      </c>
      <c r="AV159" s="180">
        <v>52</v>
      </c>
      <c r="AW159" s="180">
        <v>0</v>
      </c>
      <c r="AX159" s="180">
        <v>52</v>
      </c>
      <c r="AY159" s="180">
        <v>0</v>
      </c>
      <c r="AZ159" s="180">
        <v>52</v>
      </c>
      <c r="BA159" s="180">
        <v>52</v>
      </c>
      <c r="BB159" s="180">
        <v>52</v>
      </c>
      <c r="BC159" s="180">
        <v>52</v>
      </c>
      <c r="BD159" s="180">
        <v>0</v>
      </c>
      <c r="BE159" s="180">
        <v>0</v>
      </c>
      <c r="BF159" s="180">
        <v>52</v>
      </c>
      <c r="BG159" s="180">
        <v>52</v>
      </c>
      <c r="BH159" s="180">
        <v>52</v>
      </c>
      <c r="BI159" s="180">
        <v>52</v>
      </c>
      <c r="BJ159" s="180">
        <v>52</v>
      </c>
      <c r="BK159" s="180"/>
      <c r="BL159" s="180">
        <v>52</v>
      </c>
      <c r="BM159" s="180">
        <v>52</v>
      </c>
      <c r="BN159" s="180">
        <v>0</v>
      </c>
      <c r="BO159" s="180">
        <v>52</v>
      </c>
      <c r="BP159" s="180">
        <v>52</v>
      </c>
      <c r="BQ159" s="180">
        <v>0</v>
      </c>
      <c r="BR159" s="180"/>
      <c r="BS159" s="180">
        <v>52</v>
      </c>
      <c r="BT159" s="180"/>
      <c r="BU159" s="180">
        <v>52</v>
      </c>
      <c r="BV159" s="180">
        <v>52</v>
      </c>
      <c r="BW159" s="180">
        <v>52</v>
      </c>
      <c r="BX159" s="180">
        <v>52</v>
      </c>
      <c r="BY159" s="180">
        <v>52</v>
      </c>
      <c r="BZ159" s="180">
        <v>52</v>
      </c>
      <c r="CA159" s="180">
        <v>52</v>
      </c>
      <c r="CB159" s="180">
        <v>52</v>
      </c>
      <c r="CC159" s="180">
        <v>52</v>
      </c>
      <c r="CD159" s="180"/>
      <c r="CE159" s="180">
        <v>52</v>
      </c>
      <c r="CF159" s="180">
        <v>52</v>
      </c>
      <c r="CG159" s="180">
        <v>52</v>
      </c>
      <c r="CH159" s="180">
        <v>52</v>
      </c>
      <c r="CI159" s="180"/>
      <c r="CJ159" s="180"/>
      <c r="CK159" s="180"/>
      <c r="CL159" s="180"/>
      <c r="CM159" s="180"/>
      <c r="CN159" s="180"/>
      <c r="CO159" s="180"/>
      <c r="CP159" s="180"/>
      <c r="CQ159" s="180"/>
      <c r="CR159" s="180"/>
      <c r="CS159" s="180"/>
      <c r="CT159" s="180"/>
      <c r="CU159" s="180"/>
    </row>
    <row r="160" spans="1:99" x14ac:dyDescent="0.3">
      <c r="A160" s="155">
        <v>597</v>
      </c>
      <c r="B160" s="180" t="s">
        <v>336</v>
      </c>
      <c r="C160" s="180"/>
      <c r="D160" s="180">
        <v>82935</v>
      </c>
      <c r="E160" s="180">
        <v>12549</v>
      </c>
      <c r="F160" s="180">
        <v>15998</v>
      </c>
      <c r="G160" s="180">
        <v>561</v>
      </c>
      <c r="H160" s="180"/>
      <c r="I160" s="180">
        <v>164409</v>
      </c>
      <c r="J160" s="180">
        <v>5570</v>
      </c>
      <c r="K160" s="180">
        <v>539418</v>
      </c>
      <c r="L160" s="180">
        <v>135704</v>
      </c>
      <c r="M160" s="180">
        <v>1075793</v>
      </c>
      <c r="N160" s="180">
        <v>60820</v>
      </c>
      <c r="O160" s="180">
        <v>6842193</v>
      </c>
      <c r="P160" s="180">
        <v>75</v>
      </c>
      <c r="Q160" s="180">
        <v>1390</v>
      </c>
      <c r="R160" s="180">
        <v>30700</v>
      </c>
      <c r="S160" s="180">
        <v>42231</v>
      </c>
      <c r="T160" s="180">
        <v>45069</v>
      </c>
      <c r="U160" s="180">
        <v>0</v>
      </c>
      <c r="V160" s="180">
        <v>6</v>
      </c>
      <c r="W160" s="180">
        <v>142426</v>
      </c>
      <c r="X160" s="180">
        <v>3041577</v>
      </c>
      <c r="Y160" s="180">
        <v>99049000</v>
      </c>
      <c r="Z160" s="180">
        <v>382308</v>
      </c>
      <c r="AA160" s="180">
        <v>19796</v>
      </c>
      <c r="AB160" s="180">
        <v>65953</v>
      </c>
      <c r="AC160" s="180"/>
      <c r="AD160" s="180">
        <v>398040</v>
      </c>
      <c r="AE160" s="180">
        <v>1978</v>
      </c>
      <c r="AF160" s="180">
        <v>4646315</v>
      </c>
      <c r="AG160" s="180">
        <v>533181</v>
      </c>
      <c r="AH160" s="180">
        <v>130699</v>
      </c>
      <c r="AI160" s="180">
        <v>0</v>
      </c>
      <c r="AJ160" s="180">
        <v>15843</v>
      </c>
      <c r="AK160" s="180">
        <v>48857</v>
      </c>
      <c r="AL160" s="180">
        <v>0</v>
      </c>
      <c r="AM160" s="180"/>
      <c r="AN160" s="180">
        <v>35607</v>
      </c>
      <c r="AO160" s="180"/>
      <c r="AP160" s="180">
        <v>0</v>
      </c>
      <c r="AQ160" s="180">
        <v>2875865</v>
      </c>
      <c r="AR160" s="180">
        <v>0</v>
      </c>
      <c r="AS160" s="180">
        <v>3230</v>
      </c>
      <c r="AT160" s="180">
        <v>849479</v>
      </c>
      <c r="AU160" s="180">
        <v>2791</v>
      </c>
      <c r="AV160" s="570">
        <v>795</v>
      </c>
      <c r="AW160" s="180">
        <v>2662861</v>
      </c>
      <c r="AX160" s="180">
        <v>22</v>
      </c>
      <c r="AY160" s="180">
        <v>132955</v>
      </c>
      <c r="AZ160" s="180">
        <v>435219</v>
      </c>
      <c r="BA160" s="180">
        <v>206</v>
      </c>
      <c r="BB160" s="180">
        <v>0</v>
      </c>
      <c r="BC160" s="180">
        <v>430602</v>
      </c>
      <c r="BD160" s="180">
        <v>4554</v>
      </c>
      <c r="BE160" s="180">
        <v>1105431</v>
      </c>
      <c r="BF160" s="180">
        <v>16365</v>
      </c>
      <c r="BG160" s="180">
        <v>2426</v>
      </c>
      <c r="BH160" s="180">
        <v>1059</v>
      </c>
      <c r="BI160" s="180">
        <v>22363</v>
      </c>
      <c r="BJ160" s="180">
        <v>63967</v>
      </c>
      <c r="BK160" s="180"/>
      <c r="BL160" s="180">
        <v>21243</v>
      </c>
      <c r="BM160" s="180">
        <v>3160</v>
      </c>
      <c r="BN160" s="180">
        <v>500826</v>
      </c>
      <c r="BO160" s="180">
        <v>285131</v>
      </c>
      <c r="BP160" s="180">
        <v>13946798</v>
      </c>
      <c r="BQ160" s="180">
        <v>245</v>
      </c>
      <c r="BR160" s="180"/>
      <c r="BS160" s="180">
        <v>3577</v>
      </c>
      <c r="BT160" s="180"/>
      <c r="BU160" s="180">
        <v>156523</v>
      </c>
      <c r="BV160" s="180">
        <v>586033</v>
      </c>
      <c r="BW160" s="180">
        <v>182943</v>
      </c>
      <c r="BX160" s="180">
        <v>1095490</v>
      </c>
      <c r="BY160" s="180">
        <v>219337</v>
      </c>
      <c r="BZ160" s="180">
        <v>3325</v>
      </c>
      <c r="CA160" s="180">
        <v>263357</v>
      </c>
      <c r="CB160" s="180">
        <v>1259</v>
      </c>
      <c r="CC160" s="180">
        <v>428</v>
      </c>
      <c r="CD160" s="180"/>
      <c r="CE160" s="180">
        <v>530600</v>
      </c>
      <c r="CF160" s="180">
        <v>0</v>
      </c>
      <c r="CG160" s="180">
        <v>59834</v>
      </c>
      <c r="CH160" s="180">
        <v>118307</v>
      </c>
      <c r="CI160" s="180"/>
      <c r="CJ160" s="180"/>
      <c r="CK160" s="180"/>
      <c r="CL160" s="180"/>
      <c r="CM160" s="180"/>
      <c r="CN160" s="180"/>
      <c r="CO160" s="180"/>
      <c r="CP160" s="180"/>
      <c r="CQ160" s="180"/>
      <c r="CR160" s="180"/>
      <c r="CS160" s="180"/>
      <c r="CT160" s="180"/>
      <c r="CU160" s="180"/>
    </row>
    <row r="161" spans="1:99" x14ac:dyDescent="0.3">
      <c r="A161" s="155">
        <v>598</v>
      </c>
      <c r="B161" s="180" t="s">
        <v>341</v>
      </c>
      <c r="C161" s="180"/>
      <c r="D161" s="180">
        <v>0</v>
      </c>
      <c r="E161" s="180">
        <v>0</v>
      </c>
      <c r="F161" s="180">
        <v>0</v>
      </c>
      <c r="G161" s="180">
        <v>0</v>
      </c>
      <c r="H161" s="180"/>
      <c r="I161" s="180">
        <v>25937</v>
      </c>
      <c r="J161" s="180">
        <v>0</v>
      </c>
      <c r="K161" s="180">
        <v>27327</v>
      </c>
      <c r="L161" s="180">
        <v>0</v>
      </c>
      <c r="M161" s="180">
        <v>126608</v>
      </c>
      <c r="N161" s="180">
        <v>22841</v>
      </c>
      <c r="O161" s="180">
        <v>957495</v>
      </c>
      <c r="P161" s="180">
        <v>0</v>
      </c>
      <c r="Q161" s="180">
        <v>0</v>
      </c>
      <c r="R161" s="180">
        <v>0</v>
      </c>
      <c r="S161" s="180">
        <v>6791</v>
      </c>
      <c r="T161" s="180">
        <v>0</v>
      </c>
      <c r="U161" s="180">
        <v>0</v>
      </c>
      <c r="V161" s="180">
        <v>0</v>
      </c>
      <c r="W161" s="180">
        <v>0</v>
      </c>
      <c r="X161" s="180">
        <v>498942</v>
      </c>
      <c r="Y161" s="180">
        <v>10606000</v>
      </c>
      <c r="Z161" s="180">
        <v>0</v>
      </c>
      <c r="AA161" s="180">
        <v>0</v>
      </c>
      <c r="AB161" s="180">
        <v>0</v>
      </c>
      <c r="AC161" s="180"/>
      <c r="AD161" s="180">
        <v>0</v>
      </c>
      <c r="AE161" s="180">
        <v>0</v>
      </c>
      <c r="AF161" s="180">
        <v>169480</v>
      </c>
      <c r="AG161" s="180">
        <v>0</v>
      </c>
      <c r="AH161" s="180">
        <v>0</v>
      </c>
      <c r="AI161" s="180">
        <v>74127</v>
      </c>
      <c r="AJ161" s="180">
        <v>0</v>
      </c>
      <c r="AK161" s="180">
        <v>0</v>
      </c>
      <c r="AL161" s="180">
        <v>0</v>
      </c>
      <c r="AM161" s="180"/>
      <c r="AN161" s="180">
        <v>0</v>
      </c>
      <c r="AO161" s="180"/>
      <c r="AP161" s="180">
        <v>0</v>
      </c>
      <c r="AQ161" s="180">
        <v>499454</v>
      </c>
      <c r="AR161" s="180">
        <v>0</v>
      </c>
      <c r="AS161" s="180">
        <v>0</v>
      </c>
      <c r="AT161" s="180">
        <v>0</v>
      </c>
      <c r="AU161" s="180">
        <v>13220</v>
      </c>
      <c r="AV161" s="570">
        <v>0</v>
      </c>
      <c r="AW161" s="180">
        <v>40949</v>
      </c>
      <c r="AX161" s="180">
        <v>0</v>
      </c>
      <c r="AY161" s="180">
        <v>47085</v>
      </c>
      <c r="AZ161" s="180">
        <v>15907</v>
      </c>
      <c r="BA161" s="180">
        <v>0</v>
      </c>
      <c r="BB161" s="180">
        <v>0</v>
      </c>
      <c r="BC161" s="180">
        <v>38653</v>
      </c>
      <c r="BD161" s="180">
        <v>0</v>
      </c>
      <c r="BE161" s="180">
        <v>0</v>
      </c>
      <c r="BF161" s="180">
        <v>2389</v>
      </c>
      <c r="BG161" s="180">
        <v>0</v>
      </c>
      <c r="BH161" s="180">
        <v>0</v>
      </c>
      <c r="BI161" s="180">
        <v>0</v>
      </c>
      <c r="BJ161" s="180">
        <v>0</v>
      </c>
      <c r="BK161" s="180"/>
      <c r="BL161" s="180">
        <v>22832</v>
      </c>
      <c r="BM161" s="180">
        <v>0</v>
      </c>
      <c r="BN161" s="180">
        <v>9248</v>
      </c>
      <c r="BO161" s="180">
        <v>100400</v>
      </c>
      <c r="BP161" s="180">
        <v>2389032</v>
      </c>
      <c r="BQ161" s="180">
        <v>0</v>
      </c>
      <c r="BR161" s="180"/>
      <c r="BS161" s="180">
        <v>0</v>
      </c>
      <c r="BT161" s="180"/>
      <c r="BU161" s="180">
        <v>0</v>
      </c>
      <c r="BV161" s="180">
        <v>223957</v>
      </c>
      <c r="BW161" s="180">
        <v>43165</v>
      </c>
      <c r="BX161" s="180">
        <v>132225</v>
      </c>
      <c r="BY161" s="180">
        <v>0</v>
      </c>
      <c r="BZ161" s="180">
        <v>0</v>
      </c>
      <c r="CA161" s="180">
        <v>10307</v>
      </c>
      <c r="CB161" s="180">
        <v>0</v>
      </c>
      <c r="CC161" s="180">
        <v>0</v>
      </c>
      <c r="CD161" s="180"/>
      <c r="CE161" s="180">
        <v>36009</v>
      </c>
      <c r="CF161" s="180">
        <v>37119</v>
      </c>
      <c r="CG161" s="180">
        <v>12505</v>
      </c>
      <c r="CH161" s="180">
        <v>25834</v>
      </c>
      <c r="CI161" s="180"/>
      <c r="CJ161" s="180"/>
      <c r="CK161" s="180"/>
      <c r="CL161" s="180"/>
      <c r="CM161" s="180"/>
      <c r="CN161" s="180"/>
      <c r="CO161" s="180"/>
      <c r="CP161" s="180"/>
      <c r="CQ161" s="180"/>
      <c r="CR161" s="180"/>
      <c r="CS161" s="180"/>
      <c r="CT161" s="180"/>
      <c r="CU161" s="180"/>
    </row>
    <row r="162" spans="1:99" x14ac:dyDescent="0.3">
      <c r="A162" s="155">
        <v>599</v>
      </c>
      <c r="B162" s="180" t="s">
        <v>340</v>
      </c>
      <c r="C162" s="180"/>
      <c r="D162" s="180">
        <v>0</v>
      </c>
      <c r="E162" s="180">
        <v>0</v>
      </c>
      <c r="F162" s="180">
        <v>0</v>
      </c>
      <c r="G162" s="180">
        <v>0</v>
      </c>
      <c r="H162" s="180"/>
      <c r="I162" s="180">
        <v>279911</v>
      </c>
      <c r="J162" s="180">
        <v>68549</v>
      </c>
      <c r="K162" s="180">
        <v>632099</v>
      </c>
      <c r="L162" s="180">
        <v>0</v>
      </c>
      <c r="M162" s="180">
        <v>2005092</v>
      </c>
      <c r="N162" s="180">
        <v>279778</v>
      </c>
      <c r="O162" s="180">
        <v>8994705</v>
      </c>
      <c r="P162" s="180">
        <v>0</v>
      </c>
      <c r="Q162" s="180">
        <v>0</v>
      </c>
      <c r="R162" s="180">
        <v>169217</v>
      </c>
      <c r="S162" s="180">
        <v>5733</v>
      </c>
      <c r="T162" s="180">
        <v>0</v>
      </c>
      <c r="U162" s="180">
        <v>0</v>
      </c>
      <c r="V162" s="180">
        <v>0</v>
      </c>
      <c r="W162" s="180">
        <v>38312</v>
      </c>
      <c r="X162" s="180">
        <v>6398481</v>
      </c>
      <c r="Y162" s="180">
        <v>157177000</v>
      </c>
      <c r="Z162" s="180">
        <v>465052</v>
      </c>
      <c r="AA162" s="180">
        <v>0</v>
      </c>
      <c r="AB162" s="180">
        <v>411994</v>
      </c>
      <c r="AC162" s="180"/>
      <c r="AD162" s="180">
        <v>370046</v>
      </c>
      <c r="AE162" s="180">
        <v>0</v>
      </c>
      <c r="AF162" s="180">
        <v>2716781</v>
      </c>
      <c r="AG162" s="180">
        <v>0</v>
      </c>
      <c r="AH162" s="180">
        <v>0</v>
      </c>
      <c r="AI162" s="180">
        <v>780904</v>
      </c>
      <c r="AJ162" s="180">
        <v>0</v>
      </c>
      <c r="AK162" s="180">
        <v>153117</v>
      </c>
      <c r="AL162" s="180">
        <v>0</v>
      </c>
      <c r="AM162" s="180"/>
      <c r="AN162" s="180">
        <v>0</v>
      </c>
      <c r="AO162" s="180"/>
      <c r="AP162" s="180">
        <v>0</v>
      </c>
      <c r="AQ162" s="180">
        <v>9279973</v>
      </c>
      <c r="AR162" s="180">
        <v>0</v>
      </c>
      <c r="AS162" s="180">
        <v>0</v>
      </c>
      <c r="AT162" s="180">
        <v>818617</v>
      </c>
      <c r="AU162" s="180">
        <v>40577</v>
      </c>
      <c r="AV162" s="570">
        <v>6773</v>
      </c>
      <c r="AW162" s="180">
        <v>2025665</v>
      </c>
      <c r="AX162" s="180">
        <v>0</v>
      </c>
      <c r="AY162" s="180">
        <v>753222</v>
      </c>
      <c r="AZ162" s="180">
        <v>578404</v>
      </c>
      <c r="BA162" s="180">
        <v>0</v>
      </c>
      <c r="BB162" s="180">
        <v>0</v>
      </c>
      <c r="BC162" s="180">
        <v>468205</v>
      </c>
      <c r="BD162" s="180">
        <v>0</v>
      </c>
      <c r="BE162" s="180">
        <v>621732</v>
      </c>
      <c r="BF162" s="180">
        <v>119361</v>
      </c>
      <c r="BG162" s="180">
        <v>0</v>
      </c>
      <c r="BH162" s="180">
        <v>0</v>
      </c>
      <c r="BI162" s="180">
        <v>298369</v>
      </c>
      <c r="BJ162" s="180">
        <v>0</v>
      </c>
      <c r="BK162" s="180"/>
      <c r="BL162" s="180">
        <v>334818</v>
      </c>
      <c r="BM162" s="180">
        <v>0</v>
      </c>
      <c r="BN162" s="180">
        <v>643883</v>
      </c>
      <c r="BO162" s="180">
        <v>1473095</v>
      </c>
      <c r="BP162" s="180">
        <v>33109627</v>
      </c>
      <c r="BQ162" s="180">
        <v>0</v>
      </c>
      <c r="BR162" s="180"/>
      <c r="BS162" s="180">
        <v>12808</v>
      </c>
      <c r="BT162" s="180"/>
      <c r="BU162" s="180">
        <v>0</v>
      </c>
      <c r="BV162" s="180">
        <v>2524444</v>
      </c>
      <c r="BW162" s="180">
        <v>515388</v>
      </c>
      <c r="BX162" s="180">
        <v>3078942</v>
      </c>
      <c r="BY162" s="180">
        <v>302342</v>
      </c>
      <c r="BZ162" s="180">
        <v>0</v>
      </c>
      <c r="CA162" s="180">
        <v>388017</v>
      </c>
      <c r="CB162" s="180">
        <v>0</v>
      </c>
      <c r="CC162" s="180">
        <v>0</v>
      </c>
      <c r="CD162" s="180"/>
      <c r="CE162" s="180">
        <v>498490</v>
      </c>
      <c r="CF162" s="180">
        <v>1119000</v>
      </c>
      <c r="CG162" s="180">
        <v>219046</v>
      </c>
      <c r="CH162" s="180">
        <v>330004</v>
      </c>
      <c r="CI162" s="180"/>
      <c r="CJ162" s="180"/>
      <c r="CK162" s="180"/>
      <c r="CL162" s="180"/>
      <c r="CM162" s="180"/>
      <c r="CN162" s="180"/>
      <c r="CO162" s="180"/>
      <c r="CP162" s="180"/>
      <c r="CQ162" s="180"/>
      <c r="CR162" s="180"/>
      <c r="CS162" s="180"/>
      <c r="CT162" s="180"/>
      <c r="CU162" s="180"/>
    </row>
    <row r="163" spans="1:99" x14ac:dyDescent="0.3">
      <c r="A163" s="155">
        <v>602</v>
      </c>
      <c r="B163" s="180" t="s">
        <v>342</v>
      </c>
      <c r="C163" s="180"/>
      <c r="D163" s="180">
        <v>0</v>
      </c>
      <c r="E163" s="180">
        <v>0</v>
      </c>
      <c r="F163" s="180">
        <v>0</v>
      </c>
      <c r="G163" s="180">
        <v>0</v>
      </c>
      <c r="H163" s="180"/>
      <c r="I163" s="180">
        <v>0</v>
      </c>
      <c r="J163" s="180">
        <v>0</v>
      </c>
      <c r="K163" s="180">
        <v>0</v>
      </c>
      <c r="L163" s="180">
        <v>0</v>
      </c>
      <c r="M163" s="180">
        <v>0</v>
      </c>
      <c r="N163" s="180">
        <v>0</v>
      </c>
      <c r="O163" s="180">
        <v>0</v>
      </c>
      <c r="P163" s="180">
        <v>0</v>
      </c>
      <c r="Q163" s="180">
        <v>0</v>
      </c>
      <c r="R163" s="180">
        <v>0</v>
      </c>
      <c r="S163" s="180">
        <v>0</v>
      </c>
      <c r="T163" s="180">
        <v>0</v>
      </c>
      <c r="U163" s="180">
        <v>0</v>
      </c>
      <c r="V163" s="180">
        <v>0</v>
      </c>
      <c r="W163" s="180">
        <v>0</v>
      </c>
      <c r="X163" s="180">
        <v>0</v>
      </c>
      <c r="Y163" s="180">
        <v>0</v>
      </c>
      <c r="Z163" s="180">
        <v>0</v>
      </c>
      <c r="AA163" s="180">
        <v>0</v>
      </c>
      <c r="AB163" s="180">
        <v>0</v>
      </c>
      <c r="AC163" s="180"/>
      <c r="AD163" s="180">
        <v>0</v>
      </c>
      <c r="AE163" s="180">
        <v>0</v>
      </c>
      <c r="AF163" s="180">
        <v>0</v>
      </c>
      <c r="AG163" s="180">
        <v>0</v>
      </c>
      <c r="AH163" s="180">
        <v>0</v>
      </c>
      <c r="AI163" s="180">
        <v>0</v>
      </c>
      <c r="AJ163" s="180">
        <v>0</v>
      </c>
      <c r="AK163" s="180">
        <v>0</v>
      </c>
      <c r="AL163" s="180">
        <v>0</v>
      </c>
      <c r="AM163" s="180"/>
      <c r="AN163" s="180">
        <v>0</v>
      </c>
      <c r="AO163" s="180"/>
      <c r="AP163" s="180">
        <v>0</v>
      </c>
      <c r="AQ163" s="180">
        <v>0</v>
      </c>
      <c r="AR163" s="180">
        <v>0</v>
      </c>
      <c r="AS163" s="180">
        <v>0</v>
      </c>
      <c r="AT163" s="180">
        <v>0</v>
      </c>
      <c r="AU163" s="180">
        <v>0</v>
      </c>
      <c r="AV163" s="180">
        <v>0</v>
      </c>
      <c r="AW163" s="180">
        <v>458086</v>
      </c>
      <c r="AX163" s="180">
        <v>0</v>
      </c>
      <c r="AY163" s="180">
        <v>0</v>
      </c>
      <c r="AZ163" s="180">
        <v>0</v>
      </c>
      <c r="BA163" s="180">
        <v>0</v>
      </c>
      <c r="BB163" s="180">
        <v>0</v>
      </c>
      <c r="BC163" s="180">
        <v>0</v>
      </c>
      <c r="BD163" s="180">
        <v>0</v>
      </c>
      <c r="BE163" s="180">
        <v>0</v>
      </c>
      <c r="BF163" s="180">
        <v>0</v>
      </c>
      <c r="BG163" s="180">
        <v>0</v>
      </c>
      <c r="BH163" s="180">
        <v>0</v>
      </c>
      <c r="BI163" s="180">
        <v>0</v>
      </c>
      <c r="BJ163" s="180">
        <v>0</v>
      </c>
      <c r="BK163" s="180"/>
      <c r="BL163" s="180">
        <v>0</v>
      </c>
      <c r="BM163" s="180">
        <v>0</v>
      </c>
      <c r="BN163" s="180">
        <v>0</v>
      </c>
      <c r="BO163" s="180">
        <v>0</v>
      </c>
      <c r="BP163" s="180">
        <v>0</v>
      </c>
      <c r="BQ163" s="180">
        <v>0</v>
      </c>
      <c r="BR163" s="180"/>
      <c r="BS163" s="180">
        <v>0</v>
      </c>
      <c r="BT163" s="180"/>
      <c r="BU163" s="180">
        <v>0</v>
      </c>
      <c r="BV163" s="180">
        <v>0</v>
      </c>
      <c r="BW163" s="180">
        <v>0</v>
      </c>
      <c r="BX163" s="180">
        <v>0</v>
      </c>
      <c r="BY163" s="180">
        <v>0</v>
      </c>
      <c r="BZ163" s="180">
        <v>0</v>
      </c>
      <c r="CA163" s="180">
        <v>0</v>
      </c>
      <c r="CB163" s="180">
        <v>0</v>
      </c>
      <c r="CC163" s="180">
        <v>0</v>
      </c>
      <c r="CD163" s="180"/>
      <c r="CE163" s="180">
        <v>0</v>
      </c>
      <c r="CF163" s="180">
        <v>0</v>
      </c>
      <c r="CG163" s="180">
        <v>0</v>
      </c>
      <c r="CH163" s="180">
        <v>0</v>
      </c>
      <c r="CI163" s="180"/>
      <c r="CJ163" s="180"/>
      <c r="CK163" s="180"/>
      <c r="CL163" s="180"/>
      <c r="CM163" s="180"/>
      <c r="CN163" s="180"/>
      <c r="CO163" s="180"/>
      <c r="CP163" s="180"/>
      <c r="CQ163" s="180"/>
      <c r="CR163" s="180"/>
      <c r="CS163" s="180"/>
      <c r="CT163" s="180"/>
      <c r="CU163" s="180"/>
    </row>
    <row r="164" spans="1:99" s="552" customFormat="1" x14ac:dyDescent="0.3">
      <c r="A164" s="555">
        <v>606</v>
      </c>
      <c r="B164" s="552" t="s">
        <v>897</v>
      </c>
      <c r="I164" s="552">
        <v>1</v>
      </c>
      <c r="K164" s="552">
        <v>1</v>
      </c>
      <c r="N164" s="552">
        <v>1</v>
      </c>
      <c r="O164" s="552">
        <v>1</v>
      </c>
      <c r="R164" s="552">
        <v>1</v>
      </c>
      <c r="X164" s="552">
        <v>1</v>
      </c>
      <c r="Y164" s="552">
        <v>1</v>
      </c>
      <c r="Z164" s="552">
        <v>1</v>
      </c>
      <c r="AD164" s="552">
        <v>1</v>
      </c>
      <c r="AF164" s="552">
        <v>1</v>
      </c>
      <c r="AG164" s="552">
        <v>1</v>
      </c>
      <c r="AQ164" s="552">
        <v>1</v>
      </c>
      <c r="AT164" s="552">
        <v>1</v>
      </c>
      <c r="AW164" s="552">
        <v>1</v>
      </c>
      <c r="BE164" s="552">
        <v>1</v>
      </c>
      <c r="BN164" s="552">
        <v>1</v>
      </c>
      <c r="BO164" s="552">
        <v>1</v>
      </c>
      <c r="BP164" s="552">
        <v>1</v>
      </c>
      <c r="BV164" s="552">
        <v>1</v>
      </c>
      <c r="BW164" s="552">
        <v>1</v>
      </c>
      <c r="BX164" s="552">
        <v>1</v>
      </c>
      <c r="BY164" s="552">
        <v>1</v>
      </c>
      <c r="CA164" s="552">
        <v>1</v>
      </c>
      <c r="CF164" s="552">
        <v>1</v>
      </c>
      <c r="CG164" s="552">
        <v>1</v>
      </c>
    </row>
    <row r="165" spans="1:99" x14ac:dyDescent="0.3">
      <c r="A165" s="155">
        <v>619</v>
      </c>
      <c r="B165" s="180" t="s">
        <v>898</v>
      </c>
      <c r="C165" s="180"/>
      <c r="D165" s="180">
        <v>0</v>
      </c>
      <c r="E165" s="180">
        <v>0</v>
      </c>
      <c r="F165" s="180">
        <v>0</v>
      </c>
      <c r="G165" s="180">
        <v>0</v>
      </c>
      <c r="H165" s="180"/>
      <c r="I165" s="180">
        <v>0</v>
      </c>
      <c r="J165" s="180">
        <v>0</v>
      </c>
      <c r="K165" s="180">
        <v>0</v>
      </c>
      <c r="L165" s="180">
        <v>0</v>
      </c>
      <c r="M165" s="180">
        <v>0</v>
      </c>
      <c r="N165" s="180">
        <v>0</v>
      </c>
      <c r="O165" s="180">
        <v>0</v>
      </c>
      <c r="P165" s="180">
        <v>0</v>
      </c>
      <c r="Q165" s="180">
        <v>0</v>
      </c>
      <c r="R165" s="180">
        <v>0</v>
      </c>
      <c r="S165" s="180">
        <v>0</v>
      </c>
      <c r="T165" s="180">
        <v>0</v>
      </c>
      <c r="U165" s="180">
        <v>0</v>
      </c>
      <c r="V165" s="180">
        <v>0</v>
      </c>
      <c r="W165" s="180">
        <v>0</v>
      </c>
      <c r="X165" s="180">
        <v>0</v>
      </c>
      <c r="Y165" s="180">
        <v>0</v>
      </c>
      <c r="Z165" s="180">
        <v>0</v>
      </c>
      <c r="AA165" s="180">
        <v>0</v>
      </c>
      <c r="AB165" s="180">
        <v>0</v>
      </c>
      <c r="AC165" s="180"/>
      <c r="AD165" s="180">
        <v>0</v>
      </c>
      <c r="AE165" s="180">
        <v>0</v>
      </c>
      <c r="AF165" s="180">
        <v>0</v>
      </c>
      <c r="AG165" s="180">
        <v>0</v>
      </c>
      <c r="AH165" s="180">
        <v>0</v>
      </c>
      <c r="AI165" s="180">
        <v>0</v>
      </c>
      <c r="AJ165" s="180">
        <v>0</v>
      </c>
      <c r="AK165" s="180">
        <v>0</v>
      </c>
      <c r="AL165" s="180">
        <v>0</v>
      </c>
      <c r="AM165" s="180"/>
      <c r="AN165" s="180">
        <v>0</v>
      </c>
      <c r="AO165" s="180"/>
      <c r="AP165" s="180">
        <v>0</v>
      </c>
      <c r="AQ165" s="180">
        <v>0</v>
      </c>
      <c r="AR165" s="180">
        <v>0</v>
      </c>
      <c r="AS165" s="180">
        <v>0</v>
      </c>
      <c r="AT165" s="180">
        <v>0</v>
      </c>
      <c r="AU165" s="180">
        <v>0</v>
      </c>
      <c r="AV165" s="180">
        <v>0</v>
      </c>
      <c r="AW165" s="180">
        <v>22.6</v>
      </c>
      <c r="AX165" s="180">
        <v>0</v>
      </c>
      <c r="AY165" s="180">
        <v>0</v>
      </c>
      <c r="AZ165" s="180">
        <v>0</v>
      </c>
      <c r="BA165" s="180">
        <v>0</v>
      </c>
      <c r="BB165" s="180">
        <v>0</v>
      </c>
      <c r="BC165" s="180">
        <v>0</v>
      </c>
      <c r="BD165" s="180">
        <v>0</v>
      </c>
      <c r="BE165" s="180">
        <v>0</v>
      </c>
      <c r="BF165" s="180">
        <v>0</v>
      </c>
      <c r="BG165" s="180">
        <v>0</v>
      </c>
      <c r="BH165" s="180">
        <v>0</v>
      </c>
      <c r="BI165" s="180">
        <v>0</v>
      </c>
      <c r="BJ165" s="180">
        <v>0</v>
      </c>
      <c r="BK165" s="180"/>
      <c r="BL165" s="180">
        <v>0</v>
      </c>
      <c r="BM165" s="180">
        <v>0</v>
      </c>
      <c r="BN165" s="180">
        <v>0</v>
      </c>
      <c r="BO165" s="180">
        <v>0</v>
      </c>
      <c r="BP165" s="180">
        <v>0</v>
      </c>
      <c r="BQ165" s="180">
        <v>0</v>
      </c>
      <c r="BR165" s="180"/>
      <c r="BS165" s="180">
        <v>0</v>
      </c>
      <c r="BT165" s="180"/>
      <c r="BU165" s="180">
        <v>0</v>
      </c>
      <c r="BV165" s="180">
        <v>0</v>
      </c>
      <c r="BW165" s="180">
        <v>0</v>
      </c>
      <c r="BX165" s="180">
        <v>0</v>
      </c>
      <c r="BY165" s="180">
        <v>0</v>
      </c>
      <c r="BZ165" s="180">
        <v>0</v>
      </c>
      <c r="CA165" s="180">
        <v>0</v>
      </c>
      <c r="CB165" s="180">
        <v>0</v>
      </c>
      <c r="CC165" s="180">
        <v>0</v>
      </c>
      <c r="CD165" s="180"/>
      <c r="CE165" s="180">
        <v>0</v>
      </c>
      <c r="CF165" s="180">
        <v>0</v>
      </c>
      <c r="CG165" s="180">
        <v>0</v>
      </c>
      <c r="CH165" s="180">
        <v>0</v>
      </c>
      <c r="CI165" s="180"/>
      <c r="CJ165" s="180"/>
      <c r="CK165" s="180"/>
      <c r="CL165" s="180"/>
      <c r="CM165" s="180"/>
      <c r="CN165" s="180"/>
      <c r="CO165" s="180"/>
      <c r="CP165" s="180"/>
      <c r="CQ165" s="180"/>
      <c r="CR165" s="180"/>
      <c r="CS165" s="180"/>
      <c r="CT165" s="180"/>
      <c r="CU165" s="180"/>
    </row>
    <row r="166" spans="1:99" s="565" customFormat="1" x14ac:dyDescent="0.3">
      <c r="A166" s="564">
        <v>620</v>
      </c>
      <c r="B166" s="565" t="s">
        <v>899</v>
      </c>
      <c r="D166" s="565">
        <v>2</v>
      </c>
      <c r="E166" s="565">
        <v>2</v>
      </c>
      <c r="F166" s="565">
        <v>1</v>
      </c>
      <c r="G166" s="565">
        <v>2</v>
      </c>
      <c r="I166" s="565">
        <v>2</v>
      </c>
      <c r="J166" s="565">
        <v>2</v>
      </c>
      <c r="K166" s="565">
        <v>2</v>
      </c>
      <c r="L166" s="565">
        <v>2</v>
      </c>
      <c r="M166" s="565">
        <v>2</v>
      </c>
      <c r="N166" s="565">
        <v>2</v>
      </c>
      <c r="O166" s="565">
        <v>1</v>
      </c>
      <c r="P166" s="565">
        <v>2</v>
      </c>
      <c r="Q166" s="565">
        <v>2</v>
      </c>
      <c r="R166" s="565">
        <v>2</v>
      </c>
      <c r="S166" s="565">
        <v>2</v>
      </c>
      <c r="T166" s="565">
        <v>2</v>
      </c>
      <c r="U166" s="565">
        <v>2</v>
      </c>
      <c r="V166" s="565">
        <v>2</v>
      </c>
      <c r="W166" s="565">
        <v>2</v>
      </c>
      <c r="X166" s="565">
        <v>1</v>
      </c>
      <c r="Y166" s="565">
        <v>1</v>
      </c>
      <c r="Z166" s="565">
        <v>2</v>
      </c>
      <c r="AA166" s="565">
        <v>2</v>
      </c>
      <c r="AB166" s="565">
        <v>2</v>
      </c>
      <c r="AD166" s="565">
        <v>1</v>
      </c>
      <c r="AE166" s="565">
        <v>2</v>
      </c>
      <c r="AF166" s="565">
        <v>2</v>
      </c>
      <c r="AG166" s="565">
        <v>2</v>
      </c>
      <c r="AH166" s="565">
        <v>2</v>
      </c>
      <c r="AI166" s="565">
        <v>2</v>
      </c>
      <c r="AJ166" s="565">
        <v>2</v>
      </c>
      <c r="AK166" s="565">
        <v>2</v>
      </c>
      <c r="AL166" s="565">
        <v>2</v>
      </c>
      <c r="AN166" s="565">
        <v>2</v>
      </c>
      <c r="AP166" s="565">
        <v>2</v>
      </c>
      <c r="AQ166" s="565">
        <v>1</v>
      </c>
      <c r="AR166" s="565">
        <v>2</v>
      </c>
      <c r="AS166" s="565">
        <v>2</v>
      </c>
      <c r="AT166" s="565">
        <v>2</v>
      </c>
      <c r="AU166" s="565">
        <v>2</v>
      </c>
      <c r="AV166" s="565">
        <v>2</v>
      </c>
      <c r="AW166" s="565">
        <v>1</v>
      </c>
      <c r="AX166" s="565">
        <v>2</v>
      </c>
      <c r="AY166" s="565">
        <v>2</v>
      </c>
      <c r="AZ166" s="565">
        <v>2</v>
      </c>
      <c r="BA166" s="565">
        <v>2</v>
      </c>
      <c r="BB166" s="565">
        <v>2</v>
      </c>
      <c r="BC166" s="565">
        <v>2</v>
      </c>
      <c r="BD166" s="565">
        <v>2</v>
      </c>
      <c r="BE166" s="565">
        <v>1</v>
      </c>
      <c r="BF166" s="565">
        <v>2</v>
      </c>
      <c r="BG166" s="565">
        <v>2</v>
      </c>
      <c r="BH166" s="565">
        <v>2</v>
      </c>
      <c r="BI166" s="565">
        <v>2</v>
      </c>
      <c r="BJ166" s="565">
        <v>2</v>
      </c>
      <c r="BL166" s="565">
        <v>2</v>
      </c>
      <c r="BM166" s="565">
        <v>2</v>
      </c>
      <c r="BN166" s="565">
        <v>2</v>
      </c>
      <c r="BO166" s="565">
        <v>2</v>
      </c>
      <c r="BP166" s="565">
        <v>1</v>
      </c>
      <c r="BQ166" s="565">
        <v>2</v>
      </c>
      <c r="BS166" s="565">
        <v>2</v>
      </c>
      <c r="BU166" s="565">
        <v>2</v>
      </c>
      <c r="BV166" s="565">
        <v>2</v>
      </c>
      <c r="BW166" s="565">
        <v>1</v>
      </c>
      <c r="BX166" s="565">
        <v>2</v>
      </c>
      <c r="BY166" s="565">
        <v>2</v>
      </c>
      <c r="BZ166" s="565">
        <v>2</v>
      </c>
      <c r="CA166" s="565">
        <v>1</v>
      </c>
      <c r="CB166" s="565">
        <v>2</v>
      </c>
      <c r="CC166" s="565">
        <v>2</v>
      </c>
      <c r="CE166" s="565">
        <v>2</v>
      </c>
      <c r="CF166" s="565">
        <v>2</v>
      </c>
      <c r="CG166" s="565">
        <v>2</v>
      </c>
      <c r="CH166" s="565">
        <v>2</v>
      </c>
    </row>
    <row r="167" spans="1:99" x14ac:dyDescent="0.3">
      <c r="A167" s="155">
        <v>621</v>
      </c>
      <c r="B167" s="180" t="s">
        <v>900</v>
      </c>
      <c r="C167" s="180"/>
      <c r="D167" s="180">
        <v>0</v>
      </c>
      <c r="E167" s="180">
        <v>0</v>
      </c>
      <c r="F167" s="180">
        <v>0</v>
      </c>
      <c r="G167" s="180">
        <v>0</v>
      </c>
      <c r="H167" s="180"/>
      <c r="I167" s="180">
        <v>0</v>
      </c>
      <c r="J167" s="180">
        <v>0</v>
      </c>
      <c r="K167" s="180">
        <v>0</v>
      </c>
      <c r="L167" s="180">
        <v>0</v>
      </c>
      <c r="M167" s="180">
        <v>0</v>
      </c>
      <c r="N167" s="180">
        <v>0</v>
      </c>
      <c r="O167" s="180">
        <v>0</v>
      </c>
      <c r="P167" s="180">
        <v>0</v>
      </c>
      <c r="Q167" s="180">
        <v>0</v>
      </c>
      <c r="R167" s="180">
        <v>0</v>
      </c>
      <c r="S167" s="180">
        <v>0</v>
      </c>
      <c r="T167" s="180">
        <v>0</v>
      </c>
      <c r="U167" s="180">
        <v>0</v>
      </c>
      <c r="V167" s="180">
        <v>0</v>
      </c>
      <c r="W167" s="180">
        <v>0</v>
      </c>
      <c r="X167" s="180">
        <v>0</v>
      </c>
      <c r="Y167" s="180">
        <v>0</v>
      </c>
      <c r="Z167" s="180">
        <v>0</v>
      </c>
      <c r="AA167" s="180">
        <v>0</v>
      </c>
      <c r="AB167" s="180">
        <v>0</v>
      </c>
      <c r="AC167" s="180"/>
      <c r="AD167" s="180">
        <v>0</v>
      </c>
      <c r="AE167" s="180">
        <v>0</v>
      </c>
      <c r="AF167" s="180">
        <v>1252223</v>
      </c>
      <c r="AG167" s="180">
        <v>0</v>
      </c>
      <c r="AH167" s="180">
        <v>0</v>
      </c>
      <c r="AI167" s="180">
        <v>0</v>
      </c>
      <c r="AJ167" s="180">
        <v>0</v>
      </c>
      <c r="AK167" s="180">
        <v>0</v>
      </c>
      <c r="AL167" s="180">
        <v>0</v>
      </c>
      <c r="AM167" s="180"/>
      <c r="AN167" s="180">
        <v>679813</v>
      </c>
      <c r="AO167" s="180"/>
      <c r="AP167" s="180">
        <v>0</v>
      </c>
      <c r="AQ167" s="180">
        <v>0</v>
      </c>
      <c r="AR167" s="180">
        <v>0</v>
      </c>
      <c r="AS167" s="180">
        <v>0</v>
      </c>
      <c r="AT167" s="180">
        <v>0</v>
      </c>
      <c r="AU167" s="180">
        <v>0</v>
      </c>
      <c r="AV167" s="570">
        <v>0</v>
      </c>
      <c r="AW167" s="180">
        <v>0</v>
      </c>
      <c r="AX167" s="180">
        <v>0</v>
      </c>
      <c r="AY167" s="180">
        <v>0</v>
      </c>
      <c r="AZ167" s="180">
        <v>0</v>
      </c>
      <c r="BA167" s="180">
        <v>0</v>
      </c>
      <c r="BB167" s="180">
        <v>0</v>
      </c>
      <c r="BC167" s="180">
        <v>0</v>
      </c>
      <c r="BD167" s="180">
        <v>0</v>
      </c>
      <c r="BE167" s="180">
        <v>0</v>
      </c>
      <c r="BF167" s="180">
        <v>0</v>
      </c>
      <c r="BG167" s="180">
        <v>0</v>
      </c>
      <c r="BH167" s="180">
        <v>0</v>
      </c>
      <c r="BI167" s="180">
        <v>0</v>
      </c>
      <c r="BJ167" s="180">
        <v>0</v>
      </c>
      <c r="BK167" s="180"/>
      <c r="BL167" s="180">
        <v>0</v>
      </c>
      <c r="BM167" s="180">
        <v>0</v>
      </c>
      <c r="BN167" s="180">
        <v>0</v>
      </c>
      <c r="BO167" s="180">
        <v>0</v>
      </c>
      <c r="BP167" s="180">
        <v>0</v>
      </c>
      <c r="BQ167" s="180">
        <v>0</v>
      </c>
      <c r="BR167" s="180"/>
      <c r="BS167" s="180">
        <v>0</v>
      </c>
      <c r="BT167" s="180"/>
      <c r="BU167" s="180">
        <v>0</v>
      </c>
      <c r="BV167" s="180">
        <v>0</v>
      </c>
      <c r="BW167" s="180">
        <v>0</v>
      </c>
      <c r="BX167" s="180">
        <v>14719272</v>
      </c>
      <c r="BY167" s="180">
        <v>0</v>
      </c>
      <c r="BZ167" s="180">
        <v>0</v>
      </c>
      <c r="CA167" s="180">
        <v>0</v>
      </c>
      <c r="CB167" s="180">
        <v>0</v>
      </c>
      <c r="CC167" s="180">
        <v>0</v>
      </c>
      <c r="CD167" s="180"/>
      <c r="CE167" s="180">
        <v>0</v>
      </c>
      <c r="CF167" s="180">
        <v>0</v>
      </c>
      <c r="CG167" s="180">
        <v>0</v>
      </c>
      <c r="CH167" s="180">
        <v>0</v>
      </c>
      <c r="CI167" s="180"/>
      <c r="CJ167" s="180"/>
      <c r="CK167" s="180"/>
      <c r="CL167" s="180"/>
      <c r="CM167" s="180"/>
      <c r="CN167" s="180"/>
      <c r="CO167" s="180"/>
      <c r="CP167" s="180"/>
      <c r="CQ167" s="180"/>
      <c r="CR167" s="180"/>
      <c r="CS167" s="180"/>
      <c r="CT167" s="180"/>
      <c r="CU167" s="180"/>
    </row>
    <row r="168" spans="1:99" x14ac:dyDescent="0.3">
      <c r="A168" s="155">
        <v>622</v>
      </c>
      <c r="B168" s="180" t="s">
        <v>901</v>
      </c>
      <c r="C168" s="180"/>
      <c r="D168" s="180">
        <v>0</v>
      </c>
      <c r="E168" s="180">
        <v>278122</v>
      </c>
      <c r="F168" s="180">
        <v>43439</v>
      </c>
      <c r="G168" s="180">
        <v>75595</v>
      </c>
      <c r="H168" s="180"/>
      <c r="I168" s="180">
        <v>2085636</v>
      </c>
      <c r="J168" s="180">
        <v>568092</v>
      </c>
      <c r="K168" s="180">
        <v>5429310</v>
      </c>
      <c r="L168" s="180">
        <v>500959</v>
      </c>
      <c r="M168" s="180">
        <v>6645038</v>
      </c>
      <c r="N168" s="180">
        <v>1039151</v>
      </c>
      <c r="O168" s="180">
        <v>66725682</v>
      </c>
      <c r="P168" s="180">
        <v>0</v>
      </c>
      <c r="Q168" s="180">
        <v>0</v>
      </c>
      <c r="R168" s="180">
        <v>225657</v>
      </c>
      <c r="S168" s="180">
        <v>136523</v>
      </c>
      <c r="T168" s="180">
        <v>198014</v>
      </c>
      <c r="U168" s="180">
        <v>0</v>
      </c>
      <c r="V168" s="180">
        <v>0</v>
      </c>
      <c r="W168" s="180">
        <v>614352</v>
      </c>
      <c r="X168" s="180">
        <v>30160767</v>
      </c>
      <c r="Y168" s="180">
        <v>364760000</v>
      </c>
      <c r="Z168" s="180">
        <v>2328781</v>
      </c>
      <c r="AA168" s="180">
        <v>0</v>
      </c>
      <c r="AB168" s="180">
        <v>1223062</v>
      </c>
      <c r="AC168" s="180"/>
      <c r="AD168" s="180">
        <v>947760</v>
      </c>
      <c r="AE168" s="180">
        <v>138779</v>
      </c>
      <c r="AF168" s="180">
        <v>11336450</v>
      </c>
      <c r="AG168" s="180">
        <v>1009251</v>
      </c>
      <c r="AH168" s="180">
        <v>315920</v>
      </c>
      <c r="AI168" s="180">
        <v>4638382</v>
      </c>
      <c r="AJ168" s="180">
        <v>0</v>
      </c>
      <c r="AK168" s="180">
        <v>600248</v>
      </c>
      <c r="AL168" s="180">
        <v>128675</v>
      </c>
      <c r="AM168" s="180"/>
      <c r="AN168" s="180">
        <v>168115</v>
      </c>
      <c r="AO168" s="180"/>
      <c r="AP168" s="180">
        <v>0</v>
      </c>
      <c r="AQ168" s="180">
        <v>48791582</v>
      </c>
      <c r="AR168" s="180">
        <v>0</v>
      </c>
      <c r="AS168" s="180">
        <v>53594</v>
      </c>
      <c r="AT168" s="180">
        <v>3516302</v>
      </c>
      <c r="AU168" s="180">
        <v>195193</v>
      </c>
      <c r="AV168" s="570">
        <v>73903</v>
      </c>
      <c r="AW168" s="180">
        <v>5568654</v>
      </c>
      <c r="AX168" s="180">
        <v>46260</v>
      </c>
      <c r="AY168" s="180">
        <v>1540110</v>
      </c>
      <c r="AZ168" s="180">
        <v>1672119</v>
      </c>
      <c r="BA168" s="180">
        <v>99853</v>
      </c>
      <c r="BB168" s="180">
        <v>0</v>
      </c>
      <c r="BC168" s="180">
        <v>2509307</v>
      </c>
      <c r="BD168" s="180">
        <v>0</v>
      </c>
      <c r="BE168" s="180">
        <v>3712061</v>
      </c>
      <c r="BF168" s="180">
        <v>222584</v>
      </c>
      <c r="BG168" s="180">
        <v>0</v>
      </c>
      <c r="BH168" s="180">
        <v>0</v>
      </c>
      <c r="BI168" s="180">
        <v>773440</v>
      </c>
      <c r="BJ168" s="180">
        <v>0</v>
      </c>
      <c r="BK168" s="180"/>
      <c r="BL168" s="180">
        <v>440031</v>
      </c>
      <c r="BM168" s="180">
        <v>0</v>
      </c>
      <c r="BN168" s="180">
        <v>2372220</v>
      </c>
      <c r="BO168" s="180">
        <v>4658127</v>
      </c>
      <c r="BP168" s="180">
        <v>124520420</v>
      </c>
      <c r="BQ168" s="180">
        <v>0</v>
      </c>
      <c r="BR168" s="180"/>
      <c r="BS168" s="180">
        <v>147241</v>
      </c>
      <c r="BT168" s="180"/>
      <c r="BU168" s="180">
        <v>49645</v>
      </c>
      <c r="BV168" s="180">
        <v>6388918</v>
      </c>
      <c r="BW168" s="180">
        <v>2997855</v>
      </c>
      <c r="BX168" s="180">
        <v>10696147</v>
      </c>
      <c r="BY168" s="180">
        <v>1800180</v>
      </c>
      <c r="BZ168" s="180">
        <v>82365</v>
      </c>
      <c r="CA168" s="180">
        <v>475320</v>
      </c>
      <c r="CB168" s="180">
        <v>40054</v>
      </c>
      <c r="CC168" s="180">
        <v>179962</v>
      </c>
      <c r="CD168" s="180"/>
      <c r="CE168" s="180">
        <v>2708450</v>
      </c>
      <c r="CF168" s="180">
        <v>3172739</v>
      </c>
      <c r="CG168" s="180">
        <v>758772</v>
      </c>
      <c r="CH168" s="180">
        <v>879499</v>
      </c>
      <c r="CI168" s="180"/>
      <c r="CJ168" s="180"/>
      <c r="CK168" s="180"/>
      <c r="CL168" s="180"/>
      <c r="CM168" s="180"/>
      <c r="CN168" s="180"/>
      <c r="CO168" s="180"/>
      <c r="CP168" s="180"/>
      <c r="CQ168" s="180"/>
      <c r="CR168" s="180"/>
      <c r="CS168" s="180"/>
      <c r="CT168" s="180"/>
      <c r="CU168" s="180"/>
    </row>
    <row r="169" spans="1:99" s="565" customFormat="1" x14ac:dyDescent="0.3">
      <c r="A169" s="564">
        <v>624</v>
      </c>
      <c r="B169" s="565" t="s">
        <v>355</v>
      </c>
      <c r="D169" s="565">
        <v>2</v>
      </c>
      <c r="E169" s="565">
        <v>1</v>
      </c>
      <c r="F169" s="565">
        <v>1</v>
      </c>
      <c r="G169" s="565">
        <v>2</v>
      </c>
      <c r="I169" s="565">
        <v>2</v>
      </c>
      <c r="J169" s="565">
        <v>2</v>
      </c>
      <c r="K169" s="565">
        <v>1</v>
      </c>
      <c r="L169" s="565">
        <v>1</v>
      </c>
      <c r="M169" s="565">
        <v>1</v>
      </c>
      <c r="N169" s="565">
        <v>2</v>
      </c>
      <c r="O169" s="565">
        <v>1</v>
      </c>
      <c r="P169" s="565">
        <v>1</v>
      </c>
      <c r="Q169" s="565">
        <v>1</v>
      </c>
      <c r="R169" s="565">
        <v>1</v>
      </c>
      <c r="S169" s="565">
        <v>1</v>
      </c>
      <c r="T169" s="565">
        <v>2</v>
      </c>
      <c r="U169" s="565">
        <v>1</v>
      </c>
      <c r="V169" s="565">
        <v>1</v>
      </c>
      <c r="W169" s="565">
        <v>1</v>
      </c>
      <c r="X169" s="565">
        <v>1</v>
      </c>
      <c r="Y169" s="565">
        <v>1</v>
      </c>
      <c r="Z169" s="565">
        <v>1</v>
      </c>
      <c r="AA169" s="565">
        <v>1</v>
      </c>
      <c r="AB169" s="565">
        <v>2</v>
      </c>
      <c r="AD169" s="565">
        <v>1</v>
      </c>
      <c r="AE169" s="565">
        <v>2</v>
      </c>
      <c r="AF169" s="565">
        <v>2</v>
      </c>
      <c r="AG169" s="565">
        <v>1</v>
      </c>
      <c r="AH169" s="565">
        <v>1</v>
      </c>
      <c r="AI169" s="565">
        <v>0</v>
      </c>
      <c r="AJ169" s="565">
        <v>2</v>
      </c>
      <c r="AK169" s="565">
        <v>2</v>
      </c>
      <c r="AL169" s="565">
        <v>1</v>
      </c>
      <c r="AN169" s="565">
        <v>1</v>
      </c>
      <c r="AP169" s="565">
        <v>1</v>
      </c>
      <c r="AQ169" s="565">
        <v>1</v>
      </c>
      <c r="AR169" s="565">
        <v>1</v>
      </c>
      <c r="AS169" s="565">
        <v>1</v>
      </c>
      <c r="AT169" s="565">
        <v>1</v>
      </c>
      <c r="AU169" s="565">
        <v>2</v>
      </c>
      <c r="AV169" s="565">
        <v>1</v>
      </c>
      <c r="AW169" s="565">
        <v>1</v>
      </c>
      <c r="AX169" s="565">
        <v>1</v>
      </c>
      <c r="AY169" s="565">
        <v>1</v>
      </c>
      <c r="AZ169" s="565">
        <v>1</v>
      </c>
      <c r="BA169" s="565">
        <v>1</v>
      </c>
      <c r="BB169" s="565">
        <v>1</v>
      </c>
      <c r="BC169" s="565">
        <v>1</v>
      </c>
      <c r="BD169" s="565">
        <v>1</v>
      </c>
      <c r="BE169" s="565">
        <v>1</v>
      </c>
      <c r="BF169" s="565">
        <v>2</v>
      </c>
      <c r="BG169" s="565">
        <v>1</v>
      </c>
      <c r="BH169" s="565">
        <v>2</v>
      </c>
      <c r="BI169" s="565">
        <v>1</v>
      </c>
      <c r="BJ169" s="565">
        <v>2</v>
      </c>
      <c r="BL169" s="565">
        <v>2</v>
      </c>
      <c r="BM169" s="565">
        <v>2</v>
      </c>
      <c r="BN169" s="565">
        <v>1</v>
      </c>
      <c r="BO169" s="565">
        <v>2</v>
      </c>
      <c r="BP169" s="565">
        <v>1</v>
      </c>
      <c r="BQ169" s="565">
        <v>1</v>
      </c>
      <c r="BS169" s="565">
        <v>1</v>
      </c>
      <c r="BU169" s="565">
        <v>2</v>
      </c>
      <c r="BV169" s="565">
        <v>1</v>
      </c>
      <c r="BW169" s="565">
        <v>1</v>
      </c>
      <c r="BX169" s="565">
        <v>1</v>
      </c>
      <c r="BY169" s="565">
        <v>2</v>
      </c>
      <c r="BZ169" s="565">
        <v>1</v>
      </c>
      <c r="CA169" s="565">
        <v>1</v>
      </c>
      <c r="CB169" s="565">
        <v>1</v>
      </c>
      <c r="CC169" s="565">
        <v>1</v>
      </c>
      <c r="CE169" s="565">
        <v>2</v>
      </c>
      <c r="CF169" s="565">
        <v>2</v>
      </c>
      <c r="CG169" s="565">
        <v>1</v>
      </c>
      <c r="CH169" s="565">
        <v>2</v>
      </c>
    </row>
    <row r="170" spans="1:99" s="561" customFormat="1" x14ac:dyDescent="0.3">
      <c r="A170" s="560">
        <v>626</v>
      </c>
      <c r="B170" s="561" t="s">
        <v>902</v>
      </c>
      <c r="D170" s="561">
        <v>15389</v>
      </c>
      <c r="E170" s="561">
        <v>554867</v>
      </c>
      <c r="F170" s="561">
        <v>10137</v>
      </c>
      <c r="G170" s="561">
        <v>56094</v>
      </c>
      <c r="I170" s="561">
        <v>5476081</v>
      </c>
      <c r="J170" s="561">
        <v>117269</v>
      </c>
      <c r="K170" s="561">
        <v>5618507</v>
      </c>
      <c r="L170" s="561">
        <v>0</v>
      </c>
      <c r="M170" s="561">
        <v>18286184</v>
      </c>
      <c r="N170" s="561">
        <v>869464</v>
      </c>
      <c r="O170" s="561">
        <v>84528231</v>
      </c>
      <c r="P170" s="561">
        <v>31539</v>
      </c>
      <c r="Q170" s="561">
        <v>4658</v>
      </c>
      <c r="R170" s="561">
        <v>1341898</v>
      </c>
      <c r="S170" s="561">
        <v>391741</v>
      </c>
      <c r="T170" s="561">
        <v>313960</v>
      </c>
      <c r="U170" s="561">
        <v>66852</v>
      </c>
      <c r="V170" s="561">
        <v>63484</v>
      </c>
      <c r="W170" s="561">
        <v>53716</v>
      </c>
      <c r="X170" s="561">
        <v>29653442</v>
      </c>
      <c r="Y170" s="561">
        <v>425392000</v>
      </c>
      <c r="Z170" s="561">
        <v>550579</v>
      </c>
      <c r="AA170" s="561">
        <v>255580</v>
      </c>
      <c r="AB170" s="561">
        <v>840248</v>
      </c>
      <c r="AD170" s="561">
        <v>852159</v>
      </c>
      <c r="AE170" s="561">
        <v>97455</v>
      </c>
      <c r="AF170" s="561">
        <v>5510613</v>
      </c>
      <c r="AG170" s="561">
        <v>2766779</v>
      </c>
      <c r="AH170" s="561">
        <v>19050</v>
      </c>
      <c r="AI170" s="561">
        <v>955209</v>
      </c>
      <c r="AJ170" s="561">
        <v>38862</v>
      </c>
      <c r="AK170" s="561">
        <v>31986</v>
      </c>
      <c r="AL170" s="561">
        <v>15155</v>
      </c>
      <c r="AN170" s="561">
        <v>23393</v>
      </c>
      <c r="AP170" s="561">
        <v>1257</v>
      </c>
      <c r="AQ170" s="561">
        <v>31531415</v>
      </c>
      <c r="AR170" s="561">
        <v>0</v>
      </c>
      <c r="AS170" s="561">
        <v>410843</v>
      </c>
      <c r="AT170" s="561">
        <v>1492215</v>
      </c>
      <c r="AU170" s="561">
        <v>213934</v>
      </c>
      <c r="AV170" s="1038">
        <v>2258</v>
      </c>
      <c r="AW170" s="561">
        <v>11524579</v>
      </c>
      <c r="AX170" s="561">
        <v>10479</v>
      </c>
      <c r="AY170" s="561">
        <v>758922</v>
      </c>
      <c r="AZ170" s="561">
        <v>337613</v>
      </c>
      <c r="BA170" s="561">
        <v>2766</v>
      </c>
      <c r="BB170" s="561">
        <v>3188</v>
      </c>
      <c r="BC170" s="561">
        <v>1521694</v>
      </c>
      <c r="BD170" s="561">
        <v>59203</v>
      </c>
      <c r="BE170" s="561">
        <v>4423095</v>
      </c>
      <c r="BF170" s="561">
        <v>153449</v>
      </c>
      <c r="BG170" s="561">
        <v>7895</v>
      </c>
      <c r="BH170" s="561">
        <v>136502</v>
      </c>
      <c r="BI170" s="561">
        <v>174399</v>
      </c>
      <c r="BJ170" s="561">
        <v>103638</v>
      </c>
      <c r="BL170" s="561">
        <v>2731316</v>
      </c>
      <c r="BM170" s="561">
        <v>137893</v>
      </c>
      <c r="BN170" s="561">
        <v>5114256</v>
      </c>
      <c r="BO170" s="561">
        <v>3519096</v>
      </c>
      <c r="BP170" s="561">
        <v>199444330</v>
      </c>
      <c r="BQ170" s="561">
        <v>34878</v>
      </c>
      <c r="BS170" s="561">
        <v>131507</v>
      </c>
      <c r="BU170" s="561">
        <v>95440</v>
      </c>
      <c r="BV170" s="561">
        <v>4175618</v>
      </c>
      <c r="BW170" s="561">
        <v>964140</v>
      </c>
      <c r="BX170" s="561">
        <v>7344744</v>
      </c>
      <c r="BY170" s="561">
        <v>668992</v>
      </c>
      <c r="BZ170" s="561">
        <v>22814</v>
      </c>
      <c r="CA170" s="561">
        <v>182667</v>
      </c>
      <c r="CB170" s="561">
        <v>266873</v>
      </c>
      <c r="CC170" s="561">
        <v>245884</v>
      </c>
      <c r="CE170" s="561">
        <v>4328387</v>
      </c>
      <c r="CF170" s="561">
        <v>1136716</v>
      </c>
      <c r="CG170" s="561">
        <v>74045</v>
      </c>
      <c r="CH170" s="561">
        <v>1164887</v>
      </c>
    </row>
    <row r="171" spans="1:99" s="559" customFormat="1" x14ac:dyDescent="0.3">
      <c r="A171" s="558">
        <v>627</v>
      </c>
      <c r="B171" s="559" t="s">
        <v>903</v>
      </c>
      <c r="D171" s="559">
        <v>0</v>
      </c>
      <c r="E171" s="559">
        <v>0</v>
      </c>
      <c r="F171" s="559">
        <v>0</v>
      </c>
      <c r="G171" s="559">
        <v>0</v>
      </c>
      <c r="I171" s="559">
        <v>0</v>
      </c>
      <c r="J171" s="559">
        <v>0</v>
      </c>
      <c r="K171" s="559">
        <v>0</v>
      </c>
      <c r="L171" s="559">
        <v>0</v>
      </c>
      <c r="M171" s="559">
        <v>0</v>
      </c>
      <c r="N171" s="559">
        <v>0</v>
      </c>
      <c r="O171" s="559">
        <v>0</v>
      </c>
      <c r="P171" s="559">
        <v>0</v>
      </c>
      <c r="Q171" s="559">
        <v>0</v>
      </c>
      <c r="R171" s="559">
        <v>79116</v>
      </c>
      <c r="S171" s="559">
        <v>0</v>
      </c>
      <c r="T171" s="559">
        <v>0</v>
      </c>
      <c r="U171" s="559">
        <v>0</v>
      </c>
      <c r="V171" s="559">
        <v>0</v>
      </c>
      <c r="W171" s="559">
        <v>0</v>
      </c>
      <c r="X171" s="559">
        <v>0</v>
      </c>
      <c r="Y171" s="559">
        <v>0</v>
      </c>
      <c r="Z171" s="559">
        <v>0</v>
      </c>
      <c r="AA171" s="559">
        <v>0</v>
      </c>
      <c r="AB171" s="559">
        <v>0</v>
      </c>
      <c r="AD171" s="559">
        <v>0</v>
      </c>
      <c r="AE171" s="559">
        <v>0</v>
      </c>
      <c r="AF171" s="559">
        <v>2159321</v>
      </c>
      <c r="AG171" s="559">
        <v>0</v>
      </c>
      <c r="AH171" s="559">
        <v>0</v>
      </c>
      <c r="AI171" s="559">
        <v>0</v>
      </c>
      <c r="AJ171" s="559">
        <v>0</v>
      </c>
      <c r="AK171" s="559">
        <v>0</v>
      </c>
      <c r="AL171" s="559">
        <v>0</v>
      </c>
      <c r="AN171" s="559">
        <v>0</v>
      </c>
      <c r="AP171" s="559">
        <v>0</v>
      </c>
      <c r="AQ171" s="559">
        <v>0</v>
      </c>
      <c r="AR171" s="559">
        <v>0</v>
      </c>
      <c r="AS171" s="559">
        <v>0</v>
      </c>
      <c r="AT171" s="559">
        <v>0</v>
      </c>
      <c r="AU171" s="559">
        <v>0</v>
      </c>
      <c r="AV171" s="559">
        <v>0</v>
      </c>
      <c r="AW171" s="559">
        <v>0</v>
      </c>
      <c r="AX171" s="559">
        <v>0</v>
      </c>
      <c r="AY171" s="559">
        <v>0</v>
      </c>
      <c r="AZ171" s="559">
        <v>0</v>
      </c>
      <c r="BA171" s="559">
        <v>0</v>
      </c>
      <c r="BB171" s="559">
        <v>0</v>
      </c>
      <c r="BC171" s="559">
        <v>0</v>
      </c>
      <c r="BD171" s="559">
        <v>0</v>
      </c>
      <c r="BE171" s="559">
        <v>0</v>
      </c>
      <c r="BF171" s="559">
        <v>0</v>
      </c>
      <c r="BG171" s="559">
        <v>0</v>
      </c>
      <c r="BH171" s="559">
        <v>0</v>
      </c>
      <c r="BI171" s="559">
        <v>0</v>
      </c>
      <c r="BJ171" s="559">
        <v>0</v>
      </c>
      <c r="BL171" s="559">
        <v>0</v>
      </c>
      <c r="BM171" s="559">
        <v>0</v>
      </c>
      <c r="BN171" s="559">
        <v>0</v>
      </c>
      <c r="BO171" s="559">
        <v>0</v>
      </c>
      <c r="BP171" s="559">
        <v>0</v>
      </c>
      <c r="BQ171" s="559">
        <v>0</v>
      </c>
      <c r="BS171" s="559">
        <v>0</v>
      </c>
      <c r="BU171" s="559">
        <v>0</v>
      </c>
      <c r="BV171" s="559">
        <v>0</v>
      </c>
      <c r="BW171" s="559">
        <v>0</v>
      </c>
      <c r="BX171" s="559">
        <v>0</v>
      </c>
      <c r="BY171" s="559">
        <v>0</v>
      </c>
      <c r="BZ171" s="559">
        <v>0</v>
      </c>
      <c r="CA171" s="559">
        <v>0</v>
      </c>
      <c r="CB171" s="559">
        <v>0</v>
      </c>
      <c r="CC171" s="559">
        <v>62100</v>
      </c>
      <c r="CE171" s="559">
        <v>0</v>
      </c>
      <c r="CF171" s="559">
        <v>0</v>
      </c>
      <c r="CG171" s="559">
        <v>0</v>
      </c>
      <c r="CH171" s="559">
        <v>0</v>
      </c>
    </row>
    <row r="172" spans="1:99" s="559" customFormat="1" x14ac:dyDescent="0.3">
      <c r="A172" s="558">
        <v>628</v>
      </c>
      <c r="B172" s="559" t="s">
        <v>904</v>
      </c>
      <c r="D172" s="559">
        <v>0</v>
      </c>
      <c r="E172" s="559">
        <v>25000</v>
      </c>
      <c r="F172" s="559">
        <v>81</v>
      </c>
      <c r="G172" s="559">
        <v>4211</v>
      </c>
      <c r="I172" s="559">
        <v>79479</v>
      </c>
      <c r="J172" s="559">
        <v>0</v>
      </c>
      <c r="K172" s="559">
        <v>0</v>
      </c>
      <c r="L172" s="559">
        <v>0</v>
      </c>
      <c r="M172" s="559">
        <v>621489</v>
      </c>
      <c r="N172" s="559">
        <v>10743</v>
      </c>
      <c r="O172" s="559">
        <v>9694404</v>
      </c>
      <c r="P172" s="559">
        <v>0</v>
      </c>
      <c r="Q172" s="559">
        <v>0</v>
      </c>
      <c r="R172" s="559">
        <v>6606</v>
      </c>
      <c r="S172" s="559">
        <v>10461</v>
      </c>
      <c r="T172" s="559">
        <v>3442</v>
      </c>
      <c r="U172" s="559">
        <v>0</v>
      </c>
      <c r="V172" s="559">
        <v>0</v>
      </c>
      <c r="W172" s="559">
        <v>0</v>
      </c>
      <c r="X172" s="559">
        <v>2354502</v>
      </c>
      <c r="Y172" s="559">
        <v>32423000</v>
      </c>
      <c r="Z172" s="559">
        <v>234011</v>
      </c>
      <c r="AA172" s="559">
        <v>0</v>
      </c>
      <c r="AB172" s="559">
        <v>69188</v>
      </c>
      <c r="AD172" s="559">
        <v>77300</v>
      </c>
      <c r="AE172" s="559">
        <v>5283</v>
      </c>
      <c r="AF172" s="559">
        <v>466224</v>
      </c>
      <c r="AG172" s="559">
        <v>76534</v>
      </c>
      <c r="AH172" s="559">
        <v>0</v>
      </c>
      <c r="AI172" s="559">
        <v>211000</v>
      </c>
      <c r="AJ172" s="559">
        <v>1691</v>
      </c>
      <c r="AK172" s="559">
        <v>23315</v>
      </c>
      <c r="AL172" s="559">
        <v>0</v>
      </c>
      <c r="AN172" s="559">
        <v>4053</v>
      </c>
      <c r="AP172" s="559">
        <v>0</v>
      </c>
      <c r="AQ172" s="559">
        <v>3269033</v>
      </c>
      <c r="AR172" s="559">
        <v>0</v>
      </c>
      <c r="AS172" s="559">
        <v>0</v>
      </c>
      <c r="AT172" s="559">
        <v>222201</v>
      </c>
      <c r="AU172" s="559">
        <v>10863</v>
      </c>
      <c r="AV172" s="785">
        <v>0</v>
      </c>
      <c r="AW172" s="559">
        <v>877886</v>
      </c>
      <c r="AX172" s="559">
        <v>0</v>
      </c>
      <c r="AY172" s="559">
        <v>30452</v>
      </c>
      <c r="AZ172" s="559">
        <v>30219</v>
      </c>
      <c r="BA172" s="559">
        <v>1404</v>
      </c>
      <c r="BB172" s="559">
        <v>0</v>
      </c>
      <c r="BC172" s="559">
        <v>80600</v>
      </c>
      <c r="BD172" s="559">
        <v>0</v>
      </c>
      <c r="BE172" s="559">
        <v>500350</v>
      </c>
      <c r="BF172" s="559">
        <v>0</v>
      </c>
      <c r="BG172" s="559">
        <v>0</v>
      </c>
      <c r="BH172" s="559">
        <v>291</v>
      </c>
      <c r="BI172" s="559">
        <v>45417</v>
      </c>
      <c r="BJ172" s="559">
        <v>0</v>
      </c>
      <c r="BL172" s="559">
        <v>5000</v>
      </c>
      <c r="BM172" s="559">
        <v>0</v>
      </c>
      <c r="BN172" s="559">
        <v>211585</v>
      </c>
      <c r="BO172" s="559">
        <v>100000</v>
      </c>
      <c r="BP172" s="559">
        <v>6300924</v>
      </c>
      <c r="BQ172" s="559">
        <v>0</v>
      </c>
      <c r="BS172" s="559">
        <v>4451</v>
      </c>
      <c r="BU172" s="559">
        <v>0</v>
      </c>
      <c r="BV172" s="559">
        <v>0</v>
      </c>
      <c r="BW172" s="559">
        <v>45150</v>
      </c>
      <c r="BX172" s="559">
        <v>118458</v>
      </c>
      <c r="BY172" s="559">
        <v>77337</v>
      </c>
      <c r="BZ172" s="559">
        <v>0</v>
      </c>
      <c r="CA172" s="559">
        <v>0</v>
      </c>
      <c r="CB172" s="559">
        <v>0</v>
      </c>
      <c r="CC172" s="559">
        <v>9332</v>
      </c>
      <c r="CE172" s="559">
        <v>159118</v>
      </c>
      <c r="CF172" s="559">
        <v>6000</v>
      </c>
      <c r="CG172" s="559">
        <v>19119</v>
      </c>
      <c r="CH172" s="559">
        <v>106347</v>
      </c>
    </row>
    <row r="173" spans="1:99" x14ac:dyDescent="0.3">
      <c r="A173" s="155">
        <v>629</v>
      </c>
      <c r="B173" s="180" t="s">
        <v>905</v>
      </c>
      <c r="C173" s="180"/>
      <c r="D173" s="180">
        <v>0</v>
      </c>
      <c r="E173" s="180">
        <v>0</v>
      </c>
      <c r="F173" s="180">
        <v>0</v>
      </c>
      <c r="G173" s="180">
        <v>0</v>
      </c>
      <c r="H173" s="180"/>
      <c r="I173" s="180">
        <v>0</v>
      </c>
      <c r="J173" s="180">
        <v>0</v>
      </c>
      <c r="K173" s="180">
        <v>0</v>
      </c>
      <c r="L173" s="180">
        <v>0</v>
      </c>
      <c r="M173" s="180">
        <v>126608</v>
      </c>
      <c r="N173" s="180">
        <v>0</v>
      </c>
      <c r="O173" s="180">
        <v>0</v>
      </c>
      <c r="P173" s="180">
        <v>0</v>
      </c>
      <c r="Q173" s="180">
        <v>0</v>
      </c>
      <c r="R173" s="180">
        <v>0</v>
      </c>
      <c r="S173" s="180">
        <v>0</v>
      </c>
      <c r="T173" s="180">
        <v>0</v>
      </c>
      <c r="U173" s="180">
        <v>0</v>
      </c>
      <c r="V173" s="180">
        <v>0</v>
      </c>
      <c r="W173" s="180">
        <v>0</v>
      </c>
      <c r="X173" s="180">
        <v>0</v>
      </c>
      <c r="Y173" s="180">
        <v>0</v>
      </c>
      <c r="Z173" s="180">
        <v>0</v>
      </c>
      <c r="AA173" s="180">
        <v>0</v>
      </c>
      <c r="AB173" s="180">
        <v>0</v>
      </c>
      <c r="AC173" s="180"/>
      <c r="AD173" s="180">
        <v>0</v>
      </c>
      <c r="AE173" s="180">
        <v>0</v>
      </c>
      <c r="AF173" s="180">
        <v>0</v>
      </c>
      <c r="AG173" s="180">
        <v>0</v>
      </c>
      <c r="AH173" s="180">
        <v>0</v>
      </c>
      <c r="AI173" s="180">
        <v>0</v>
      </c>
      <c r="AJ173" s="180">
        <v>0</v>
      </c>
      <c r="AK173" s="180">
        <v>0</v>
      </c>
      <c r="AL173" s="180">
        <v>0</v>
      </c>
      <c r="AM173" s="180"/>
      <c r="AN173" s="180">
        <v>0</v>
      </c>
      <c r="AO173" s="180"/>
      <c r="AP173" s="180">
        <v>0</v>
      </c>
      <c r="AQ173" s="180">
        <v>0</v>
      </c>
      <c r="AR173" s="180">
        <v>0</v>
      </c>
      <c r="AS173" s="180">
        <v>0</v>
      </c>
      <c r="AT173" s="180">
        <v>0</v>
      </c>
      <c r="AU173" s="180">
        <v>0</v>
      </c>
      <c r="AV173" s="180">
        <v>0</v>
      </c>
      <c r="AW173" s="180">
        <v>0</v>
      </c>
      <c r="AX173" s="180">
        <v>0</v>
      </c>
      <c r="AY173" s="180">
        <v>0</v>
      </c>
      <c r="AZ173" s="180">
        <v>0</v>
      </c>
      <c r="BA173" s="180">
        <v>0</v>
      </c>
      <c r="BB173" s="180">
        <v>0</v>
      </c>
      <c r="BC173" s="180">
        <v>0</v>
      </c>
      <c r="BD173" s="180">
        <v>0</v>
      </c>
      <c r="BE173" s="180">
        <v>0</v>
      </c>
      <c r="BF173" s="180">
        <v>0</v>
      </c>
      <c r="BG173" s="180">
        <v>0</v>
      </c>
      <c r="BH173" s="180">
        <v>0</v>
      </c>
      <c r="BI173" s="180">
        <v>0</v>
      </c>
      <c r="BJ173" s="180">
        <v>0</v>
      </c>
      <c r="BK173" s="180"/>
      <c r="BL173" s="180">
        <v>0</v>
      </c>
      <c r="BM173" s="180">
        <v>0</v>
      </c>
      <c r="BN173" s="180">
        <v>0</v>
      </c>
      <c r="BO173" s="180">
        <v>0</v>
      </c>
      <c r="BP173" s="180">
        <v>0</v>
      </c>
      <c r="BQ173" s="180">
        <v>0</v>
      </c>
      <c r="BR173" s="180"/>
      <c r="BS173" s="180">
        <v>0</v>
      </c>
      <c r="BT173" s="180"/>
      <c r="BU173" s="180">
        <v>0</v>
      </c>
      <c r="BV173" s="180">
        <v>0</v>
      </c>
      <c r="BW173" s="180">
        <v>0</v>
      </c>
      <c r="BX173" s="180">
        <v>0</v>
      </c>
      <c r="BY173" s="180">
        <v>0</v>
      </c>
      <c r="BZ173" s="180">
        <v>0</v>
      </c>
      <c r="CA173" s="180">
        <v>0</v>
      </c>
      <c r="CB173" s="180">
        <v>0</v>
      </c>
      <c r="CC173" s="180">
        <v>0</v>
      </c>
      <c r="CD173" s="180"/>
      <c r="CE173" s="180">
        <v>0</v>
      </c>
      <c r="CF173" s="180">
        <v>0</v>
      </c>
      <c r="CG173" s="180">
        <v>0</v>
      </c>
      <c r="CH173" s="180">
        <v>0</v>
      </c>
      <c r="CI173" s="180"/>
      <c r="CJ173" s="180"/>
      <c r="CK173" s="180"/>
      <c r="CL173" s="180"/>
      <c r="CM173" s="180"/>
      <c r="CN173" s="180"/>
      <c r="CO173" s="180"/>
      <c r="CP173" s="180"/>
      <c r="CQ173" s="180"/>
      <c r="CR173" s="180"/>
      <c r="CS173" s="180"/>
      <c r="CT173" s="180"/>
      <c r="CU173" s="180"/>
    </row>
    <row r="174" spans="1:99" x14ac:dyDescent="0.3">
      <c r="A174" s="155">
        <v>630</v>
      </c>
      <c r="B174" s="180" t="s">
        <v>906</v>
      </c>
      <c r="C174" s="180"/>
      <c r="D174" s="180">
        <v>0</v>
      </c>
      <c r="E174" s="180">
        <v>353177</v>
      </c>
      <c r="F174" s="180">
        <v>0</v>
      </c>
      <c r="G174" s="180">
        <v>0</v>
      </c>
      <c r="H174" s="180"/>
      <c r="I174" s="180">
        <v>32060</v>
      </c>
      <c r="J174" s="180">
        <v>0</v>
      </c>
      <c r="K174" s="180">
        <v>2633938</v>
      </c>
      <c r="L174" s="180">
        <v>0</v>
      </c>
      <c r="M174" s="180">
        <v>42070</v>
      </c>
      <c r="N174" s="180">
        <v>0</v>
      </c>
      <c r="O174" s="180">
        <v>68000</v>
      </c>
      <c r="P174" s="180">
        <v>0</v>
      </c>
      <c r="Q174" s="180">
        <v>0</v>
      </c>
      <c r="R174" s="180">
        <v>0</v>
      </c>
      <c r="S174" s="180">
        <v>975</v>
      </c>
      <c r="T174" s="180">
        <v>0</v>
      </c>
      <c r="U174" s="180">
        <v>54745</v>
      </c>
      <c r="V174" s="180">
        <v>0</v>
      </c>
      <c r="W174" s="180">
        <v>0</v>
      </c>
      <c r="X174" s="180">
        <v>5806449</v>
      </c>
      <c r="Y174" s="180">
        <v>26629000</v>
      </c>
      <c r="Z174" s="180">
        <v>0</v>
      </c>
      <c r="AA174" s="180">
        <v>0</v>
      </c>
      <c r="AB174" s="180">
        <v>199903</v>
      </c>
      <c r="AC174" s="180"/>
      <c r="AD174" s="180">
        <v>0</v>
      </c>
      <c r="AE174" s="180">
        <v>0</v>
      </c>
      <c r="AF174" s="180">
        <v>0</v>
      </c>
      <c r="AG174" s="180">
        <v>308</v>
      </c>
      <c r="AH174" s="180">
        <v>3948</v>
      </c>
      <c r="AI174" s="180">
        <v>0</v>
      </c>
      <c r="AJ174" s="180">
        <v>0</v>
      </c>
      <c r="AK174" s="180">
        <v>0</v>
      </c>
      <c r="AL174" s="180">
        <v>0</v>
      </c>
      <c r="AM174" s="180"/>
      <c r="AN174" s="180">
        <v>0</v>
      </c>
      <c r="AO174" s="180"/>
      <c r="AP174" s="180">
        <v>0</v>
      </c>
      <c r="AQ174" s="180">
        <v>4258478</v>
      </c>
      <c r="AR174" s="180">
        <v>0</v>
      </c>
      <c r="AS174" s="180">
        <v>0</v>
      </c>
      <c r="AT174" s="180">
        <v>0</v>
      </c>
      <c r="AU174" s="180">
        <v>0</v>
      </c>
      <c r="AV174" s="180">
        <v>0</v>
      </c>
      <c r="AW174" s="180">
        <v>0</v>
      </c>
      <c r="AX174" s="180">
        <v>0</v>
      </c>
      <c r="AY174" s="180">
        <v>0</v>
      </c>
      <c r="AZ174" s="180">
        <v>0</v>
      </c>
      <c r="BA174" s="180">
        <v>0</v>
      </c>
      <c r="BB174" s="180">
        <v>0</v>
      </c>
      <c r="BC174" s="180">
        <v>0</v>
      </c>
      <c r="BD174" s="180">
        <v>0</v>
      </c>
      <c r="BE174" s="180">
        <v>0</v>
      </c>
      <c r="BF174" s="180">
        <v>0</v>
      </c>
      <c r="BG174" s="180">
        <v>0</v>
      </c>
      <c r="BH174" s="180">
        <v>112791</v>
      </c>
      <c r="BI174" s="180">
        <v>0</v>
      </c>
      <c r="BJ174" s="180">
        <v>99396</v>
      </c>
      <c r="BK174" s="180"/>
      <c r="BL174" s="180">
        <v>0</v>
      </c>
      <c r="BM174" s="180">
        <v>0</v>
      </c>
      <c r="BN174" s="180">
        <v>1538919</v>
      </c>
      <c r="BO174" s="180">
        <v>0</v>
      </c>
      <c r="BP174" s="180">
        <v>0</v>
      </c>
      <c r="BQ174" s="180">
        <v>0</v>
      </c>
      <c r="BR174" s="180"/>
      <c r="BS174" s="180">
        <v>0</v>
      </c>
      <c r="BT174" s="180"/>
      <c r="BU174" s="180">
        <v>0</v>
      </c>
      <c r="BV174" s="180">
        <v>0</v>
      </c>
      <c r="BW174" s="180">
        <v>0</v>
      </c>
      <c r="BX174" s="180">
        <v>0</v>
      </c>
      <c r="BY174" s="180">
        <v>15758</v>
      </c>
      <c r="BZ174" s="180">
        <v>0</v>
      </c>
      <c r="CA174" s="180">
        <v>0</v>
      </c>
      <c r="CB174" s="180">
        <v>0</v>
      </c>
      <c r="CC174" s="180">
        <v>0</v>
      </c>
      <c r="CD174" s="180"/>
      <c r="CE174" s="180">
        <v>0</v>
      </c>
      <c r="CF174" s="180">
        <v>0</v>
      </c>
      <c r="CG174" s="180">
        <v>18621</v>
      </c>
      <c r="CH174" s="180">
        <v>0</v>
      </c>
      <c r="CI174" s="180"/>
      <c r="CJ174" s="180"/>
      <c r="CK174" s="180"/>
      <c r="CL174" s="180"/>
      <c r="CM174" s="180"/>
      <c r="CN174" s="180"/>
      <c r="CO174" s="180"/>
      <c r="CP174" s="180"/>
      <c r="CQ174" s="180"/>
      <c r="CR174" s="180"/>
      <c r="CS174" s="180"/>
      <c r="CT174" s="180"/>
      <c r="CU174" s="180"/>
    </row>
    <row r="175" spans="1:99" x14ac:dyDescent="0.3">
      <c r="A175" s="155">
        <v>631</v>
      </c>
      <c r="B175" s="180" t="s">
        <v>907</v>
      </c>
      <c r="C175" s="180"/>
      <c r="D175" s="180">
        <v>0</v>
      </c>
      <c r="E175" s="180">
        <v>0</v>
      </c>
      <c r="F175" s="180">
        <v>0</v>
      </c>
      <c r="G175" s="180">
        <v>0</v>
      </c>
      <c r="H175" s="180"/>
      <c r="I175" s="180">
        <v>0</v>
      </c>
      <c r="J175" s="180">
        <v>0</v>
      </c>
      <c r="K175" s="180">
        <v>0</v>
      </c>
      <c r="L175" s="180">
        <v>0</v>
      </c>
      <c r="M175" s="180">
        <v>303862</v>
      </c>
      <c r="N175" s="180">
        <v>0</v>
      </c>
      <c r="O175" s="180">
        <v>0</v>
      </c>
      <c r="P175" s="180">
        <v>0</v>
      </c>
      <c r="Q175" s="180">
        <v>0</v>
      </c>
      <c r="R175" s="180">
        <v>0</v>
      </c>
      <c r="S175" s="180">
        <v>0</v>
      </c>
      <c r="T175" s="180">
        <v>0</v>
      </c>
      <c r="U175" s="180">
        <v>0</v>
      </c>
      <c r="V175" s="180">
        <v>0</v>
      </c>
      <c r="W175" s="180">
        <v>0</v>
      </c>
      <c r="X175" s="180">
        <v>0</v>
      </c>
      <c r="Y175" s="180">
        <v>0</v>
      </c>
      <c r="Z175" s="180">
        <v>0</v>
      </c>
      <c r="AA175" s="180">
        <v>0</v>
      </c>
      <c r="AB175" s="180">
        <v>0</v>
      </c>
      <c r="AC175" s="180"/>
      <c r="AD175" s="180">
        <v>0</v>
      </c>
      <c r="AE175" s="180">
        <v>0</v>
      </c>
      <c r="AF175" s="180">
        <v>0</v>
      </c>
      <c r="AG175" s="180">
        <v>0</v>
      </c>
      <c r="AH175" s="180">
        <v>0</v>
      </c>
      <c r="AI175" s="180">
        <v>0</v>
      </c>
      <c r="AJ175" s="180">
        <v>0</v>
      </c>
      <c r="AK175" s="180">
        <v>0</v>
      </c>
      <c r="AL175" s="180">
        <v>0</v>
      </c>
      <c r="AM175" s="180"/>
      <c r="AN175" s="180">
        <v>0</v>
      </c>
      <c r="AO175" s="180"/>
      <c r="AP175" s="180">
        <v>0</v>
      </c>
      <c r="AQ175" s="180">
        <v>0</v>
      </c>
      <c r="AR175" s="180">
        <v>0</v>
      </c>
      <c r="AS175" s="180">
        <v>0</v>
      </c>
      <c r="AT175" s="180">
        <v>0</v>
      </c>
      <c r="AU175" s="180">
        <v>103598</v>
      </c>
      <c r="AV175" s="180">
        <v>0</v>
      </c>
      <c r="AW175" s="180">
        <v>0</v>
      </c>
      <c r="AX175" s="180">
        <v>0</v>
      </c>
      <c r="AY175" s="180">
        <v>0</v>
      </c>
      <c r="AZ175" s="180">
        <v>0</v>
      </c>
      <c r="BA175" s="180">
        <v>0</v>
      </c>
      <c r="BB175" s="180">
        <v>0</v>
      </c>
      <c r="BC175" s="180">
        <v>0</v>
      </c>
      <c r="BD175" s="180">
        <v>0</v>
      </c>
      <c r="BE175" s="180">
        <v>0</v>
      </c>
      <c r="BF175" s="180">
        <v>0</v>
      </c>
      <c r="BG175" s="180">
        <v>0</v>
      </c>
      <c r="BH175" s="180">
        <v>0</v>
      </c>
      <c r="BI175" s="180">
        <v>0</v>
      </c>
      <c r="BJ175" s="180">
        <v>0</v>
      </c>
      <c r="BK175" s="180"/>
      <c r="BL175" s="180">
        <v>0</v>
      </c>
      <c r="BM175" s="180">
        <v>0</v>
      </c>
      <c r="BN175" s="180">
        <v>0</v>
      </c>
      <c r="BO175" s="180">
        <v>0</v>
      </c>
      <c r="BP175" s="180">
        <v>0</v>
      </c>
      <c r="BQ175" s="180">
        <v>0</v>
      </c>
      <c r="BR175" s="180"/>
      <c r="BS175" s="180">
        <v>0</v>
      </c>
      <c r="BT175" s="180"/>
      <c r="BU175" s="180">
        <v>0</v>
      </c>
      <c r="BV175" s="180">
        <v>0</v>
      </c>
      <c r="BW175" s="180">
        <v>0</v>
      </c>
      <c r="BX175" s="180">
        <v>0</v>
      </c>
      <c r="BY175" s="180">
        <v>0</v>
      </c>
      <c r="BZ175" s="180">
        <v>0</v>
      </c>
      <c r="CA175" s="180">
        <v>0</v>
      </c>
      <c r="CB175" s="180">
        <v>0</v>
      </c>
      <c r="CC175" s="180">
        <v>0</v>
      </c>
      <c r="CD175" s="180"/>
      <c r="CE175" s="180">
        <v>0</v>
      </c>
      <c r="CF175" s="180">
        <v>0</v>
      </c>
      <c r="CG175" s="180">
        <v>0</v>
      </c>
      <c r="CH175" s="180">
        <v>0</v>
      </c>
      <c r="CI175" s="180"/>
      <c r="CJ175" s="180"/>
      <c r="CK175" s="180"/>
      <c r="CL175" s="180"/>
      <c r="CM175" s="180"/>
      <c r="CN175" s="180"/>
      <c r="CO175" s="180"/>
      <c r="CP175" s="180"/>
      <c r="CQ175" s="180"/>
      <c r="CR175" s="180"/>
      <c r="CS175" s="180"/>
      <c r="CT175" s="180"/>
      <c r="CU175" s="180"/>
    </row>
    <row r="176" spans="1:99" x14ac:dyDescent="0.3">
      <c r="A176" s="155">
        <v>632</v>
      </c>
      <c r="B176" s="180" t="s">
        <v>908</v>
      </c>
      <c r="C176" s="180"/>
      <c r="D176" s="180">
        <v>0</v>
      </c>
      <c r="E176" s="180">
        <v>0</v>
      </c>
      <c r="F176" s="180">
        <v>0</v>
      </c>
      <c r="G176" s="180">
        <v>0</v>
      </c>
      <c r="H176" s="180"/>
      <c r="I176" s="180">
        <v>0</v>
      </c>
      <c r="J176" s="180">
        <v>0</v>
      </c>
      <c r="K176" s="180">
        <v>0</v>
      </c>
      <c r="L176" s="180">
        <v>0</v>
      </c>
      <c r="M176" s="180">
        <v>0</v>
      </c>
      <c r="N176" s="180">
        <v>0</v>
      </c>
      <c r="O176" s="180">
        <v>0</v>
      </c>
      <c r="P176" s="180">
        <v>0</v>
      </c>
      <c r="Q176" s="180">
        <v>0</v>
      </c>
      <c r="R176" s="180">
        <v>0</v>
      </c>
      <c r="S176" s="180">
        <v>0</v>
      </c>
      <c r="T176" s="180">
        <v>0</v>
      </c>
      <c r="U176" s="180">
        <v>0</v>
      </c>
      <c r="V176" s="180">
        <v>0</v>
      </c>
      <c r="W176" s="180">
        <v>0</v>
      </c>
      <c r="X176" s="180">
        <v>0</v>
      </c>
      <c r="Y176" s="180">
        <v>0</v>
      </c>
      <c r="Z176" s="180">
        <v>0</v>
      </c>
      <c r="AA176" s="180">
        <v>0</v>
      </c>
      <c r="AB176" s="180">
        <v>0</v>
      </c>
      <c r="AC176" s="180"/>
      <c r="AD176" s="180">
        <v>0</v>
      </c>
      <c r="AE176" s="180">
        <v>0</v>
      </c>
      <c r="AF176" s="180">
        <v>0</v>
      </c>
      <c r="AG176" s="180">
        <v>0</v>
      </c>
      <c r="AH176" s="180">
        <v>0</v>
      </c>
      <c r="AI176" s="180">
        <v>0</v>
      </c>
      <c r="AJ176" s="180">
        <v>0</v>
      </c>
      <c r="AK176" s="180">
        <v>0</v>
      </c>
      <c r="AL176" s="180">
        <v>0</v>
      </c>
      <c r="AM176" s="180"/>
      <c r="AN176" s="180">
        <v>0</v>
      </c>
      <c r="AO176" s="180"/>
      <c r="AP176" s="180">
        <v>0</v>
      </c>
      <c r="AQ176" s="180">
        <v>0</v>
      </c>
      <c r="AR176" s="180">
        <v>0</v>
      </c>
      <c r="AS176" s="180">
        <v>0</v>
      </c>
      <c r="AT176" s="180">
        <v>0</v>
      </c>
      <c r="AU176" s="180">
        <v>0</v>
      </c>
      <c r="AV176" s="180">
        <v>0</v>
      </c>
      <c r="AW176" s="180">
        <v>0</v>
      </c>
      <c r="AX176" s="180">
        <v>0</v>
      </c>
      <c r="AY176" s="180">
        <v>0</v>
      </c>
      <c r="AZ176" s="180">
        <v>0</v>
      </c>
      <c r="BA176" s="180">
        <v>0</v>
      </c>
      <c r="BB176" s="180">
        <v>0</v>
      </c>
      <c r="BC176" s="180">
        <v>0</v>
      </c>
      <c r="BD176" s="180">
        <v>0</v>
      </c>
      <c r="BE176" s="180">
        <v>0</v>
      </c>
      <c r="BF176" s="180">
        <v>0</v>
      </c>
      <c r="BG176" s="180">
        <v>0</v>
      </c>
      <c r="BH176" s="180">
        <v>0</v>
      </c>
      <c r="BI176" s="180">
        <v>0</v>
      </c>
      <c r="BJ176" s="180">
        <v>0</v>
      </c>
      <c r="BK176" s="180"/>
      <c r="BL176" s="180">
        <v>0</v>
      </c>
      <c r="BM176" s="180">
        <v>0</v>
      </c>
      <c r="BN176" s="180">
        <v>0</v>
      </c>
      <c r="BO176" s="180">
        <v>0</v>
      </c>
      <c r="BP176" s="180">
        <v>0</v>
      </c>
      <c r="BQ176" s="180">
        <v>0</v>
      </c>
      <c r="BR176" s="180"/>
      <c r="BS176" s="180">
        <v>0</v>
      </c>
      <c r="BT176" s="180"/>
      <c r="BU176" s="180">
        <v>0</v>
      </c>
      <c r="BV176" s="180">
        <v>0</v>
      </c>
      <c r="BW176" s="180">
        <v>0</v>
      </c>
      <c r="BX176" s="180">
        <v>0</v>
      </c>
      <c r="BY176" s="180">
        <v>0</v>
      </c>
      <c r="BZ176" s="180">
        <v>0</v>
      </c>
      <c r="CA176" s="180">
        <v>0</v>
      </c>
      <c r="CB176" s="180">
        <v>0</v>
      </c>
      <c r="CC176" s="180">
        <v>0</v>
      </c>
      <c r="CD176" s="180"/>
      <c r="CE176" s="180">
        <v>0</v>
      </c>
      <c r="CF176" s="180">
        <v>0</v>
      </c>
      <c r="CG176" s="180">
        <v>0</v>
      </c>
      <c r="CH176" s="180">
        <v>0</v>
      </c>
      <c r="CI176" s="180"/>
      <c r="CJ176" s="180"/>
      <c r="CK176" s="180"/>
      <c r="CL176" s="180"/>
      <c r="CM176" s="180"/>
      <c r="CN176" s="180"/>
      <c r="CO176" s="180"/>
      <c r="CP176" s="180"/>
      <c r="CQ176" s="180"/>
      <c r="CR176" s="180"/>
      <c r="CS176" s="180"/>
      <c r="CT176" s="180"/>
      <c r="CU176" s="180"/>
    </row>
    <row r="177" spans="1:99" x14ac:dyDescent="0.3">
      <c r="A177" s="155">
        <v>633</v>
      </c>
      <c r="B177" s="180" t="s">
        <v>371</v>
      </c>
      <c r="C177" s="180"/>
      <c r="D177" s="180">
        <v>3053</v>
      </c>
      <c r="E177" s="180">
        <v>0</v>
      </c>
      <c r="F177" s="180">
        <v>8204</v>
      </c>
      <c r="G177" s="180">
        <v>26446</v>
      </c>
      <c r="H177" s="180"/>
      <c r="I177" s="180">
        <v>405344</v>
      </c>
      <c r="J177" s="180">
        <v>0</v>
      </c>
      <c r="K177" s="180">
        <v>4692596</v>
      </c>
      <c r="L177" s="180">
        <v>0</v>
      </c>
      <c r="M177" s="180">
        <v>0</v>
      </c>
      <c r="N177" s="180">
        <v>855392</v>
      </c>
      <c r="O177" s="180">
        <v>19974811</v>
      </c>
      <c r="P177" s="180">
        <v>0</v>
      </c>
      <c r="Q177" s="180">
        <v>0</v>
      </c>
      <c r="R177" s="180">
        <v>0</v>
      </c>
      <c r="S177" s="180">
        <v>0</v>
      </c>
      <c r="T177" s="180">
        <v>0</v>
      </c>
      <c r="U177" s="180">
        <v>0</v>
      </c>
      <c r="V177" s="180">
        <v>8126</v>
      </c>
      <c r="W177" s="180">
        <v>238984</v>
      </c>
      <c r="X177" s="180">
        <v>0</v>
      </c>
      <c r="Y177" s="180">
        <v>344321000</v>
      </c>
      <c r="Z177" s="180">
        <v>353371</v>
      </c>
      <c r="AA177" s="180">
        <v>175</v>
      </c>
      <c r="AB177" s="180">
        <v>0</v>
      </c>
      <c r="AC177" s="180"/>
      <c r="AD177" s="180">
        <v>431657</v>
      </c>
      <c r="AE177" s="180">
        <v>49756</v>
      </c>
      <c r="AF177" s="180">
        <v>12041840</v>
      </c>
      <c r="AG177" s="180">
        <v>0</v>
      </c>
      <c r="AH177" s="180">
        <v>26217</v>
      </c>
      <c r="AI177" s="180">
        <v>688617</v>
      </c>
      <c r="AJ177" s="180">
        <v>120664</v>
      </c>
      <c r="AK177" s="180">
        <v>122043</v>
      </c>
      <c r="AL177" s="180">
        <v>208100</v>
      </c>
      <c r="AM177" s="180"/>
      <c r="AN177" s="180">
        <v>97430</v>
      </c>
      <c r="AO177" s="180"/>
      <c r="AP177" s="180">
        <v>0</v>
      </c>
      <c r="AQ177" s="180">
        <v>4015853</v>
      </c>
      <c r="AR177" s="180">
        <v>0</v>
      </c>
      <c r="AS177" s="180">
        <v>11500</v>
      </c>
      <c r="AT177" s="180">
        <v>817365</v>
      </c>
      <c r="AU177" s="180">
        <v>189404</v>
      </c>
      <c r="AV177" s="570">
        <v>0</v>
      </c>
      <c r="AW177" s="180">
        <v>0</v>
      </c>
      <c r="AX177" s="180">
        <v>88857</v>
      </c>
      <c r="AY177" s="180">
        <v>0</v>
      </c>
      <c r="AZ177" s="180">
        <v>0</v>
      </c>
      <c r="BA177" s="180">
        <v>24587</v>
      </c>
      <c r="BB177" s="180">
        <v>6511</v>
      </c>
      <c r="BC177" s="180">
        <v>596146</v>
      </c>
      <c r="BD177" s="180">
        <v>0</v>
      </c>
      <c r="BE177" s="180">
        <v>0</v>
      </c>
      <c r="BF177" s="180">
        <v>294234</v>
      </c>
      <c r="BG177" s="180">
        <v>0</v>
      </c>
      <c r="BH177" s="180">
        <v>0</v>
      </c>
      <c r="BI177" s="180">
        <v>186444</v>
      </c>
      <c r="BJ177" s="180">
        <v>0</v>
      </c>
      <c r="BK177" s="180"/>
      <c r="BL177" s="180">
        <v>58349</v>
      </c>
      <c r="BM177" s="180">
        <v>163787</v>
      </c>
      <c r="BN177" s="180">
        <v>0</v>
      </c>
      <c r="BO177" s="180">
        <v>3150215</v>
      </c>
      <c r="BP177" s="180">
        <v>36242603</v>
      </c>
      <c r="BQ177" s="180">
        <v>0</v>
      </c>
      <c r="BR177" s="180"/>
      <c r="BS177" s="180">
        <v>31881</v>
      </c>
      <c r="BT177" s="180"/>
      <c r="BU177" s="180">
        <v>0</v>
      </c>
      <c r="BV177" s="180">
        <v>3593294</v>
      </c>
      <c r="BW177" s="180">
        <v>295045</v>
      </c>
      <c r="BX177" s="180">
        <v>1547599</v>
      </c>
      <c r="BY177" s="180">
        <v>613766</v>
      </c>
      <c r="BZ177" s="180">
        <v>51059</v>
      </c>
      <c r="CA177" s="180">
        <v>366912</v>
      </c>
      <c r="CB177" s="180">
        <v>61070</v>
      </c>
      <c r="CC177" s="180">
        <v>99057</v>
      </c>
      <c r="CD177" s="180"/>
      <c r="CE177" s="180">
        <v>532922</v>
      </c>
      <c r="CF177" s="180">
        <v>0</v>
      </c>
      <c r="CG177" s="180">
        <v>158802</v>
      </c>
      <c r="CH177" s="180">
        <v>0</v>
      </c>
      <c r="CI177" s="180"/>
      <c r="CJ177" s="180"/>
      <c r="CK177" s="180"/>
      <c r="CL177" s="180"/>
      <c r="CM177" s="180"/>
      <c r="CN177" s="180"/>
      <c r="CO177" s="180"/>
      <c r="CP177" s="180"/>
      <c r="CQ177" s="180"/>
      <c r="CR177" s="180"/>
      <c r="CS177" s="180"/>
      <c r="CT177" s="180"/>
      <c r="CU177" s="180"/>
    </row>
    <row r="178" spans="1:99" x14ac:dyDescent="0.3">
      <c r="A178" s="155">
        <v>634</v>
      </c>
      <c r="B178" s="180" t="s">
        <v>372</v>
      </c>
      <c r="C178" s="180"/>
      <c r="D178" s="180">
        <v>0</v>
      </c>
      <c r="E178" s="180">
        <v>0</v>
      </c>
      <c r="F178" s="180">
        <v>0</v>
      </c>
      <c r="G178" s="180">
        <v>0</v>
      </c>
      <c r="H178" s="180"/>
      <c r="I178" s="180">
        <v>0</v>
      </c>
      <c r="J178" s="180">
        <v>0</v>
      </c>
      <c r="K178" s="180">
        <v>0</v>
      </c>
      <c r="L178" s="180">
        <v>0</v>
      </c>
      <c r="M178" s="180">
        <v>0</v>
      </c>
      <c r="N178" s="180">
        <v>0</v>
      </c>
      <c r="O178" s="180">
        <v>0</v>
      </c>
      <c r="P178" s="180">
        <v>0</v>
      </c>
      <c r="Q178" s="180">
        <v>0</v>
      </c>
      <c r="R178" s="180">
        <v>0</v>
      </c>
      <c r="S178" s="180">
        <v>0</v>
      </c>
      <c r="T178" s="180">
        <v>0</v>
      </c>
      <c r="U178" s="180">
        <v>0</v>
      </c>
      <c r="V178" s="180">
        <v>0</v>
      </c>
      <c r="W178" s="180">
        <v>0</v>
      </c>
      <c r="X178" s="180">
        <v>0</v>
      </c>
      <c r="Y178" s="180">
        <v>0</v>
      </c>
      <c r="Z178" s="180">
        <v>0</v>
      </c>
      <c r="AA178" s="180">
        <v>0</v>
      </c>
      <c r="AB178" s="180">
        <v>0</v>
      </c>
      <c r="AC178" s="180"/>
      <c r="AD178" s="180">
        <v>0</v>
      </c>
      <c r="AE178" s="180">
        <v>0</v>
      </c>
      <c r="AF178" s="180">
        <v>942286</v>
      </c>
      <c r="AG178" s="180">
        <v>0</v>
      </c>
      <c r="AH178" s="180">
        <v>0</v>
      </c>
      <c r="AI178" s="180">
        <v>101000</v>
      </c>
      <c r="AJ178" s="180">
        <v>0</v>
      </c>
      <c r="AK178" s="180">
        <v>0</v>
      </c>
      <c r="AL178" s="180">
        <v>0</v>
      </c>
      <c r="AM178" s="180"/>
      <c r="AN178" s="180">
        <v>0</v>
      </c>
      <c r="AO178" s="180"/>
      <c r="AP178" s="180">
        <v>0</v>
      </c>
      <c r="AQ178" s="180">
        <v>0</v>
      </c>
      <c r="AR178" s="180">
        <v>0</v>
      </c>
      <c r="AS178" s="180">
        <v>0</v>
      </c>
      <c r="AT178" s="180">
        <v>0</v>
      </c>
      <c r="AU178" s="180">
        <v>0</v>
      </c>
      <c r="AV178" s="180">
        <v>0</v>
      </c>
      <c r="AW178" s="180">
        <v>0</v>
      </c>
      <c r="AX178" s="180">
        <v>0</v>
      </c>
      <c r="AY178" s="180">
        <v>0</v>
      </c>
      <c r="AZ178" s="180">
        <v>0</v>
      </c>
      <c r="BA178" s="180">
        <v>0</v>
      </c>
      <c r="BB178" s="180">
        <v>0</v>
      </c>
      <c r="BC178" s="180">
        <v>0</v>
      </c>
      <c r="BD178" s="180">
        <v>0</v>
      </c>
      <c r="BE178" s="180">
        <v>0</v>
      </c>
      <c r="BF178" s="180">
        <v>0</v>
      </c>
      <c r="BG178" s="180">
        <v>0</v>
      </c>
      <c r="BH178" s="180">
        <v>0</v>
      </c>
      <c r="BI178" s="180">
        <v>0</v>
      </c>
      <c r="BJ178" s="180">
        <v>0</v>
      </c>
      <c r="BK178" s="180"/>
      <c r="BL178" s="180">
        <v>0</v>
      </c>
      <c r="BM178" s="180">
        <v>0</v>
      </c>
      <c r="BN178" s="180">
        <v>0</v>
      </c>
      <c r="BO178" s="180">
        <v>138000</v>
      </c>
      <c r="BP178" s="180">
        <v>0</v>
      </c>
      <c r="BQ178" s="180">
        <v>0</v>
      </c>
      <c r="BR178" s="180"/>
      <c r="BS178" s="180">
        <v>0</v>
      </c>
      <c r="BT178" s="180"/>
      <c r="BU178" s="180">
        <v>0</v>
      </c>
      <c r="BV178" s="180">
        <v>0</v>
      </c>
      <c r="BW178" s="180">
        <v>243464</v>
      </c>
      <c r="BX178" s="180">
        <v>0</v>
      </c>
      <c r="BY178" s="180">
        <v>0</v>
      </c>
      <c r="BZ178" s="180">
        <v>9500</v>
      </c>
      <c r="CA178" s="180">
        <v>0</v>
      </c>
      <c r="CB178" s="180">
        <v>0</v>
      </c>
      <c r="CC178" s="180">
        <v>0</v>
      </c>
      <c r="CD178" s="180"/>
      <c r="CE178" s="180">
        <v>0</v>
      </c>
      <c r="CF178" s="180">
        <v>0</v>
      </c>
      <c r="CG178" s="180">
        <v>0</v>
      </c>
      <c r="CH178" s="180">
        <v>0</v>
      </c>
      <c r="CI178" s="180"/>
      <c r="CJ178" s="180"/>
      <c r="CK178" s="180"/>
      <c r="CL178" s="180"/>
      <c r="CM178" s="180"/>
      <c r="CN178" s="180"/>
      <c r="CO178" s="180"/>
      <c r="CP178" s="180"/>
      <c r="CQ178" s="180"/>
      <c r="CR178" s="180"/>
      <c r="CS178" s="180"/>
      <c r="CT178" s="180"/>
      <c r="CU178" s="180"/>
    </row>
    <row r="179" spans="1:99" x14ac:dyDescent="0.3">
      <c r="A179" s="155">
        <v>635</v>
      </c>
      <c r="B179" s="180" t="s">
        <v>373</v>
      </c>
      <c r="C179" s="180"/>
      <c r="D179" s="180">
        <v>0</v>
      </c>
      <c r="E179" s="180">
        <v>0</v>
      </c>
      <c r="F179" s="180">
        <v>81</v>
      </c>
      <c r="G179" s="180">
        <v>4211</v>
      </c>
      <c r="H179" s="180"/>
      <c r="I179" s="180">
        <v>44794</v>
      </c>
      <c r="J179" s="180">
        <v>0</v>
      </c>
      <c r="K179" s="180">
        <v>0</v>
      </c>
      <c r="L179" s="180">
        <v>0</v>
      </c>
      <c r="M179" s="180">
        <v>0</v>
      </c>
      <c r="N179" s="180">
        <v>1000</v>
      </c>
      <c r="O179" s="180">
        <v>1757939</v>
      </c>
      <c r="P179" s="180">
        <v>0</v>
      </c>
      <c r="Q179" s="180">
        <v>0</v>
      </c>
      <c r="R179" s="180">
        <v>0</v>
      </c>
      <c r="S179" s="180">
        <v>0</v>
      </c>
      <c r="T179" s="180">
        <v>0</v>
      </c>
      <c r="U179" s="180">
        <v>0</v>
      </c>
      <c r="V179" s="180">
        <v>0</v>
      </c>
      <c r="W179" s="180">
        <v>0</v>
      </c>
      <c r="X179" s="180">
        <v>0</v>
      </c>
      <c r="Y179" s="180">
        <v>3514000</v>
      </c>
      <c r="Z179" s="180">
        <v>35235</v>
      </c>
      <c r="AA179" s="180">
        <v>0</v>
      </c>
      <c r="AB179" s="180">
        <v>0</v>
      </c>
      <c r="AC179" s="180"/>
      <c r="AD179" s="180">
        <v>20300</v>
      </c>
      <c r="AE179" s="180">
        <v>3406</v>
      </c>
      <c r="AF179" s="180">
        <v>39533</v>
      </c>
      <c r="AG179" s="180">
        <v>0</v>
      </c>
      <c r="AH179" s="180">
        <v>0</v>
      </c>
      <c r="AI179" s="180">
        <v>59000</v>
      </c>
      <c r="AJ179" s="180">
        <v>4572</v>
      </c>
      <c r="AK179" s="180">
        <v>6253</v>
      </c>
      <c r="AL179" s="180">
        <v>0</v>
      </c>
      <c r="AM179" s="180"/>
      <c r="AN179" s="180">
        <v>2668</v>
      </c>
      <c r="AO179" s="180"/>
      <c r="AP179" s="180">
        <v>0</v>
      </c>
      <c r="AQ179" s="180">
        <v>324134</v>
      </c>
      <c r="AR179" s="180">
        <v>0</v>
      </c>
      <c r="AS179" s="180">
        <v>0</v>
      </c>
      <c r="AT179" s="180">
        <v>39875</v>
      </c>
      <c r="AU179" s="180">
        <v>1138</v>
      </c>
      <c r="AV179" s="570">
        <v>0</v>
      </c>
      <c r="AW179" s="180">
        <v>0</v>
      </c>
      <c r="AX179" s="180">
        <v>0</v>
      </c>
      <c r="AY179" s="180">
        <v>0</v>
      </c>
      <c r="AZ179" s="180">
        <v>0</v>
      </c>
      <c r="BA179" s="180">
        <v>1719</v>
      </c>
      <c r="BB179" s="180">
        <v>0</v>
      </c>
      <c r="BC179" s="180">
        <v>39700</v>
      </c>
      <c r="BD179" s="180">
        <v>0</v>
      </c>
      <c r="BE179" s="180">
        <v>0</v>
      </c>
      <c r="BF179" s="180">
        <v>26168</v>
      </c>
      <c r="BG179" s="180">
        <v>0</v>
      </c>
      <c r="BH179" s="180">
        <v>0</v>
      </c>
      <c r="BI179" s="180">
        <v>39098</v>
      </c>
      <c r="BJ179" s="180">
        <v>0</v>
      </c>
      <c r="BK179" s="180"/>
      <c r="BL179" s="180">
        <v>2000</v>
      </c>
      <c r="BM179" s="180">
        <v>0</v>
      </c>
      <c r="BN179" s="180">
        <v>0</v>
      </c>
      <c r="BO179" s="180">
        <v>50000</v>
      </c>
      <c r="BP179" s="180">
        <v>1083211</v>
      </c>
      <c r="BQ179" s="180">
        <v>0</v>
      </c>
      <c r="BR179" s="180"/>
      <c r="BS179" s="180">
        <v>2978</v>
      </c>
      <c r="BT179" s="180"/>
      <c r="BU179" s="180">
        <v>0</v>
      </c>
      <c r="BV179" s="180">
        <v>0</v>
      </c>
      <c r="BW179" s="180">
        <v>12735</v>
      </c>
      <c r="BX179" s="180">
        <v>21586</v>
      </c>
      <c r="BY179" s="180">
        <v>42519</v>
      </c>
      <c r="BZ179" s="180">
        <v>6573</v>
      </c>
      <c r="CA179" s="180">
        <v>25084</v>
      </c>
      <c r="CB179" s="180">
        <v>0</v>
      </c>
      <c r="CC179" s="180">
        <v>0</v>
      </c>
      <c r="CD179" s="180"/>
      <c r="CE179" s="180">
        <v>39482</v>
      </c>
      <c r="CF179" s="180">
        <v>0</v>
      </c>
      <c r="CG179" s="180">
        <v>2142</v>
      </c>
      <c r="CH179" s="180">
        <v>0</v>
      </c>
      <c r="CI179" s="180"/>
      <c r="CJ179" s="180"/>
      <c r="CK179" s="180"/>
      <c r="CL179" s="180"/>
      <c r="CM179" s="180"/>
      <c r="CN179" s="180"/>
      <c r="CO179" s="180"/>
      <c r="CP179" s="180"/>
      <c r="CQ179" s="180"/>
      <c r="CR179" s="180"/>
      <c r="CS179" s="180"/>
      <c r="CT179" s="180"/>
      <c r="CU179" s="180"/>
    </row>
    <row r="180" spans="1:99" x14ac:dyDescent="0.3">
      <c r="A180" s="155">
        <v>636</v>
      </c>
      <c r="B180" s="180" t="s">
        <v>1586</v>
      </c>
      <c r="C180" s="180"/>
      <c r="D180" s="180">
        <v>0</v>
      </c>
      <c r="E180" s="180">
        <v>0</v>
      </c>
      <c r="F180" s="180">
        <v>0</v>
      </c>
      <c r="G180" s="180">
        <v>0</v>
      </c>
      <c r="H180" s="180"/>
      <c r="I180" s="180">
        <v>0</v>
      </c>
      <c r="J180" s="180">
        <v>0</v>
      </c>
      <c r="K180" s="180">
        <v>0</v>
      </c>
      <c r="L180" s="180">
        <v>0</v>
      </c>
      <c r="M180" s="180">
        <v>0</v>
      </c>
      <c r="N180" s="180">
        <v>0</v>
      </c>
      <c r="O180" s="180">
        <v>0</v>
      </c>
      <c r="P180" s="180">
        <v>0</v>
      </c>
      <c r="Q180" s="180">
        <v>0</v>
      </c>
      <c r="R180" s="180">
        <v>0</v>
      </c>
      <c r="S180" s="180">
        <v>0</v>
      </c>
      <c r="T180" s="180">
        <v>0</v>
      </c>
      <c r="U180" s="180">
        <v>0</v>
      </c>
      <c r="V180" s="180">
        <v>0</v>
      </c>
      <c r="W180" s="180">
        <v>0</v>
      </c>
      <c r="X180" s="180">
        <v>0</v>
      </c>
      <c r="Y180" s="180">
        <v>0</v>
      </c>
      <c r="Z180" s="180">
        <v>0</v>
      </c>
      <c r="AA180" s="180">
        <v>0</v>
      </c>
      <c r="AB180" s="180">
        <v>0</v>
      </c>
      <c r="AC180" s="180"/>
      <c r="AD180" s="180">
        <v>0</v>
      </c>
      <c r="AE180" s="180">
        <v>0</v>
      </c>
      <c r="AF180" s="180">
        <v>0</v>
      </c>
      <c r="AG180" s="180">
        <v>0</v>
      </c>
      <c r="AH180" s="180">
        <v>0</v>
      </c>
      <c r="AI180" s="180">
        <v>0</v>
      </c>
      <c r="AJ180" s="180">
        <v>0</v>
      </c>
      <c r="AK180" s="180">
        <v>0</v>
      </c>
      <c r="AL180" s="180">
        <v>0</v>
      </c>
      <c r="AM180" s="180"/>
      <c r="AN180" s="180">
        <v>0</v>
      </c>
      <c r="AO180" s="180"/>
      <c r="AP180" s="180">
        <v>0</v>
      </c>
      <c r="AQ180" s="180">
        <v>0</v>
      </c>
      <c r="AR180" s="180">
        <v>0</v>
      </c>
      <c r="AS180" s="180">
        <v>0</v>
      </c>
      <c r="AT180" s="180">
        <v>0</v>
      </c>
      <c r="AU180" s="180">
        <v>0</v>
      </c>
      <c r="AV180" s="180">
        <v>0</v>
      </c>
      <c r="AW180" s="180">
        <v>0</v>
      </c>
      <c r="AX180" s="180">
        <v>0</v>
      </c>
      <c r="AY180" s="180">
        <v>0</v>
      </c>
      <c r="AZ180" s="180">
        <v>0</v>
      </c>
      <c r="BA180" s="180">
        <v>0</v>
      </c>
      <c r="BB180" s="180">
        <v>0</v>
      </c>
      <c r="BC180" s="180">
        <v>0</v>
      </c>
      <c r="BD180" s="180">
        <v>0</v>
      </c>
      <c r="BE180" s="180">
        <v>0</v>
      </c>
      <c r="BF180" s="180">
        <v>0</v>
      </c>
      <c r="BG180" s="180">
        <v>0</v>
      </c>
      <c r="BH180" s="180">
        <v>0</v>
      </c>
      <c r="BI180" s="180">
        <v>0</v>
      </c>
      <c r="BJ180" s="180">
        <v>0</v>
      </c>
      <c r="BK180" s="180"/>
      <c r="BL180" s="180">
        <v>0</v>
      </c>
      <c r="BM180" s="180">
        <v>0</v>
      </c>
      <c r="BN180" s="180">
        <v>0</v>
      </c>
      <c r="BO180" s="180">
        <v>0</v>
      </c>
      <c r="BP180" s="180">
        <v>0</v>
      </c>
      <c r="BQ180" s="180">
        <v>0</v>
      </c>
      <c r="BR180" s="180"/>
      <c r="BS180" s="180">
        <v>0</v>
      </c>
      <c r="BT180" s="180"/>
      <c r="BU180" s="180">
        <v>0</v>
      </c>
      <c r="BV180" s="180">
        <v>0</v>
      </c>
      <c r="BW180" s="180">
        <v>0</v>
      </c>
      <c r="BX180" s="180">
        <v>0</v>
      </c>
      <c r="BY180" s="180">
        <v>0</v>
      </c>
      <c r="BZ180" s="180">
        <v>0</v>
      </c>
      <c r="CA180" s="180">
        <v>0</v>
      </c>
      <c r="CB180" s="180">
        <v>0</v>
      </c>
      <c r="CC180" s="180">
        <v>0</v>
      </c>
      <c r="CD180" s="180"/>
      <c r="CE180" s="180">
        <v>0</v>
      </c>
      <c r="CF180" s="180">
        <v>0</v>
      </c>
      <c r="CG180" s="180">
        <v>0</v>
      </c>
      <c r="CH180" s="180">
        <v>0</v>
      </c>
      <c r="CI180" s="180"/>
      <c r="CJ180" s="180"/>
      <c r="CK180" s="180"/>
      <c r="CL180" s="180"/>
      <c r="CM180" s="180"/>
      <c r="CN180" s="180"/>
      <c r="CO180" s="180"/>
      <c r="CP180" s="180"/>
      <c r="CQ180" s="180"/>
      <c r="CR180" s="180"/>
      <c r="CS180" s="180"/>
      <c r="CT180" s="180"/>
      <c r="CU180" s="180"/>
    </row>
    <row r="181" spans="1:99" x14ac:dyDescent="0.3">
      <c r="A181" s="155">
        <v>637</v>
      </c>
      <c r="B181" s="180" t="s">
        <v>1587</v>
      </c>
      <c r="C181" s="180"/>
      <c r="D181" s="180">
        <v>0</v>
      </c>
      <c r="E181" s="180">
        <v>0</v>
      </c>
      <c r="F181" s="180">
        <v>0</v>
      </c>
      <c r="G181" s="180">
        <v>2274</v>
      </c>
      <c r="H181" s="180"/>
      <c r="I181" s="180">
        <v>6335</v>
      </c>
      <c r="J181" s="180">
        <v>0</v>
      </c>
      <c r="K181" s="180">
        <v>1746870</v>
      </c>
      <c r="L181" s="180">
        <v>0</v>
      </c>
      <c r="M181" s="180">
        <v>0</v>
      </c>
      <c r="N181" s="180">
        <v>0</v>
      </c>
      <c r="O181" s="180">
        <v>0</v>
      </c>
      <c r="P181" s="180">
        <v>0</v>
      </c>
      <c r="Q181" s="180">
        <v>0</v>
      </c>
      <c r="R181" s="180">
        <v>0</v>
      </c>
      <c r="S181" s="180">
        <v>0</v>
      </c>
      <c r="T181" s="180">
        <v>0</v>
      </c>
      <c r="U181" s="180">
        <v>0</v>
      </c>
      <c r="V181" s="180">
        <v>3480</v>
      </c>
      <c r="W181" s="180">
        <v>0</v>
      </c>
      <c r="X181" s="180">
        <v>0</v>
      </c>
      <c r="Y181" s="180">
        <v>661000</v>
      </c>
      <c r="Z181" s="180">
        <v>87672</v>
      </c>
      <c r="AA181" s="180">
        <v>0</v>
      </c>
      <c r="AB181" s="180">
        <v>0</v>
      </c>
      <c r="AC181" s="180"/>
      <c r="AD181" s="180">
        <v>303455</v>
      </c>
      <c r="AE181" s="180">
        <v>0</v>
      </c>
      <c r="AF181" s="180">
        <v>0</v>
      </c>
      <c r="AG181" s="180">
        <v>0</v>
      </c>
      <c r="AH181" s="180">
        <v>14700</v>
      </c>
      <c r="AI181" s="180">
        <v>122902</v>
      </c>
      <c r="AJ181" s="180">
        <v>41870</v>
      </c>
      <c r="AK181" s="180">
        <v>63157</v>
      </c>
      <c r="AL181" s="180">
        <v>3650</v>
      </c>
      <c r="AM181" s="180"/>
      <c r="AN181" s="180">
        <v>0</v>
      </c>
      <c r="AO181" s="180"/>
      <c r="AP181" s="180">
        <v>0</v>
      </c>
      <c r="AQ181" s="180">
        <v>0</v>
      </c>
      <c r="AR181" s="180">
        <v>0</v>
      </c>
      <c r="AS181" s="180">
        <v>0</v>
      </c>
      <c r="AT181" s="180">
        <v>0</v>
      </c>
      <c r="AU181" s="180">
        <v>45791</v>
      </c>
      <c r="AV181" s="180">
        <v>0</v>
      </c>
      <c r="AW181" s="180">
        <v>0</v>
      </c>
      <c r="AX181" s="180">
        <v>17749</v>
      </c>
      <c r="AY181" s="180">
        <v>0</v>
      </c>
      <c r="AZ181" s="180">
        <v>0</v>
      </c>
      <c r="BA181" s="180">
        <v>7800</v>
      </c>
      <c r="BB181" s="180">
        <v>5250</v>
      </c>
      <c r="BC181" s="180">
        <v>80393</v>
      </c>
      <c r="BD181" s="180">
        <v>0</v>
      </c>
      <c r="BE181" s="180">
        <v>0</v>
      </c>
      <c r="BF181" s="180">
        <v>50035</v>
      </c>
      <c r="BG181" s="180">
        <v>0</v>
      </c>
      <c r="BH181" s="180">
        <v>0</v>
      </c>
      <c r="BI181" s="180">
        <v>25958</v>
      </c>
      <c r="BJ181" s="180">
        <v>0</v>
      </c>
      <c r="BK181" s="180"/>
      <c r="BL181" s="180">
        <v>0</v>
      </c>
      <c r="BM181" s="180">
        <v>24275</v>
      </c>
      <c r="BN181" s="180">
        <v>0</v>
      </c>
      <c r="BO181" s="180">
        <v>134207</v>
      </c>
      <c r="BP181" s="180">
        <v>0</v>
      </c>
      <c r="BQ181" s="180">
        <v>0</v>
      </c>
      <c r="BR181" s="180"/>
      <c r="BS181" s="180">
        <v>0</v>
      </c>
      <c r="BT181" s="180"/>
      <c r="BU181" s="180">
        <v>0</v>
      </c>
      <c r="BV181" s="180">
        <v>368345</v>
      </c>
      <c r="BW181" s="180">
        <v>0</v>
      </c>
      <c r="BX181" s="180">
        <v>31904</v>
      </c>
      <c r="BY181" s="180">
        <v>200538</v>
      </c>
      <c r="BZ181" s="180">
        <v>30385</v>
      </c>
      <c r="CA181" s="180">
        <v>34260</v>
      </c>
      <c r="CB181" s="180">
        <v>61070</v>
      </c>
      <c r="CC181" s="180">
        <v>0</v>
      </c>
      <c r="CD181" s="180"/>
      <c r="CE181" s="180">
        <v>47066</v>
      </c>
      <c r="CF181" s="180">
        <v>0</v>
      </c>
      <c r="CG181" s="180">
        <v>50043</v>
      </c>
      <c r="CH181" s="180">
        <v>0</v>
      </c>
      <c r="CI181" s="180"/>
      <c r="CJ181" s="180"/>
      <c r="CK181" s="180"/>
      <c r="CL181" s="180"/>
      <c r="CM181" s="180"/>
      <c r="CN181" s="180"/>
      <c r="CO181" s="180"/>
      <c r="CP181" s="180"/>
      <c r="CQ181" s="180"/>
      <c r="CR181" s="180"/>
      <c r="CS181" s="180"/>
      <c r="CT181" s="180"/>
      <c r="CU181" s="180"/>
    </row>
    <row r="182" spans="1:99" x14ac:dyDescent="0.3">
      <c r="A182" s="155">
        <v>638</v>
      </c>
      <c r="B182" s="180" t="s">
        <v>1588</v>
      </c>
      <c r="C182" s="180"/>
      <c r="D182" s="180">
        <v>0</v>
      </c>
      <c r="E182" s="180">
        <v>0</v>
      </c>
      <c r="F182" s="180">
        <v>0</v>
      </c>
      <c r="G182" s="180">
        <v>0</v>
      </c>
      <c r="H182" s="180"/>
      <c r="I182" s="180">
        <v>0</v>
      </c>
      <c r="J182" s="180">
        <v>0</v>
      </c>
      <c r="K182" s="180">
        <v>0</v>
      </c>
      <c r="L182" s="180">
        <v>0</v>
      </c>
      <c r="M182" s="180">
        <v>0</v>
      </c>
      <c r="N182" s="180">
        <v>0</v>
      </c>
      <c r="O182" s="180">
        <v>0</v>
      </c>
      <c r="P182" s="180">
        <v>0</v>
      </c>
      <c r="Q182" s="180">
        <v>0</v>
      </c>
      <c r="R182" s="180">
        <v>0</v>
      </c>
      <c r="S182" s="180">
        <v>0</v>
      </c>
      <c r="T182" s="180">
        <v>0</v>
      </c>
      <c r="U182" s="180">
        <v>0</v>
      </c>
      <c r="V182" s="180">
        <v>0</v>
      </c>
      <c r="W182" s="180">
        <v>0</v>
      </c>
      <c r="X182" s="180">
        <v>0</v>
      </c>
      <c r="Y182" s="180">
        <v>0</v>
      </c>
      <c r="Z182" s="180">
        <v>0</v>
      </c>
      <c r="AA182" s="180">
        <v>0</v>
      </c>
      <c r="AB182" s="180">
        <v>0</v>
      </c>
      <c r="AC182" s="180"/>
      <c r="AD182" s="180">
        <v>0</v>
      </c>
      <c r="AE182" s="180">
        <v>0</v>
      </c>
      <c r="AF182" s="180">
        <v>0</v>
      </c>
      <c r="AG182" s="180">
        <v>0</v>
      </c>
      <c r="AH182" s="180">
        <v>0</v>
      </c>
      <c r="AI182" s="180">
        <v>0</v>
      </c>
      <c r="AJ182" s="180">
        <v>0</v>
      </c>
      <c r="AK182" s="180">
        <v>0</v>
      </c>
      <c r="AL182" s="180">
        <v>0</v>
      </c>
      <c r="AM182" s="180"/>
      <c r="AN182" s="180">
        <v>0</v>
      </c>
      <c r="AO182" s="180"/>
      <c r="AP182" s="180">
        <v>0</v>
      </c>
      <c r="AQ182" s="180">
        <v>0</v>
      </c>
      <c r="AR182" s="180">
        <v>0</v>
      </c>
      <c r="AS182" s="180">
        <v>0</v>
      </c>
      <c r="AT182" s="180">
        <v>0</v>
      </c>
      <c r="AU182" s="180">
        <v>55783</v>
      </c>
      <c r="AV182" s="180">
        <v>0</v>
      </c>
      <c r="AW182" s="180">
        <v>0</v>
      </c>
      <c r="AX182" s="180">
        <v>0</v>
      </c>
      <c r="AY182" s="180">
        <v>0</v>
      </c>
      <c r="AZ182" s="180">
        <v>0</v>
      </c>
      <c r="BA182" s="180">
        <v>0</v>
      </c>
      <c r="BB182" s="180">
        <v>0</v>
      </c>
      <c r="BC182" s="180">
        <v>0</v>
      </c>
      <c r="BD182" s="180">
        <v>0</v>
      </c>
      <c r="BE182" s="180">
        <v>0</v>
      </c>
      <c r="BF182" s="180">
        <v>0</v>
      </c>
      <c r="BG182" s="180">
        <v>0</v>
      </c>
      <c r="BH182" s="180">
        <v>0</v>
      </c>
      <c r="BI182" s="180">
        <v>0</v>
      </c>
      <c r="BJ182" s="180">
        <v>0</v>
      </c>
      <c r="BK182" s="180"/>
      <c r="BL182" s="180">
        <v>0</v>
      </c>
      <c r="BM182" s="180">
        <v>0</v>
      </c>
      <c r="BN182" s="180">
        <v>0</v>
      </c>
      <c r="BO182" s="180">
        <v>0</v>
      </c>
      <c r="BP182" s="180">
        <v>0</v>
      </c>
      <c r="BQ182" s="180">
        <v>0</v>
      </c>
      <c r="BR182" s="180"/>
      <c r="BS182" s="180">
        <v>0</v>
      </c>
      <c r="BT182" s="180"/>
      <c r="BU182" s="180">
        <v>0</v>
      </c>
      <c r="BV182" s="180">
        <v>0</v>
      </c>
      <c r="BW182" s="180">
        <v>0</v>
      </c>
      <c r="BX182" s="180">
        <v>0</v>
      </c>
      <c r="BY182" s="180">
        <v>0</v>
      </c>
      <c r="BZ182" s="180">
        <v>0</v>
      </c>
      <c r="CA182" s="180">
        <v>0</v>
      </c>
      <c r="CB182" s="180">
        <v>0</v>
      </c>
      <c r="CC182" s="180">
        <v>0</v>
      </c>
      <c r="CD182" s="180"/>
      <c r="CE182" s="180">
        <v>0</v>
      </c>
      <c r="CF182" s="180">
        <v>0</v>
      </c>
      <c r="CG182" s="180">
        <v>0</v>
      </c>
      <c r="CH182" s="180">
        <v>0</v>
      </c>
      <c r="CI182" s="180"/>
      <c r="CJ182" s="180"/>
      <c r="CK182" s="180"/>
      <c r="CL182" s="180"/>
      <c r="CM182" s="180"/>
      <c r="CN182" s="180"/>
      <c r="CO182" s="180"/>
      <c r="CP182" s="180"/>
      <c r="CQ182" s="180"/>
      <c r="CR182" s="180"/>
      <c r="CS182" s="180"/>
      <c r="CT182" s="180"/>
      <c r="CU182" s="180"/>
    </row>
    <row r="183" spans="1:99" x14ac:dyDescent="0.3">
      <c r="A183" s="155">
        <v>639</v>
      </c>
      <c r="B183" s="180" t="s">
        <v>1589</v>
      </c>
      <c r="C183" s="180"/>
      <c r="D183" s="180">
        <v>0</v>
      </c>
      <c r="E183" s="180">
        <v>0</v>
      </c>
      <c r="F183" s="180">
        <v>0</v>
      </c>
      <c r="G183" s="180">
        <v>0</v>
      </c>
      <c r="H183" s="180"/>
      <c r="I183" s="180">
        <v>0</v>
      </c>
      <c r="J183" s="180">
        <v>0</v>
      </c>
      <c r="K183" s="180">
        <v>0</v>
      </c>
      <c r="L183" s="180">
        <v>0</v>
      </c>
      <c r="M183" s="180">
        <v>0</v>
      </c>
      <c r="N183" s="180">
        <v>0</v>
      </c>
      <c r="O183" s="180">
        <v>0</v>
      </c>
      <c r="P183" s="180">
        <v>0</v>
      </c>
      <c r="Q183" s="180">
        <v>0</v>
      </c>
      <c r="R183" s="180">
        <v>0</v>
      </c>
      <c r="S183" s="180">
        <v>0</v>
      </c>
      <c r="T183" s="180">
        <v>0</v>
      </c>
      <c r="U183" s="180">
        <v>0</v>
      </c>
      <c r="V183" s="180">
        <v>0</v>
      </c>
      <c r="W183" s="180">
        <v>0</v>
      </c>
      <c r="X183" s="180">
        <v>0</v>
      </c>
      <c r="Y183" s="180">
        <v>0</v>
      </c>
      <c r="Z183" s="180">
        <v>587846</v>
      </c>
      <c r="AA183" s="180">
        <v>0</v>
      </c>
      <c r="AB183" s="180">
        <v>0</v>
      </c>
      <c r="AC183" s="180"/>
      <c r="AD183" s="180">
        <v>0</v>
      </c>
      <c r="AE183" s="180">
        <v>0</v>
      </c>
      <c r="AF183" s="180">
        <v>2871667</v>
      </c>
      <c r="AG183" s="180">
        <v>0</v>
      </c>
      <c r="AH183" s="180">
        <v>0</v>
      </c>
      <c r="AI183" s="180">
        <v>0</v>
      </c>
      <c r="AJ183" s="180">
        <v>0</v>
      </c>
      <c r="AK183" s="180">
        <v>0</v>
      </c>
      <c r="AL183" s="180">
        <v>0</v>
      </c>
      <c r="AM183" s="180"/>
      <c r="AN183" s="180">
        <v>0</v>
      </c>
      <c r="AO183" s="180"/>
      <c r="AP183" s="180">
        <v>0</v>
      </c>
      <c r="AQ183" s="180">
        <v>6633878</v>
      </c>
      <c r="AR183" s="180">
        <v>0</v>
      </c>
      <c r="AS183" s="180">
        <v>0</v>
      </c>
      <c r="AT183" s="180">
        <v>0</v>
      </c>
      <c r="AU183" s="180">
        <v>0</v>
      </c>
      <c r="AV183" s="180">
        <v>0</v>
      </c>
      <c r="AW183" s="180">
        <v>1164665</v>
      </c>
      <c r="AX183" s="180">
        <v>0</v>
      </c>
      <c r="AY183" s="180">
        <v>0</v>
      </c>
      <c r="AZ183" s="180">
        <v>0</v>
      </c>
      <c r="BA183" s="180">
        <v>0</v>
      </c>
      <c r="BB183" s="180">
        <v>0</v>
      </c>
      <c r="BC183" s="180">
        <v>1165671</v>
      </c>
      <c r="BD183" s="180">
        <v>0</v>
      </c>
      <c r="BE183" s="180">
        <v>0</v>
      </c>
      <c r="BF183" s="180">
        <v>0</v>
      </c>
      <c r="BG183" s="180">
        <v>0</v>
      </c>
      <c r="BH183" s="180">
        <v>0</v>
      </c>
      <c r="BI183" s="180">
        <v>0</v>
      </c>
      <c r="BJ183" s="180">
        <v>0</v>
      </c>
      <c r="BK183" s="180"/>
      <c r="BL183" s="180">
        <v>214904</v>
      </c>
      <c r="BM183" s="180">
        <v>0</v>
      </c>
      <c r="BN183" s="180">
        <v>0</v>
      </c>
      <c r="BO183" s="180">
        <v>0</v>
      </c>
      <c r="BP183" s="180">
        <v>0</v>
      </c>
      <c r="BQ183" s="180">
        <v>0</v>
      </c>
      <c r="BR183" s="180"/>
      <c r="BS183" s="180">
        <v>0</v>
      </c>
      <c r="BT183" s="180"/>
      <c r="BU183" s="180">
        <v>0</v>
      </c>
      <c r="BV183" s="180">
        <v>0</v>
      </c>
      <c r="BW183" s="180">
        <v>1189337</v>
      </c>
      <c r="BX183" s="180">
        <v>4243009</v>
      </c>
      <c r="BY183" s="180">
        <v>0</v>
      </c>
      <c r="BZ183" s="180">
        <v>0</v>
      </c>
      <c r="CA183" s="180">
        <v>0</v>
      </c>
      <c r="CB183" s="180">
        <v>0</v>
      </c>
      <c r="CC183" s="180">
        <v>0</v>
      </c>
      <c r="CD183" s="180"/>
      <c r="CE183" s="180">
        <v>0</v>
      </c>
      <c r="CF183" s="180">
        <v>0</v>
      </c>
      <c r="CG183" s="180">
        <v>567430</v>
      </c>
      <c r="CH183" s="180">
        <v>0</v>
      </c>
      <c r="CI183" s="180"/>
      <c r="CJ183" s="180"/>
      <c r="CK183" s="180"/>
      <c r="CL183" s="180"/>
      <c r="CM183" s="180"/>
      <c r="CN183" s="180"/>
      <c r="CO183" s="180"/>
      <c r="CP183" s="180"/>
      <c r="CQ183" s="180"/>
      <c r="CR183" s="180"/>
      <c r="CS183" s="180"/>
      <c r="CT183" s="180"/>
      <c r="CU183" s="180"/>
    </row>
    <row r="184" spans="1:99" x14ac:dyDescent="0.3">
      <c r="A184" s="155">
        <v>640</v>
      </c>
      <c r="B184" s="180" t="s">
        <v>1590</v>
      </c>
      <c r="C184" s="180"/>
      <c r="D184" s="180">
        <v>0</v>
      </c>
      <c r="E184" s="180">
        <v>0</v>
      </c>
      <c r="F184" s="180">
        <v>0</v>
      </c>
      <c r="G184" s="180">
        <v>0</v>
      </c>
      <c r="H184" s="180"/>
      <c r="I184" s="180">
        <v>0</v>
      </c>
      <c r="J184" s="180">
        <v>0</v>
      </c>
      <c r="K184" s="180">
        <v>0</v>
      </c>
      <c r="L184" s="180">
        <v>0</v>
      </c>
      <c r="M184" s="180">
        <v>0</v>
      </c>
      <c r="N184" s="180">
        <v>0</v>
      </c>
      <c r="O184" s="180">
        <v>0</v>
      </c>
      <c r="P184" s="180">
        <v>0</v>
      </c>
      <c r="Q184" s="180">
        <v>0</v>
      </c>
      <c r="R184" s="180">
        <v>0</v>
      </c>
      <c r="S184" s="180">
        <v>0</v>
      </c>
      <c r="T184" s="180">
        <v>0</v>
      </c>
      <c r="U184" s="180">
        <v>0</v>
      </c>
      <c r="V184" s="180">
        <v>0</v>
      </c>
      <c r="W184" s="180">
        <v>0</v>
      </c>
      <c r="X184" s="180">
        <v>0</v>
      </c>
      <c r="Y184" s="180">
        <v>0</v>
      </c>
      <c r="Z184" s="180">
        <v>0</v>
      </c>
      <c r="AA184" s="180">
        <v>0</v>
      </c>
      <c r="AB184" s="180">
        <v>0</v>
      </c>
      <c r="AC184" s="180"/>
      <c r="AD184" s="180">
        <v>0</v>
      </c>
      <c r="AE184" s="180">
        <v>0</v>
      </c>
      <c r="AF184" s="180">
        <v>457083</v>
      </c>
      <c r="AG184" s="180">
        <v>0</v>
      </c>
      <c r="AH184" s="180">
        <v>0</v>
      </c>
      <c r="AI184" s="180">
        <v>0</v>
      </c>
      <c r="AJ184" s="180">
        <v>0</v>
      </c>
      <c r="AK184" s="180">
        <v>0</v>
      </c>
      <c r="AL184" s="180">
        <v>0</v>
      </c>
      <c r="AM184" s="180"/>
      <c r="AN184" s="180">
        <v>0</v>
      </c>
      <c r="AO184" s="180"/>
      <c r="AP184" s="180">
        <v>0</v>
      </c>
      <c r="AQ184" s="180">
        <v>0</v>
      </c>
      <c r="AR184" s="180">
        <v>0</v>
      </c>
      <c r="AS184" s="180">
        <v>0</v>
      </c>
      <c r="AT184" s="180">
        <v>0</v>
      </c>
      <c r="AU184" s="180">
        <v>0</v>
      </c>
      <c r="AV184" s="180">
        <v>0</v>
      </c>
      <c r="AW184" s="180">
        <v>0</v>
      </c>
      <c r="AX184" s="180">
        <v>0</v>
      </c>
      <c r="AY184" s="180">
        <v>0</v>
      </c>
      <c r="AZ184" s="180">
        <v>0</v>
      </c>
      <c r="BA184" s="180">
        <v>0</v>
      </c>
      <c r="BB184" s="180">
        <v>0</v>
      </c>
      <c r="BC184" s="180">
        <v>0</v>
      </c>
      <c r="BD184" s="180">
        <v>0</v>
      </c>
      <c r="BE184" s="180">
        <v>0</v>
      </c>
      <c r="BF184" s="180">
        <v>0</v>
      </c>
      <c r="BG184" s="180">
        <v>0</v>
      </c>
      <c r="BH184" s="180">
        <v>0</v>
      </c>
      <c r="BI184" s="180">
        <v>0</v>
      </c>
      <c r="BJ184" s="180">
        <v>0</v>
      </c>
      <c r="BK184" s="180"/>
      <c r="BL184" s="180">
        <v>0</v>
      </c>
      <c r="BM184" s="180">
        <v>0</v>
      </c>
      <c r="BN184" s="180">
        <v>0</v>
      </c>
      <c r="BO184" s="180">
        <v>0</v>
      </c>
      <c r="BP184" s="180">
        <v>0</v>
      </c>
      <c r="BQ184" s="180">
        <v>0</v>
      </c>
      <c r="BR184" s="180"/>
      <c r="BS184" s="180">
        <v>0</v>
      </c>
      <c r="BT184" s="180"/>
      <c r="BU184" s="180">
        <v>0</v>
      </c>
      <c r="BV184" s="180">
        <v>0</v>
      </c>
      <c r="BW184" s="180">
        <v>42639</v>
      </c>
      <c r="BX184" s="180">
        <v>0</v>
      </c>
      <c r="BY184" s="180">
        <v>0</v>
      </c>
      <c r="BZ184" s="180">
        <v>0</v>
      </c>
      <c r="CA184" s="180">
        <v>0</v>
      </c>
      <c r="CB184" s="180">
        <v>0</v>
      </c>
      <c r="CC184" s="180">
        <v>0</v>
      </c>
      <c r="CD184" s="180"/>
      <c r="CE184" s="180">
        <v>0</v>
      </c>
      <c r="CF184" s="180">
        <v>0</v>
      </c>
      <c r="CG184" s="180">
        <v>0</v>
      </c>
      <c r="CH184" s="180">
        <v>0</v>
      </c>
      <c r="CI184" s="180"/>
      <c r="CJ184" s="180"/>
      <c r="CK184" s="180"/>
      <c r="CL184" s="180"/>
      <c r="CM184" s="180"/>
      <c r="CN184" s="180"/>
      <c r="CO184" s="180"/>
      <c r="CP184" s="180"/>
      <c r="CQ184" s="180"/>
      <c r="CR184" s="180"/>
      <c r="CS184" s="180"/>
      <c r="CT184" s="180"/>
      <c r="CU184" s="180"/>
    </row>
    <row r="185" spans="1:99" x14ac:dyDescent="0.3">
      <c r="A185" s="155">
        <v>641</v>
      </c>
      <c r="B185" s="180" t="s">
        <v>1591</v>
      </c>
      <c r="C185" s="180"/>
      <c r="D185" s="180">
        <v>0</v>
      </c>
      <c r="E185" s="180">
        <v>0</v>
      </c>
      <c r="F185" s="180">
        <v>0</v>
      </c>
      <c r="G185" s="180">
        <v>0</v>
      </c>
      <c r="H185" s="180"/>
      <c r="I185" s="180">
        <v>0</v>
      </c>
      <c r="J185" s="180">
        <v>0</v>
      </c>
      <c r="K185" s="180">
        <v>0</v>
      </c>
      <c r="L185" s="180">
        <v>0</v>
      </c>
      <c r="M185" s="180">
        <v>0</v>
      </c>
      <c r="N185" s="180">
        <v>0</v>
      </c>
      <c r="O185" s="180">
        <v>0</v>
      </c>
      <c r="P185" s="180">
        <v>0</v>
      </c>
      <c r="Q185" s="180">
        <v>0</v>
      </c>
      <c r="R185" s="180">
        <v>0</v>
      </c>
      <c r="S185" s="180">
        <v>0</v>
      </c>
      <c r="T185" s="180">
        <v>0</v>
      </c>
      <c r="U185" s="180">
        <v>0</v>
      </c>
      <c r="V185" s="180">
        <v>0</v>
      </c>
      <c r="W185" s="180">
        <v>0</v>
      </c>
      <c r="X185" s="180">
        <v>0</v>
      </c>
      <c r="Y185" s="180">
        <v>0</v>
      </c>
      <c r="Z185" s="180">
        <v>53004</v>
      </c>
      <c r="AA185" s="180">
        <v>0</v>
      </c>
      <c r="AB185" s="180">
        <v>0</v>
      </c>
      <c r="AC185" s="180"/>
      <c r="AD185" s="180">
        <v>0</v>
      </c>
      <c r="AE185" s="180">
        <v>0</v>
      </c>
      <c r="AF185" s="180">
        <v>41522</v>
      </c>
      <c r="AG185" s="180">
        <v>0</v>
      </c>
      <c r="AH185" s="180">
        <v>0</v>
      </c>
      <c r="AI185" s="180">
        <v>0</v>
      </c>
      <c r="AJ185" s="180">
        <v>0</v>
      </c>
      <c r="AK185" s="180">
        <v>0</v>
      </c>
      <c r="AL185" s="180">
        <v>0</v>
      </c>
      <c r="AM185" s="180"/>
      <c r="AN185" s="180">
        <v>0</v>
      </c>
      <c r="AO185" s="180"/>
      <c r="AP185" s="180">
        <v>0</v>
      </c>
      <c r="AQ185" s="180">
        <v>385960</v>
      </c>
      <c r="AR185" s="180">
        <v>0</v>
      </c>
      <c r="AS185" s="180">
        <v>0</v>
      </c>
      <c r="AT185" s="180">
        <v>0</v>
      </c>
      <c r="AU185" s="180">
        <v>0</v>
      </c>
      <c r="AV185" s="180">
        <v>0</v>
      </c>
      <c r="AW185" s="180">
        <v>0</v>
      </c>
      <c r="AX185" s="180">
        <v>0</v>
      </c>
      <c r="AY185" s="180">
        <v>0</v>
      </c>
      <c r="AZ185" s="180">
        <v>0</v>
      </c>
      <c r="BA185" s="180">
        <v>0</v>
      </c>
      <c r="BB185" s="180">
        <v>0</v>
      </c>
      <c r="BC185" s="180">
        <v>28100</v>
      </c>
      <c r="BD185" s="180">
        <v>0</v>
      </c>
      <c r="BE185" s="180">
        <v>0</v>
      </c>
      <c r="BF185" s="180">
        <v>0</v>
      </c>
      <c r="BG185" s="180">
        <v>0</v>
      </c>
      <c r="BH185" s="180">
        <v>0</v>
      </c>
      <c r="BI185" s="180">
        <v>0</v>
      </c>
      <c r="BJ185" s="180">
        <v>0</v>
      </c>
      <c r="BK185" s="180"/>
      <c r="BL185" s="180">
        <v>4000</v>
      </c>
      <c r="BM185" s="180">
        <v>0</v>
      </c>
      <c r="BN185" s="180">
        <v>0</v>
      </c>
      <c r="BO185" s="180">
        <v>0</v>
      </c>
      <c r="BP185" s="180">
        <v>0</v>
      </c>
      <c r="BQ185" s="180">
        <v>0</v>
      </c>
      <c r="BR185" s="180"/>
      <c r="BS185" s="180">
        <v>0</v>
      </c>
      <c r="BT185" s="180"/>
      <c r="BU185" s="180">
        <v>0</v>
      </c>
      <c r="BV185" s="180">
        <v>0</v>
      </c>
      <c r="BW185" s="180">
        <v>10330</v>
      </c>
      <c r="BX185" s="180">
        <v>82000</v>
      </c>
      <c r="BY185" s="180">
        <v>0</v>
      </c>
      <c r="BZ185" s="180">
        <v>0</v>
      </c>
      <c r="CA185" s="180">
        <v>0</v>
      </c>
      <c r="CB185" s="180">
        <v>0</v>
      </c>
      <c r="CC185" s="180">
        <v>0</v>
      </c>
      <c r="CD185" s="180"/>
      <c r="CE185" s="180">
        <v>0</v>
      </c>
      <c r="CF185" s="180">
        <v>0</v>
      </c>
      <c r="CG185" s="180">
        <v>6467</v>
      </c>
      <c r="CH185" s="180">
        <v>0</v>
      </c>
      <c r="CI185" s="180"/>
      <c r="CJ185" s="180"/>
      <c r="CK185" s="180"/>
      <c r="CL185" s="180"/>
      <c r="CM185" s="180"/>
      <c r="CN185" s="180"/>
      <c r="CO185" s="180"/>
      <c r="CP185" s="180"/>
      <c r="CQ185" s="180"/>
      <c r="CR185" s="180"/>
      <c r="CS185" s="180"/>
      <c r="CT185" s="180"/>
      <c r="CU185" s="180"/>
    </row>
    <row r="186" spans="1:99" x14ac:dyDescent="0.3">
      <c r="A186" s="155">
        <v>642</v>
      </c>
      <c r="B186" s="180" t="s">
        <v>1592</v>
      </c>
      <c r="C186" s="180"/>
      <c r="D186" s="180">
        <v>0</v>
      </c>
      <c r="E186" s="180">
        <v>0</v>
      </c>
      <c r="F186" s="180">
        <v>0</v>
      </c>
      <c r="G186" s="180">
        <v>0</v>
      </c>
      <c r="H186" s="180"/>
      <c r="I186" s="180">
        <v>0</v>
      </c>
      <c r="J186" s="180">
        <v>0</v>
      </c>
      <c r="K186" s="180">
        <v>0</v>
      </c>
      <c r="L186" s="180">
        <v>0</v>
      </c>
      <c r="M186" s="180">
        <v>0</v>
      </c>
      <c r="N186" s="180">
        <v>0</v>
      </c>
      <c r="O186" s="180">
        <v>0</v>
      </c>
      <c r="P186" s="180">
        <v>0</v>
      </c>
      <c r="Q186" s="180">
        <v>0</v>
      </c>
      <c r="R186" s="180">
        <v>0</v>
      </c>
      <c r="S186" s="180">
        <v>0</v>
      </c>
      <c r="T186" s="180">
        <v>0</v>
      </c>
      <c r="U186" s="180">
        <v>0</v>
      </c>
      <c r="V186" s="180">
        <v>0</v>
      </c>
      <c r="W186" s="180">
        <v>0</v>
      </c>
      <c r="X186" s="180">
        <v>0</v>
      </c>
      <c r="Y186" s="180">
        <v>0</v>
      </c>
      <c r="Z186" s="180">
        <v>0</v>
      </c>
      <c r="AA186" s="180">
        <v>0</v>
      </c>
      <c r="AB186" s="180">
        <v>0</v>
      </c>
      <c r="AC186" s="180"/>
      <c r="AD186" s="180">
        <v>0</v>
      </c>
      <c r="AE186" s="180">
        <v>0</v>
      </c>
      <c r="AF186" s="180">
        <v>0</v>
      </c>
      <c r="AG186" s="180">
        <v>0</v>
      </c>
      <c r="AH186" s="180">
        <v>0</v>
      </c>
      <c r="AI186" s="180">
        <v>0</v>
      </c>
      <c r="AJ186" s="180">
        <v>0</v>
      </c>
      <c r="AK186" s="180">
        <v>0</v>
      </c>
      <c r="AL186" s="180">
        <v>0</v>
      </c>
      <c r="AM186" s="180"/>
      <c r="AN186" s="180">
        <v>0</v>
      </c>
      <c r="AO186" s="180"/>
      <c r="AP186" s="180">
        <v>0</v>
      </c>
      <c r="AQ186" s="180">
        <v>0</v>
      </c>
      <c r="AR186" s="180">
        <v>0</v>
      </c>
      <c r="AS186" s="180">
        <v>0</v>
      </c>
      <c r="AT186" s="180">
        <v>0</v>
      </c>
      <c r="AU186" s="180">
        <v>0</v>
      </c>
      <c r="AV186" s="180">
        <v>0</v>
      </c>
      <c r="AW186" s="180">
        <v>0</v>
      </c>
      <c r="AX186" s="180">
        <v>0</v>
      </c>
      <c r="AY186" s="180">
        <v>0</v>
      </c>
      <c r="AZ186" s="180">
        <v>0</v>
      </c>
      <c r="BA186" s="180">
        <v>0</v>
      </c>
      <c r="BB186" s="180">
        <v>0</v>
      </c>
      <c r="BC186" s="180">
        <v>0</v>
      </c>
      <c r="BD186" s="180">
        <v>0</v>
      </c>
      <c r="BE186" s="180">
        <v>0</v>
      </c>
      <c r="BF186" s="180">
        <v>0</v>
      </c>
      <c r="BG186" s="180">
        <v>0</v>
      </c>
      <c r="BH186" s="180">
        <v>0</v>
      </c>
      <c r="BI186" s="180">
        <v>0</v>
      </c>
      <c r="BJ186" s="180">
        <v>0</v>
      </c>
      <c r="BK186" s="180"/>
      <c r="BL186" s="180">
        <v>0</v>
      </c>
      <c r="BM186" s="180">
        <v>0</v>
      </c>
      <c r="BN186" s="180">
        <v>0</v>
      </c>
      <c r="BO186" s="180">
        <v>0</v>
      </c>
      <c r="BP186" s="180">
        <v>0</v>
      </c>
      <c r="BQ186" s="180">
        <v>0</v>
      </c>
      <c r="BR186" s="180"/>
      <c r="BS186" s="180">
        <v>0</v>
      </c>
      <c r="BT186" s="180"/>
      <c r="BU186" s="180">
        <v>0</v>
      </c>
      <c r="BV186" s="180">
        <v>0</v>
      </c>
      <c r="BW186" s="180">
        <v>0</v>
      </c>
      <c r="BX186" s="180">
        <v>0</v>
      </c>
      <c r="BY186" s="180">
        <v>0</v>
      </c>
      <c r="BZ186" s="180">
        <v>0</v>
      </c>
      <c r="CA186" s="180">
        <v>0</v>
      </c>
      <c r="CB186" s="180">
        <v>0</v>
      </c>
      <c r="CC186" s="180">
        <v>0</v>
      </c>
      <c r="CD186" s="180"/>
      <c r="CE186" s="180">
        <v>0</v>
      </c>
      <c r="CF186" s="180">
        <v>0</v>
      </c>
      <c r="CG186" s="180">
        <v>0</v>
      </c>
      <c r="CH186" s="180">
        <v>0</v>
      </c>
      <c r="CI186" s="180"/>
      <c r="CJ186" s="180"/>
      <c r="CK186" s="180"/>
      <c r="CL186" s="180"/>
      <c r="CM186" s="180"/>
      <c r="CN186" s="180"/>
      <c r="CO186" s="180"/>
      <c r="CP186" s="180"/>
      <c r="CQ186" s="180"/>
      <c r="CR186" s="180"/>
      <c r="CS186" s="180"/>
      <c r="CT186" s="180"/>
      <c r="CU186" s="180"/>
    </row>
    <row r="187" spans="1:99" x14ac:dyDescent="0.3">
      <c r="A187" s="155">
        <v>643</v>
      </c>
      <c r="B187" s="180" t="s">
        <v>1593</v>
      </c>
      <c r="C187" s="180"/>
      <c r="D187" s="180">
        <v>0</v>
      </c>
      <c r="E187" s="180">
        <v>0</v>
      </c>
      <c r="F187" s="180">
        <v>0</v>
      </c>
      <c r="G187" s="180">
        <v>0</v>
      </c>
      <c r="H187" s="180"/>
      <c r="I187" s="180">
        <v>0</v>
      </c>
      <c r="J187" s="180">
        <v>0</v>
      </c>
      <c r="K187" s="180">
        <v>0</v>
      </c>
      <c r="L187" s="180">
        <v>0</v>
      </c>
      <c r="M187" s="180">
        <v>0</v>
      </c>
      <c r="N187" s="180">
        <v>0</v>
      </c>
      <c r="O187" s="180">
        <v>0</v>
      </c>
      <c r="P187" s="180">
        <v>0</v>
      </c>
      <c r="Q187" s="180">
        <v>0</v>
      </c>
      <c r="R187" s="180">
        <v>0</v>
      </c>
      <c r="S187" s="180">
        <v>0</v>
      </c>
      <c r="T187" s="180">
        <v>0</v>
      </c>
      <c r="U187" s="180">
        <v>0</v>
      </c>
      <c r="V187" s="180">
        <v>0</v>
      </c>
      <c r="W187" s="180">
        <v>0</v>
      </c>
      <c r="X187" s="180">
        <v>0</v>
      </c>
      <c r="Y187" s="180">
        <v>0</v>
      </c>
      <c r="Z187" s="180">
        <v>152044</v>
      </c>
      <c r="AA187" s="180">
        <v>0</v>
      </c>
      <c r="AB187" s="180">
        <v>0</v>
      </c>
      <c r="AC187" s="180"/>
      <c r="AD187" s="180">
        <v>0</v>
      </c>
      <c r="AE187" s="180">
        <v>0</v>
      </c>
      <c r="AF187" s="180">
        <v>0</v>
      </c>
      <c r="AG187" s="180">
        <v>0</v>
      </c>
      <c r="AH187" s="180">
        <v>0</v>
      </c>
      <c r="AI187" s="180">
        <v>0</v>
      </c>
      <c r="AJ187" s="180">
        <v>0</v>
      </c>
      <c r="AK187" s="180">
        <v>0</v>
      </c>
      <c r="AL187" s="180">
        <v>0</v>
      </c>
      <c r="AM187" s="180"/>
      <c r="AN187" s="180">
        <v>0</v>
      </c>
      <c r="AO187" s="180"/>
      <c r="AP187" s="180">
        <v>0</v>
      </c>
      <c r="AQ187" s="180">
        <v>0</v>
      </c>
      <c r="AR187" s="180">
        <v>0</v>
      </c>
      <c r="AS187" s="180">
        <v>0</v>
      </c>
      <c r="AT187" s="180">
        <v>0</v>
      </c>
      <c r="AU187" s="180">
        <v>0</v>
      </c>
      <c r="AV187" s="180">
        <v>0</v>
      </c>
      <c r="AW187" s="180">
        <v>151528</v>
      </c>
      <c r="AX187" s="180">
        <v>0</v>
      </c>
      <c r="AY187" s="180">
        <v>0</v>
      </c>
      <c r="AZ187" s="180">
        <v>0</v>
      </c>
      <c r="BA187" s="180">
        <v>0</v>
      </c>
      <c r="BB187" s="180">
        <v>0</v>
      </c>
      <c r="BC187" s="180">
        <v>214499</v>
      </c>
      <c r="BD187" s="180">
        <v>0</v>
      </c>
      <c r="BE187" s="180">
        <v>0</v>
      </c>
      <c r="BF187" s="180">
        <v>0</v>
      </c>
      <c r="BG187" s="180">
        <v>0</v>
      </c>
      <c r="BH187" s="180">
        <v>0</v>
      </c>
      <c r="BI187" s="180">
        <v>0</v>
      </c>
      <c r="BJ187" s="180">
        <v>0</v>
      </c>
      <c r="BK187" s="180"/>
      <c r="BL187" s="180">
        <v>0</v>
      </c>
      <c r="BM187" s="180">
        <v>0</v>
      </c>
      <c r="BN187" s="180">
        <v>0</v>
      </c>
      <c r="BO187" s="180">
        <v>0</v>
      </c>
      <c r="BP187" s="180">
        <v>0</v>
      </c>
      <c r="BQ187" s="180">
        <v>0</v>
      </c>
      <c r="BR187" s="180"/>
      <c r="BS187" s="180">
        <v>0</v>
      </c>
      <c r="BT187" s="180"/>
      <c r="BU187" s="180">
        <v>0</v>
      </c>
      <c r="BV187" s="180">
        <v>0</v>
      </c>
      <c r="BW187" s="180">
        <v>0</v>
      </c>
      <c r="BX187" s="180">
        <v>764339</v>
      </c>
      <c r="BY187" s="180">
        <v>0</v>
      </c>
      <c r="BZ187" s="180">
        <v>0</v>
      </c>
      <c r="CA187" s="180">
        <v>0</v>
      </c>
      <c r="CB187" s="180">
        <v>0</v>
      </c>
      <c r="CC187" s="180">
        <v>0</v>
      </c>
      <c r="CD187" s="180"/>
      <c r="CE187" s="180">
        <v>0</v>
      </c>
      <c r="CF187" s="180">
        <v>0</v>
      </c>
      <c r="CG187" s="180">
        <v>127564</v>
      </c>
      <c r="CH187" s="180">
        <v>0</v>
      </c>
      <c r="CI187" s="180"/>
      <c r="CJ187" s="180"/>
      <c r="CK187" s="180"/>
      <c r="CL187" s="180"/>
      <c r="CM187" s="180"/>
      <c r="CN187" s="180"/>
      <c r="CO187" s="180"/>
      <c r="CP187" s="180"/>
      <c r="CQ187" s="180"/>
      <c r="CR187" s="180"/>
      <c r="CS187" s="180"/>
      <c r="CT187" s="180"/>
      <c r="CU187" s="180"/>
    </row>
    <row r="188" spans="1:99" x14ac:dyDescent="0.3">
      <c r="A188" s="155">
        <v>644</v>
      </c>
      <c r="B188" s="180" t="s">
        <v>1594</v>
      </c>
      <c r="C188" s="180"/>
      <c r="D188" s="180">
        <v>0</v>
      </c>
      <c r="E188" s="180">
        <v>0</v>
      </c>
      <c r="F188" s="180">
        <v>0</v>
      </c>
      <c r="G188" s="180">
        <v>0</v>
      </c>
      <c r="H188" s="180"/>
      <c r="I188" s="180">
        <v>0</v>
      </c>
      <c r="J188" s="180">
        <v>0</v>
      </c>
      <c r="K188" s="180">
        <v>0</v>
      </c>
      <c r="L188" s="180">
        <v>0</v>
      </c>
      <c r="M188" s="180">
        <v>0</v>
      </c>
      <c r="N188" s="180">
        <v>0</v>
      </c>
      <c r="O188" s="180">
        <v>0</v>
      </c>
      <c r="P188" s="180">
        <v>0</v>
      </c>
      <c r="Q188" s="180">
        <v>0</v>
      </c>
      <c r="R188" s="180">
        <v>0</v>
      </c>
      <c r="S188" s="180">
        <v>0</v>
      </c>
      <c r="T188" s="180">
        <v>0</v>
      </c>
      <c r="U188" s="180">
        <v>0</v>
      </c>
      <c r="V188" s="180">
        <v>0</v>
      </c>
      <c r="W188" s="180">
        <v>0</v>
      </c>
      <c r="X188" s="180">
        <v>0</v>
      </c>
      <c r="Y188" s="180">
        <v>0</v>
      </c>
      <c r="Z188" s="180">
        <v>0</v>
      </c>
      <c r="AA188" s="180">
        <v>0</v>
      </c>
      <c r="AB188" s="180">
        <v>0</v>
      </c>
      <c r="AC188" s="180"/>
      <c r="AD188" s="180">
        <v>0</v>
      </c>
      <c r="AE188" s="180">
        <v>0</v>
      </c>
      <c r="AF188" s="180">
        <v>0</v>
      </c>
      <c r="AG188" s="180">
        <v>0</v>
      </c>
      <c r="AH188" s="180">
        <v>0</v>
      </c>
      <c r="AI188" s="180">
        <v>0</v>
      </c>
      <c r="AJ188" s="180">
        <v>0</v>
      </c>
      <c r="AK188" s="180">
        <v>0</v>
      </c>
      <c r="AL188" s="180">
        <v>0</v>
      </c>
      <c r="AM188" s="180"/>
      <c r="AN188" s="180">
        <v>0</v>
      </c>
      <c r="AO188" s="180"/>
      <c r="AP188" s="180">
        <v>0</v>
      </c>
      <c r="AQ188" s="180">
        <v>0</v>
      </c>
      <c r="AR188" s="180">
        <v>0</v>
      </c>
      <c r="AS188" s="180">
        <v>0</v>
      </c>
      <c r="AT188" s="180">
        <v>0</v>
      </c>
      <c r="AU188" s="180">
        <v>0</v>
      </c>
      <c r="AV188" s="180">
        <v>0</v>
      </c>
      <c r="AW188" s="180">
        <v>0</v>
      </c>
      <c r="AX188" s="180">
        <v>0</v>
      </c>
      <c r="AY188" s="180">
        <v>0</v>
      </c>
      <c r="AZ188" s="180">
        <v>0</v>
      </c>
      <c r="BA188" s="180">
        <v>0</v>
      </c>
      <c r="BB188" s="180">
        <v>0</v>
      </c>
      <c r="BC188" s="180">
        <v>0</v>
      </c>
      <c r="BD188" s="180">
        <v>0</v>
      </c>
      <c r="BE188" s="180">
        <v>0</v>
      </c>
      <c r="BF188" s="180">
        <v>0</v>
      </c>
      <c r="BG188" s="180">
        <v>0</v>
      </c>
      <c r="BH188" s="180">
        <v>0</v>
      </c>
      <c r="BI188" s="180">
        <v>0</v>
      </c>
      <c r="BJ188" s="180">
        <v>0</v>
      </c>
      <c r="BK188" s="180"/>
      <c r="BL188" s="180">
        <v>0</v>
      </c>
      <c r="BM188" s="180">
        <v>0</v>
      </c>
      <c r="BN188" s="180">
        <v>0</v>
      </c>
      <c r="BO188" s="180">
        <v>0</v>
      </c>
      <c r="BP188" s="180">
        <v>0</v>
      </c>
      <c r="BQ188" s="180">
        <v>0</v>
      </c>
      <c r="BR188" s="180"/>
      <c r="BS188" s="180">
        <v>0</v>
      </c>
      <c r="BT188" s="180"/>
      <c r="BU188" s="180">
        <v>0</v>
      </c>
      <c r="BV188" s="180">
        <v>0</v>
      </c>
      <c r="BW188" s="180">
        <v>0</v>
      </c>
      <c r="BX188" s="180">
        <v>0</v>
      </c>
      <c r="BY188" s="180">
        <v>0</v>
      </c>
      <c r="BZ188" s="180">
        <v>0</v>
      </c>
      <c r="CA188" s="180">
        <v>0</v>
      </c>
      <c r="CB188" s="180">
        <v>0</v>
      </c>
      <c r="CC188" s="180">
        <v>0</v>
      </c>
      <c r="CD188" s="180"/>
      <c r="CE188" s="180">
        <v>0</v>
      </c>
      <c r="CF188" s="180">
        <v>0</v>
      </c>
      <c r="CG188" s="180">
        <v>0</v>
      </c>
      <c r="CH188" s="180">
        <v>0</v>
      </c>
      <c r="CI188" s="180"/>
      <c r="CJ188" s="180"/>
      <c r="CK188" s="180"/>
      <c r="CL188" s="180"/>
      <c r="CM188" s="180"/>
      <c r="CN188" s="180"/>
      <c r="CO188" s="180"/>
      <c r="CP188" s="180"/>
      <c r="CQ188" s="180"/>
      <c r="CR188" s="180"/>
      <c r="CS188" s="180"/>
      <c r="CT188" s="180"/>
      <c r="CU188" s="180"/>
    </row>
    <row r="189" spans="1:99" s="559" customFormat="1" x14ac:dyDescent="0.3">
      <c r="A189" s="558">
        <v>645</v>
      </c>
      <c r="B189" s="559" t="s">
        <v>384</v>
      </c>
      <c r="D189" s="559">
        <v>73913</v>
      </c>
      <c r="E189" s="559">
        <v>0</v>
      </c>
      <c r="F189" s="559">
        <v>0</v>
      </c>
      <c r="G189" s="559">
        <v>107363</v>
      </c>
      <c r="I189" s="559">
        <v>657000</v>
      </c>
      <c r="J189" s="559">
        <v>0</v>
      </c>
      <c r="K189" s="559">
        <v>0</v>
      </c>
      <c r="L189" s="559">
        <v>0</v>
      </c>
      <c r="M189" s="559">
        <v>2484459</v>
      </c>
      <c r="N189" s="559">
        <v>0</v>
      </c>
      <c r="O189" s="559">
        <v>17877294</v>
      </c>
      <c r="P189" s="559">
        <v>0</v>
      </c>
      <c r="Q189" s="559">
        <v>0</v>
      </c>
      <c r="R189" s="559">
        <v>0</v>
      </c>
      <c r="S189" s="559">
        <v>78658</v>
      </c>
      <c r="T189" s="559">
        <v>0</v>
      </c>
      <c r="U189" s="559">
        <v>17541</v>
      </c>
      <c r="V189" s="559">
        <v>0</v>
      </c>
      <c r="W189" s="559">
        <v>354918</v>
      </c>
      <c r="X189" s="559">
        <v>2549389</v>
      </c>
      <c r="Y189" s="559">
        <v>0</v>
      </c>
      <c r="Z189" s="559">
        <v>0</v>
      </c>
      <c r="AA189" s="559">
        <v>0</v>
      </c>
      <c r="AB189" s="559">
        <v>0</v>
      </c>
      <c r="AD189" s="559">
        <v>307212</v>
      </c>
      <c r="AE189" s="559">
        <v>71668</v>
      </c>
      <c r="AF189" s="559">
        <v>11451056</v>
      </c>
      <c r="AG189" s="559">
        <v>4016031</v>
      </c>
      <c r="AH189" s="559">
        <v>261846</v>
      </c>
      <c r="AI189" s="559">
        <v>1846924</v>
      </c>
      <c r="AJ189" s="559">
        <v>222050</v>
      </c>
      <c r="AK189" s="559">
        <v>0</v>
      </c>
      <c r="AL189" s="559">
        <v>0</v>
      </c>
      <c r="AN189" s="559">
        <v>0</v>
      </c>
      <c r="AP189" s="559">
        <v>0</v>
      </c>
      <c r="AQ189" s="559">
        <v>0</v>
      </c>
      <c r="AR189" s="559">
        <v>23755</v>
      </c>
      <c r="AS189" s="559">
        <v>0</v>
      </c>
      <c r="AT189" s="559">
        <v>452107</v>
      </c>
      <c r="AU189" s="559">
        <v>145871</v>
      </c>
      <c r="AV189" s="785">
        <v>35921</v>
      </c>
      <c r="AW189" s="559">
        <v>0</v>
      </c>
      <c r="AX189" s="559">
        <v>0</v>
      </c>
      <c r="AY189" s="559">
        <v>0</v>
      </c>
      <c r="AZ189" s="559">
        <v>510004</v>
      </c>
      <c r="BA189" s="559">
        <v>0</v>
      </c>
      <c r="BB189" s="559">
        <v>56965</v>
      </c>
      <c r="BC189" s="559">
        <v>474213</v>
      </c>
      <c r="BD189" s="559">
        <v>0</v>
      </c>
      <c r="BE189" s="559">
        <v>4796349</v>
      </c>
      <c r="BF189" s="559">
        <v>0</v>
      </c>
      <c r="BG189" s="559">
        <v>0</v>
      </c>
      <c r="BH189" s="559">
        <v>0</v>
      </c>
      <c r="BI189" s="559">
        <v>0</v>
      </c>
      <c r="BJ189" s="559">
        <v>0</v>
      </c>
      <c r="BL189" s="559">
        <v>395018</v>
      </c>
      <c r="BM189" s="559">
        <v>0</v>
      </c>
      <c r="BN189" s="559">
        <v>0</v>
      </c>
      <c r="BO189" s="559">
        <v>1033679</v>
      </c>
      <c r="BP189" s="559">
        <v>0</v>
      </c>
      <c r="BQ189" s="559">
        <v>0</v>
      </c>
      <c r="BS189" s="559">
        <v>0</v>
      </c>
      <c r="BU189" s="559">
        <v>0</v>
      </c>
      <c r="BV189" s="559">
        <v>1160000</v>
      </c>
      <c r="BW189" s="559">
        <v>0</v>
      </c>
      <c r="BX189" s="559">
        <v>0</v>
      </c>
      <c r="BY189" s="559">
        <v>264728</v>
      </c>
      <c r="BZ189" s="559">
        <v>0</v>
      </c>
      <c r="CA189" s="559">
        <v>1914733</v>
      </c>
      <c r="CB189" s="559">
        <v>434700</v>
      </c>
      <c r="CC189" s="559">
        <v>0</v>
      </c>
      <c r="CE189" s="559">
        <v>112305</v>
      </c>
      <c r="CF189" s="559">
        <v>0</v>
      </c>
      <c r="CG189" s="559">
        <v>102560</v>
      </c>
      <c r="CH189" s="559">
        <v>0</v>
      </c>
    </row>
    <row r="190" spans="1:99" s="559" customFormat="1" x14ac:dyDescent="0.3">
      <c r="A190" s="558">
        <v>646</v>
      </c>
      <c r="B190" s="559" t="s">
        <v>359</v>
      </c>
      <c r="D190" s="559">
        <v>3608144</v>
      </c>
      <c r="E190" s="559">
        <v>2759320</v>
      </c>
      <c r="F190" s="559">
        <v>1004956</v>
      </c>
      <c r="G190" s="559">
        <v>487456</v>
      </c>
      <c r="I190" s="559">
        <v>3415790</v>
      </c>
      <c r="J190" s="559">
        <v>1902821</v>
      </c>
      <c r="K190" s="559">
        <v>9511024</v>
      </c>
      <c r="L190" s="559">
        <v>6844056</v>
      </c>
      <c r="M190" s="559">
        <v>12328841</v>
      </c>
      <c r="N190" s="559">
        <v>2030306</v>
      </c>
      <c r="O190" s="559">
        <v>-3854843</v>
      </c>
      <c r="P190" s="559">
        <v>81235</v>
      </c>
      <c r="Q190" s="559">
        <v>337396</v>
      </c>
      <c r="R190" s="559">
        <v>1248854</v>
      </c>
      <c r="S190" s="559">
        <v>1157217</v>
      </c>
      <c r="T190" s="559">
        <v>1261758</v>
      </c>
      <c r="U190" s="559">
        <v>362490</v>
      </c>
      <c r="V190" s="559">
        <v>342562</v>
      </c>
      <c r="W190" s="559">
        <v>2113803</v>
      </c>
      <c r="X190" s="559">
        <v>19575792</v>
      </c>
      <c r="Y190" s="559">
        <v>133377000</v>
      </c>
      <c r="Z190" s="559">
        <v>2419747</v>
      </c>
      <c r="AA190" s="559">
        <v>414453</v>
      </c>
      <c r="AB190" s="559">
        <v>3943770</v>
      </c>
      <c r="AD190" s="559">
        <v>4570699</v>
      </c>
      <c r="AE190" s="559">
        <v>2636438</v>
      </c>
      <c r="AF190" s="559">
        <v>16944446</v>
      </c>
      <c r="AG190" s="559">
        <v>6950368</v>
      </c>
      <c r="AH190" s="559">
        <v>3159148</v>
      </c>
      <c r="AI190" s="559">
        <v>4854887</v>
      </c>
      <c r="AJ190" s="559">
        <v>1259056</v>
      </c>
      <c r="AK190" s="559">
        <v>1850177</v>
      </c>
      <c r="AL190" s="559">
        <v>594110</v>
      </c>
      <c r="AN190" s="559">
        <v>993350</v>
      </c>
      <c r="AP190" s="559">
        <v>84746</v>
      </c>
      <c r="AQ190" s="559">
        <v>61254521</v>
      </c>
      <c r="AR190" s="559">
        <v>302370</v>
      </c>
      <c r="AS190" s="559">
        <v>1908887</v>
      </c>
      <c r="AT190" s="559">
        <v>10685983</v>
      </c>
      <c r="AU190" s="559">
        <v>232449</v>
      </c>
      <c r="AV190" s="785">
        <v>1123565</v>
      </c>
      <c r="AW190" s="559">
        <v>31766223</v>
      </c>
      <c r="AX190" s="559">
        <v>180494</v>
      </c>
      <c r="AY190" s="559">
        <v>3326792</v>
      </c>
      <c r="AZ190" s="559">
        <v>9377503</v>
      </c>
      <c r="BA190" s="559">
        <v>530534</v>
      </c>
      <c r="BB190" s="559">
        <v>393714</v>
      </c>
      <c r="BC190" s="559">
        <v>2981279</v>
      </c>
      <c r="BD190" s="559">
        <v>216038</v>
      </c>
      <c r="BE190" s="559">
        <v>10321185</v>
      </c>
      <c r="BF190" s="559">
        <v>2896431</v>
      </c>
      <c r="BG190" s="559">
        <v>800870</v>
      </c>
      <c r="BH190" s="559">
        <v>506947</v>
      </c>
      <c r="BI190" s="559">
        <v>1596554</v>
      </c>
      <c r="BJ190" s="559">
        <v>3368630</v>
      </c>
      <c r="BL190" s="559">
        <v>1708195</v>
      </c>
      <c r="BM190" s="559">
        <v>858427</v>
      </c>
      <c r="BN190" s="559">
        <v>8941067</v>
      </c>
      <c r="BO190" s="559">
        <v>3370084</v>
      </c>
      <c r="BP190" s="559">
        <v>76157317</v>
      </c>
      <c r="BQ190" s="559">
        <v>53669</v>
      </c>
      <c r="BS190" s="559">
        <v>1029646</v>
      </c>
      <c r="BU190" s="559">
        <v>8120734</v>
      </c>
      <c r="BV190" s="559">
        <v>11041408</v>
      </c>
      <c r="BW190" s="559">
        <v>2310296</v>
      </c>
      <c r="BX190" s="559">
        <v>9715807</v>
      </c>
      <c r="BY190" s="559">
        <v>1072018</v>
      </c>
      <c r="BZ190" s="559">
        <v>834305</v>
      </c>
      <c r="CA190" s="559">
        <v>4001857</v>
      </c>
      <c r="CB190" s="559">
        <v>318920</v>
      </c>
      <c r="CC190" s="559">
        <v>390307</v>
      </c>
      <c r="CE190" s="559">
        <v>8886350</v>
      </c>
      <c r="CF190" s="559">
        <v>2331034</v>
      </c>
      <c r="CG190" s="559">
        <v>318026</v>
      </c>
      <c r="CH190" s="559">
        <v>4179890</v>
      </c>
    </row>
    <row r="191" spans="1:99" x14ac:dyDescent="0.3">
      <c r="A191" s="155">
        <v>647</v>
      </c>
      <c r="B191" s="180" t="s">
        <v>909</v>
      </c>
      <c r="C191" s="180"/>
      <c r="D191" s="180">
        <v>0</v>
      </c>
      <c r="E191" s="180">
        <v>0</v>
      </c>
      <c r="F191" s="180">
        <v>0</v>
      </c>
      <c r="G191" s="180">
        <v>0</v>
      </c>
      <c r="H191" s="180"/>
      <c r="I191" s="180">
        <v>0</v>
      </c>
      <c r="J191" s="180">
        <v>0</v>
      </c>
      <c r="K191" s="180">
        <v>0</v>
      </c>
      <c r="L191" s="180">
        <v>0</v>
      </c>
      <c r="M191" s="180">
        <v>0</v>
      </c>
      <c r="N191" s="180">
        <v>208937</v>
      </c>
      <c r="O191" s="180">
        <v>0</v>
      </c>
      <c r="P191" s="180">
        <v>0</v>
      </c>
      <c r="Q191" s="180">
        <v>0</v>
      </c>
      <c r="R191" s="180">
        <v>0</v>
      </c>
      <c r="S191" s="180">
        <v>0</v>
      </c>
      <c r="T191" s="180">
        <v>0</v>
      </c>
      <c r="U191" s="180">
        <v>0</v>
      </c>
      <c r="V191" s="180">
        <v>0</v>
      </c>
      <c r="W191" s="180">
        <v>0</v>
      </c>
      <c r="X191" s="180">
        <v>9876520</v>
      </c>
      <c r="Y191" s="180">
        <v>218231000</v>
      </c>
      <c r="Z191" s="180">
        <v>0</v>
      </c>
      <c r="AA191" s="180">
        <v>0</v>
      </c>
      <c r="AB191" s="180">
        <v>0</v>
      </c>
      <c r="AC191" s="180"/>
      <c r="AD191" s="180">
        <v>0</v>
      </c>
      <c r="AE191" s="180">
        <v>0</v>
      </c>
      <c r="AF191" s="180">
        <v>0</v>
      </c>
      <c r="AG191" s="180">
        <v>0</v>
      </c>
      <c r="AH191" s="180">
        <v>0</v>
      </c>
      <c r="AI191" s="180">
        <v>0</v>
      </c>
      <c r="AJ191" s="180">
        <v>0</v>
      </c>
      <c r="AK191" s="180">
        <v>0</v>
      </c>
      <c r="AL191" s="180">
        <v>0</v>
      </c>
      <c r="AM191" s="180"/>
      <c r="AN191" s="180">
        <v>0</v>
      </c>
      <c r="AO191" s="180"/>
      <c r="AP191" s="180">
        <v>0</v>
      </c>
      <c r="AQ191" s="180">
        <v>0</v>
      </c>
      <c r="AR191" s="180">
        <v>0</v>
      </c>
      <c r="AS191" s="180">
        <v>0</v>
      </c>
      <c r="AT191" s="180">
        <v>0</v>
      </c>
      <c r="AU191" s="180">
        <v>0</v>
      </c>
      <c r="AV191" s="180">
        <v>0</v>
      </c>
      <c r="AW191" s="180">
        <v>0</v>
      </c>
      <c r="AX191" s="180">
        <v>0</v>
      </c>
      <c r="AY191" s="180">
        <v>0</v>
      </c>
      <c r="AZ191" s="180">
        <v>0</v>
      </c>
      <c r="BA191" s="180">
        <v>0</v>
      </c>
      <c r="BB191" s="180">
        <v>0</v>
      </c>
      <c r="BC191" s="180">
        <v>0</v>
      </c>
      <c r="BD191" s="180">
        <v>0</v>
      </c>
      <c r="BE191" s="180">
        <v>0</v>
      </c>
      <c r="BF191" s="180">
        <v>0</v>
      </c>
      <c r="BG191" s="180">
        <v>0</v>
      </c>
      <c r="BH191" s="180">
        <v>0</v>
      </c>
      <c r="BI191" s="180">
        <v>0</v>
      </c>
      <c r="BJ191" s="180">
        <v>0</v>
      </c>
      <c r="BK191" s="180"/>
      <c r="BL191" s="180">
        <v>0</v>
      </c>
      <c r="BM191" s="180">
        <v>0</v>
      </c>
      <c r="BN191" s="180">
        <v>0</v>
      </c>
      <c r="BO191" s="180">
        <v>0</v>
      </c>
      <c r="BP191" s="180">
        <v>31710093</v>
      </c>
      <c r="BQ191" s="180">
        <v>0</v>
      </c>
      <c r="BR191" s="180"/>
      <c r="BS191" s="180">
        <v>0</v>
      </c>
      <c r="BT191" s="180"/>
      <c r="BU191" s="180">
        <v>0</v>
      </c>
      <c r="BV191" s="180">
        <v>0</v>
      </c>
      <c r="BW191" s="180">
        <v>0</v>
      </c>
      <c r="BX191" s="180">
        <v>0</v>
      </c>
      <c r="BY191" s="180">
        <v>0</v>
      </c>
      <c r="BZ191" s="180">
        <v>0</v>
      </c>
      <c r="CA191" s="180">
        <v>0</v>
      </c>
      <c r="CB191" s="180">
        <v>0</v>
      </c>
      <c r="CC191" s="180">
        <v>0</v>
      </c>
      <c r="CD191" s="180"/>
      <c r="CE191" s="180">
        <v>0</v>
      </c>
      <c r="CF191" s="180">
        <v>0</v>
      </c>
      <c r="CG191" s="180">
        <v>0</v>
      </c>
      <c r="CH191" s="180">
        <v>0</v>
      </c>
      <c r="CI191" s="180"/>
      <c r="CJ191" s="180"/>
      <c r="CK191" s="180"/>
      <c r="CL191" s="180"/>
      <c r="CM191" s="180"/>
      <c r="CN191" s="180"/>
      <c r="CO191" s="180"/>
      <c r="CP191" s="180"/>
      <c r="CQ191" s="180"/>
      <c r="CR191" s="180"/>
      <c r="CS191" s="180"/>
      <c r="CT191" s="180"/>
      <c r="CU191" s="180"/>
    </row>
    <row r="192" spans="1:99" x14ac:dyDescent="0.3">
      <c r="A192" s="155">
        <v>648</v>
      </c>
      <c r="B192" s="180" t="s">
        <v>597</v>
      </c>
      <c r="C192" s="180"/>
      <c r="D192" s="180">
        <v>0</v>
      </c>
      <c r="E192" s="180">
        <v>8.7499999999999994E-2</v>
      </c>
      <c r="F192" s="180">
        <v>0.47</v>
      </c>
      <c r="G192" s="180">
        <v>57.5</v>
      </c>
      <c r="H192" s="180"/>
      <c r="I192" s="180">
        <v>0.54</v>
      </c>
      <c r="J192" s="180">
        <v>0.21249999999999999</v>
      </c>
      <c r="K192" s="180">
        <v>0.215</v>
      </c>
      <c r="L192" s="180">
        <v>0.1016</v>
      </c>
      <c r="M192" s="180">
        <v>0.60440000000000005</v>
      </c>
      <c r="N192" s="180">
        <v>0.505</v>
      </c>
      <c r="O192" s="180">
        <v>0.34499999999999997</v>
      </c>
      <c r="P192" s="180">
        <v>0.05</v>
      </c>
      <c r="Q192" s="180">
        <v>0.32</v>
      </c>
      <c r="R192" s="180">
        <v>0.28000000000000003</v>
      </c>
      <c r="S192" s="180">
        <v>0.57999999999999996</v>
      </c>
      <c r="T192" s="180">
        <v>9.2499999999999999E-2</v>
      </c>
      <c r="U192" s="180">
        <v>0.2</v>
      </c>
      <c r="V192" s="180">
        <v>0.2</v>
      </c>
      <c r="W192" s="180">
        <v>0.62</v>
      </c>
      <c r="X192" s="180">
        <v>0.57199999999999995</v>
      </c>
      <c r="Y192" s="180">
        <v>0</v>
      </c>
      <c r="Z192" s="180">
        <v>0.52</v>
      </c>
      <c r="AA192" s="180">
        <v>0.14000000000000001</v>
      </c>
      <c r="AB192" s="180">
        <v>0.56000000000000005</v>
      </c>
      <c r="AC192" s="180"/>
      <c r="AD192" s="180">
        <v>0.49</v>
      </c>
      <c r="AE192" s="180">
        <v>0</v>
      </c>
      <c r="AF192" s="180">
        <v>0.6</v>
      </c>
      <c r="AG192" s="180">
        <v>0.15</v>
      </c>
      <c r="AH192" s="180">
        <v>0.3</v>
      </c>
      <c r="AI192" s="180">
        <v>0.4</v>
      </c>
      <c r="AJ192" s="180">
        <v>0.43</v>
      </c>
      <c r="AK192" s="180">
        <v>0.49</v>
      </c>
      <c r="AL192" s="180">
        <v>0</v>
      </c>
      <c r="AM192" s="180"/>
      <c r="AN192" s="180">
        <v>0.67</v>
      </c>
      <c r="AO192" s="180"/>
      <c r="AP192" s="180">
        <v>0</v>
      </c>
      <c r="AQ192" s="180">
        <v>0.48</v>
      </c>
      <c r="AR192" s="180">
        <v>0.38</v>
      </c>
      <c r="AS192" s="180">
        <v>0.05</v>
      </c>
      <c r="AT192" s="180">
        <v>0.5</v>
      </c>
      <c r="AU192" s="180">
        <v>0.47</v>
      </c>
      <c r="AV192" s="180">
        <v>0.42</v>
      </c>
      <c r="AW192" s="180">
        <v>0.23200000000000001</v>
      </c>
      <c r="AX192" s="180">
        <v>0.27</v>
      </c>
      <c r="AY192" s="180">
        <v>0.47499999999999998</v>
      </c>
      <c r="AZ192" s="180">
        <v>0.61499999999999999</v>
      </c>
      <c r="BA192" s="180">
        <v>0.5</v>
      </c>
      <c r="BB192" s="180">
        <v>0.3</v>
      </c>
      <c r="BC192" s="180">
        <v>0.42</v>
      </c>
      <c r="BD192" s="180">
        <v>0.27</v>
      </c>
      <c r="BE192" s="180">
        <v>0.32500000000000001</v>
      </c>
      <c r="BF192" s="180">
        <v>0.6</v>
      </c>
      <c r="BG192" s="180">
        <v>0.21</v>
      </c>
      <c r="BH192" s="180">
        <v>0.6</v>
      </c>
      <c r="BI192" s="180">
        <v>0.43</v>
      </c>
      <c r="BJ192" s="180">
        <v>0</v>
      </c>
      <c r="BK192" s="180"/>
      <c r="BL192" s="180">
        <v>0.38</v>
      </c>
      <c r="BM192" s="180">
        <v>0</v>
      </c>
      <c r="BN192" s="180">
        <v>0</v>
      </c>
      <c r="BO192" s="180">
        <v>0</v>
      </c>
      <c r="BP192" s="180">
        <v>0.55769999999999997</v>
      </c>
      <c r="BQ192" s="180">
        <v>0.18</v>
      </c>
      <c r="BR192" s="180"/>
      <c r="BS192" s="180">
        <v>0.5</v>
      </c>
      <c r="BT192" s="180"/>
      <c r="BU192" s="180">
        <v>0.21</v>
      </c>
      <c r="BV192" s="180">
        <v>0</v>
      </c>
      <c r="BW192" s="180">
        <v>0.43</v>
      </c>
      <c r="BX192" s="180">
        <v>0.59</v>
      </c>
      <c r="BY192" s="180">
        <v>0.61499999999999999</v>
      </c>
      <c r="BZ192" s="180">
        <v>0.3</v>
      </c>
      <c r="CA192" s="180">
        <v>5.4999999999999997E-3</v>
      </c>
      <c r="CB192" s="180">
        <v>0.22</v>
      </c>
      <c r="CC192" s="180">
        <v>0.7</v>
      </c>
      <c r="CD192" s="180"/>
      <c r="CE192" s="180">
        <v>0.45</v>
      </c>
      <c r="CF192" s="180">
        <v>0.16500000000000001</v>
      </c>
      <c r="CG192" s="180">
        <v>0.92700000000000005</v>
      </c>
      <c r="CH192" s="180">
        <v>0</v>
      </c>
      <c r="CI192" s="180"/>
      <c r="CJ192" s="180"/>
      <c r="CK192" s="180"/>
      <c r="CL192" s="180"/>
      <c r="CM192" s="180"/>
      <c r="CN192" s="180"/>
      <c r="CO192" s="180"/>
      <c r="CP192" s="180"/>
      <c r="CQ192" s="180"/>
      <c r="CR192" s="180"/>
      <c r="CS192" s="180"/>
      <c r="CT192" s="180"/>
      <c r="CU192" s="180"/>
    </row>
    <row r="193" spans="1:99" x14ac:dyDescent="0.3">
      <c r="A193" s="155">
        <v>654</v>
      </c>
      <c r="B193" s="180" t="s">
        <v>413</v>
      </c>
      <c r="C193" s="180"/>
      <c r="D193" s="180">
        <v>793836</v>
      </c>
      <c r="E193" s="180">
        <v>0</v>
      </c>
      <c r="F193" s="180">
        <v>1338591</v>
      </c>
      <c r="G193" s="180">
        <v>190370</v>
      </c>
      <c r="H193" s="180"/>
      <c r="I193" s="180">
        <v>5684513</v>
      </c>
      <c r="J193" s="180">
        <v>0</v>
      </c>
      <c r="K193" s="180">
        <v>10069983</v>
      </c>
      <c r="L193" s="180">
        <v>0</v>
      </c>
      <c r="M193" s="180">
        <v>0</v>
      </c>
      <c r="N193" s="180">
        <v>3692609</v>
      </c>
      <c r="O193" s="180">
        <v>276572506</v>
      </c>
      <c r="P193" s="180">
        <v>0</v>
      </c>
      <c r="Q193" s="180">
        <v>0</v>
      </c>
      <c r="R193" s="180">
        <v>0</v>
      </c>
      <c r="S193" s="180">
        <v>0</v>
      </c>
      <c r="T193" s="180">
        <v>0</v>
      </c>
      <c r="U193" s="180">
        <v>0</v>
      </c>
      <c r="V193" s="180">
        <v>195415</v>
      </c>
      <c r="W193" s="180">
        <v>2375290</v>
      </c>
      <c r="X193" s="180">
        <v>0</v>
      </c>
      <c r="Y193" s="180">
        <v>419620000</v>
      </c>
      <c r="Z193" s="180">
        <v>4012019</v>
      </c>
      <c r="AA193" s="180">
        <v>294401</v>
      </c>
      <c r="AB193" s="180">
        <v>0</v>
      </c>
      <c r="AC193" s="180"/>
      <c r="AD193" s="180">
        <v>5138092</v>
      </c>
      <c r="AE193" s="180">
        <v>1011217</v>
      </c>
      <c r="AF193" s="180">
        <v>139774663</v>
      </c>
      <c r="AG193" s="180">
        <v>0</v>
      </c>
      <c r="AH193" s="180">
        <v>2538802</v>
      </c>
      <c r="AI193" s="180">
        <v>7420305</v>
      </c>
      <c r="AJ193" s="180">
        <v>1437752</v>
      </c>
      <c r="AK193" s="180">
        <v>1617915</v>
      </c>
      <c r="AL193" s="180">
        <v>592317</v>
      </c>
      <c r="AM193" s="180"/>
      <c r="AN193" s="180">
        <v>3168372</v>
      </c>
      <c r="AO193" s="180"/>
      <c r="AP193" s="180">
        <v>0</v>
      </c>
      <c r="AQ193" s="180">
        <v>106956937</v>
      </c>
      <c r="AR193" s="180">
        <v>0</v>
      </c>
      <c r="AS193" s="180">
        <v>70273</v>
      </c>
      <c r="AT193" s="180">
        <v>12284384</v>
      </c>
      <c r="AU193" s="180">
        <v>1391271</v>
      </c>
      <c r="AV193" s="570">
        <v>0</v>
      </c>
      <c r="AW193" s="180">
        <v>0</v>
      </c>
      <c r="AX193" s="180">
        <v>133155</v>
      </c>
      <c r="AY193" s="180">
        <v>0</v>
      </c>
      <c r="AZ193" s="180">
        <v>0</v>
      </c>
      <c r="BA193" s="180">
        <v>427827</v>
      </c>
      <c r="BB193" s="180">
        <v>177486</v>
      </c>
      <c r="BC193" s="180">
        <v>3748972</v>
      </c>
      <c r="BD193" s="180">
        <v>0</v>
      </c>
      <c r="BE193" s="180">
        <v>0</v>
      </c>
      <c r="BF193" s="180">
        <v>1427669</v>
      </c>
      <c r="BG193" s="180">
        <v>0</v>
      </c>
      <c r="BH193" s="180">
        <v>0</v>
      </c>
      <c r="BI193" s="180">
        <v>1930785</v>
      </c>
      <c r="BJ193" s="180">
        <v>0</v>
      </c>
      <c r="BK193" s="180"/>
      <c r="BL193" s="180">
        <v>780310</v>
      </c>
      <c r="BM193" s="180">
        <v>517956</v>
      </c>
      <c r="BN193" s="180">
        <v>0</v>
      </c>
      <c r="BO193" s="180">
        <v>6001812</v>
      </c>
      <c r="BP193" s="180">
        <v>116007208</v>
      </c>
      <c r="BQ193" s="180">
        <v>0</v>
      </c>
      <c r="BR193" s="180"/>
      <c r="BS193" s="180">
        <v>611237</v>
      </c>
      <c r="BT193" s="180"/>
      <c r="BU193" s="180">
        <v>0</v>
      </c>
      <c r="BV193" s="180">
        <v>7581665</v>
      </c>
      <c r="BW193" s="180">
        <v>1163322</v>
      </c>
      <c r="BX193" s="180">
        <v>12402135</v>
      </c>
      <c r="BY193" s="180">
        <v>3573081</v>
      </c>
      <c r="BZ193" s="180">
        <v>275725</v>
      </c>
      <c r="CA193" s="180">
        <v>3731911</v>
      </c>
      <c r="CB193" s="180">
        <v>1433941</v>
      </c>
      <c r="CC193" s="180">
        <v>274988</v>
      </c>
      <c r="CD193" s="180"/>
      <c r="CE193" s="180">
        <v>7235752</v>
      </c>
      <c r="CF193" s="180">
        <v>0</v>
      </c>
      <c r="CG193" s="180">
        <v>1215863</v>
      </c>
      <c r="CH193" s="180">
        <v>0</v>
      </c>
      <c r="CI193" s="180"/>
      <c r="CJ193" s="180"/>
      <c r="CK193" s="180"/>
      <c r="CL193" s="180"/>
      <c r="CM193" s="180"/>
      <c r="CN193" s="180"/>
      <c r="CO193" s="180"/>
      <c r="CP193" s="180"/>
      <c r="CQ193" s="180"/>
      <c r="CR193" s="180"/>
      <c r="CS193" s="180"/>
      <c r="CT193" s="180"/>
      <c r="CU193" s="180"/>
    </row>
    <row r="194" spans="1:99" x14ac:dyDescent="0.3">
      <c r="A194" s="155">
        <v>655</v>
      </c>
      <c r="B194" s="180" t="s">
        <v>910</v>
      </c>
      <c r="C194" s="180"/>
      <c r="D194" s="180">
        <v>0</v>
      </c>
      <c r="E194" s="180">
        <v>0</v>
      </c>
      <c r="F194" s="180">
        <v>29130</v>
      </c>
      <c r="G194" s="180">
        <v>0</v>
      </c>
      <c r="H194" s="180"/>
      <c r="I194" s="180">
        <v>6335</v>
      </c>
      <c r="J194" s="180">
        <v>0</v>
      </c>
      <c r="K194" s="180">
        <v>3343152</v>
      </c>
      <c r="L194" s="180">
        <v>0</v>
      </c>
      <c r="M194" s="180">
        <v>0</v>
      </c>
      <c r="N194" s="180">
        <v>1129600</v>
      </c>
      <c r="O194" s="180">
        <v>2137265</v>
      </c>
      <c r="P194" s="180">
        <v>0</v>
      </c>
      <c r="Q194" s="180">
        <v>0</v>
      </c>
      <c r="R194" s="180">
        <v>0</v>
      </c>
      <c r="S194" s="180">
        <v>0</v>
      </c>
      <c r="T194" s="180">
        <v>0</v>
      </c>
      <c r="U194" s="180">
        <v>0</v>
      </c>
      <c r="V194" s="180">
        <v>3480</v>
      </c>
      <c r="W194" s="180">
        <v>88554</v>
      </c>
      <c r="X194" s="180">
        <v>0</v>
      </c>
      <c r="Y194" s="180">
        <v>880000</v>
      </c>
      <c r="Z194" s="180">
        <v>2635560</v>
      </c>
      <c r="AA194" s="180">
        <v>0</v>
      </c>
      <c r="AB194" s="180">
        <v>0</v>
      </c>
      <c r="AC194" s="180"/>
      <c r="AD194" s="180">
        <v>313174</v>
      </c>
      <c r="AE194" s="180">
        <v>57024</v>
      </c>
      <c r="AF194" s="180">
        <v>100754809</v>
      </c>
      <c r="AG194" s="180">
        <v>0</v>
      </c>
      <c r="AH194" s="180">
        <v>14700</v>
      </c>
      <c r="AI194" s="180">
        <v>295647</v>
      </c>
      <c r="AJ194" s="180">
        <v>41870</v>
      </c>
      <c r="AK194" s="180">
        <v>63157</v>
      </c>
      <c r="AL194" s="180">
        <v>3650</v>
      </c>
      <c r="AM194" s="180"/>
      <c r="AN194" s="180">
        <v>73861</v>
      </c>
      <c r="AO194" s="180"/>
      <c r="AP194" s="180">
        <v>0</v>
      </c>
      <c r="AQ194" s="180">
        <v>0</v>
      </c>
      <c r="AR194" s="180">
        <v>0</v>
      </c>
      <c r="AS194" s="180">
        <v>0</v>
      </c>
      <c r="AT194" s="180">
        <v>143000</v>
      </c>
      <c r="AU194" s="180">
        <v>56652</v>
      </c>
      <c r="AV194" s="570">
        <v>0</v>
      </c>
      <c r="AW194" s="180">
        <v>0</v>
      </c>
      <c r="AX194" s="180">
        <v>17749</v>
      </c>
      <c r="AY194" s="180">
        <v>0</v>
      </c>
      <c r="AZ194" s="180">
        <v>0</v>
      </c>
      <c r="BA194" s="180">
        <v>7800</v>
      </c>
      <c r="BB194" s="180">
        <v>105250</v>
      </c>
      <c r="BC194" s="180">
        <v>80393</v>
      </c>
      <c r="BD194" s="180">
        <v>0</v>
      </c>
      <c r="BE194" s="180">
        <v>0</v>
      </c>
      <c r="BF194" s="180">
        <v>77973</v>
      </c>
      <c r="BG194" s="180">
        <v>0</v>
      </c>
      <c r="BH194" s="180">
        <v>0</v>
      </c>
      <c r="BI194" s="180">
        <v>392370</v>
      </c>
      <c r="BJ194" s="180">
        <v>0</v>
      </c>
      <c r="BK194" s="180"/>
      <c r="BL194" s="180">
        <v>0</v>
      </c>
      <c r="BM194" s="180">
        <v>24275</v>
      </c>
      <c r="BN194" s="180">
        <v>0</v>
      </c>
      <c r="BO194" s="180">
        <v>134207</v>
      </c>
      <c r="BP194" s="180">
        <v>0</v>
      </c>
      <c r="BQ194" s="180">
        <v>0</v>
      </c>
      <c r="BR194" s="180"/>
      <c r="BS194" s="180">
        <v>11465</v>
      </c>
      <c r="BT194" s="180"/>
      <c r="BU194" s="180">
        <v>0</v>
      </c>
      <c r="BV194" s="180">
        <v>368345</v>
      </c>
      <c r="BW194" s="180">
        <v>0</v>
      </c>
      <c r="BX194" s="180">
        <v>608589</v>
      </c>
      <c r="BY194" s="180">
        <v>200538</v>
      </c>
      <c r="BZ194" s="180">
        <v>30385</v>
      </c>
      <c r="CA194" s="180">
        <v>34290</v>
      </c>
      <c r="CB194" s="180">
        <v>197735</v>
      </c>
      <c r="CC194" s="180">
        <v>46576</v>
      </c>
      <c r="CD194" s="180"/>
      <c r="CE194" s="180">
        <v>344588</v>
      </c>
      <c r="CF194" s="180">
        <v>0</v>
      </c>
      <c r="CG194" s="180">
        <v>50043</v>
      </c>
      <c r="CH194" s="180">
        <v>0</v>
      </c>
      <c r="CI194" s="180"/>
      <c r="CJ194" s="180"/>
      <c r="CK194" s="180"/>
      <c r="CL194" s="180"/>
      <c r="CM194" s="180"/>
      <c r="CN194" s="180"/>
      <c r="CO194" s="180"/>
      <c r="CP194" s="180"/>
      <c r="CQ194" s="180"/>
      <c r="CR194" s="180"/>
      <c r="CS194" s="180"/>
      <c r="CT194" s="180"/>
      <c r="CU194" s="180"/>
    </row>
    <row r="195" spans="1:99" x14ac:dyDescent="0.3">
      <c r="A195" s="155">
        <v>656</v>
      </c>
      <c r="B195" s="180" t="s">
        <v>419</v>
      </c>
      <c r="C195" s="180"/>
      <c r="D195" s="180">
        <v>2</v>
      </c>
      <c r="E195" s="180">
        <v>0</v>
      </c>
      <c r="F195" s="180">
        <v>2</v>
      </c>
      <c r="G195" s="180">
        <v>2</v>
      </c>
      <c r="H195" s="180"/>
      <c r="I195" s="180">
        <v>0</v>
      </c>
      <c r="J195" s="180">
        <v>2</v>
      </c>
      <c r="K195" s="180">
        <v>0</v>
      </c>
      <c r="L195" s="180">
        <v>2</v>
      </c>
      <c r="M195" s="180">
        <v>2</v>
      </c>
      <c r="N195" s="180">
        <v>2</v>
      </c>
      <c r="O195" s="180">
        <v>0</v>
      </c>
      <c r="P195" s="180">
        <v>0</v>
      </c>
      <c r="Q195" s="180">
        <v>2</v>
      </c>
      <c r="R195" s="180">
        <v>0</v>
      </c>
      <c r="S195" s="180">
        <v>2</v>
      </c>
      <c r="T195" s="180">
        <v>2</v>
      </c>
      <c r="U195" s="180">
        <v>2</v>
      </c>
      <c r="V195" s="180">
        <v>2</v>
      </c>
      <c r="W195" s="180">
        <v>2</v>
      </c>
      <c r="X195" s="180">
        <v>2</v>
      </c>
      <c r="Y195" s="180">
        <v>2</v>
      </c>
      <c r="Z195" s="180">
        <v>2</v>
      </c>
      <c r="AA195" s="180">
        <v>2</v>
      </c>
      <c r="AB195" s="180">
        <v>0</v>
      </c>
      <c r="AC195" s="180"/>
      <c r="AD195" s="180">
        <v>2</v>
      </c>
      <c r="AE195" s="180">
        <v>2</v>
      </c>
      <c r="AF195" s="180">
        <v>2</v>
      </c>
      <c r="AG195" s="180">
        <v>2</v>
      </c>
      <c r="AH195" s="180">
        <v>2</v>
      </c>
      <c r="AI195" s="180">
        <v>2</v>
      </c>
      <c r="AJ195" s="180">
        <v>0</v>
      </c>
      <c r="AK195" s="180">
        <v>2</v>
      </c>
      <c r="AL195" s="180">
        <v>2</v>
      </c>
      <c r="AM195" s="180"/>
      <c r="AN195" s="180">
        <v>0</v>
      </c>
      <c r="AO195" s="180"/>
      <c r="AP195" s="180">
        <v>0</v>
      </c>
      <c r="AQ195" s="180">
        <v>2</v>
      </c>
      <c r="AR195" s="180">
        <v>2</v>
      </c>
      <c r="AS195" s="180">
        <v>2</v>
      </c>
      <c r="AT195" s="180">
        <v>2</v>
      </c>
      <c r="AU195" s="180">
        <v>2</v>
      </c>
      <c r="AV195" s="180">
        <v>2</v>
      </c>
      <c r="AW195" s="180">
        <v>2</v>
      </c>
      <c r="AX195" s="180">
        <v>2</v>
      </c>
      <c r="AY195" s="180">
        <v>2</v>
      </c>
      <c r="AZ195" s="180">
        <v>2</v>
      </c>
      <c r="BA195" s="180">
        <v>2</v>
      </c>
      <c r="BB195" s="180">
        <v>2</v>
      </c>
      <c r="BC195" s="180">
        <v>2</v>
      </c>
      <c r="BD195" s="180">
        <v>2</v>
      </c>
      <c r="BE195" s="180">
        <v>0</v>
      </c>
      <c r="BF195" s="180">
        <v>2</v>
      </c>
      <c r="BG195" s="180">
        <v>2</v>
      </c>
      <c r="BH195" s="180">
        <v>2</v>
      </c>
      <c r="BI195" s="180">
        <v>2</v>
      </c>
      <c r="BJ195" s="180">
        <v>0</v>
      </c>
      <c r="BK195" s="180"/>
      <c r="BL195" s="180">
        <v>2</v>
      </c>
      <c r="BM195" s="180">
        <v>2</v>
      </c>
      <c r="BN195" s="180">
        <v>0</v>
      </c>
      <c r="BO195" s="180">
        <v>2</v>
      </c>
      <c r="BP195" s="180">
        <v>2</v>
      </c>
      <c r="BQ195" s="180">
        <v>0</v>
      </c>
      <c r="BR195" s="180"/>
      <c r="BS195" s="180">
        <v>2</v>
      </c>
      <c r="BT195" s="180"/>
      <c r="BU195" s="180">
        <v>2</v>
      </c>
      <c r="BV195" s="180">
        <v>0</v>
      </c>
      <c r="BW195" s="180">
        <v>2</v>
      </c>
      <c r="BX195" s="180">
        <v>2</v>
      </c>
      <c r="BY195" s="180">
        <v>2</v>
      </c>
      <c r="BZ195" s="180">
        <v>2</v>
      </c>
      <c r="CA195" s="180">
        <v>2</v>
      </c>
      <c r="CB195" s="180">
        <v>0</v>
      </c>
      <c r="CC195" s="180">
        <v>2</v>
      </c>
      <c r="CD195" s="180"/>
      <c r="CE195" s="180">
        <v>2</v>
      </c>
      <c r="CF195" s="180">
        <v>2</v>
      </c>
      <c r="CG195" s="180">
        <v>0</v>
      </c>
      <c r="CH195" s="180">
        <v>2</v>
      </c>
      <c r="CI195" s="180"/>
      <c r="CJ195" s="180"/>
      <c r="CK195" s="180"/>
      <c r="CL195" s="180"/>
      <c r="CM195" s="180"/>
      <c r="CN195" s="180"/>
      <c r="CO195" s="180"/>
      <c r="CP195" s="180"/>
      <c r="CQ195" s="180"/>
      <c r="CR195" s="180"/>
      <c r="CS195" s="180"/>
      <c r="CT195" s="180"/>
      <c r="CU195" s="180"/>
    </row>
    <row r="196" spans="1:99" x14ac:dyDescent="0.3">
      <c r="A196" s="155">
        <v>657</v>
      </c>
      <c r="B196" s="180" t="s">
        <v>911</v>
      </c>
      <c r="C196" s="180"/>
      <c r="D196" s="180">
        <v>0</v>
      </c>
      <c r="E196" s="180">
        <v>0</v>
      </c>
      <c r="F196" s="180">
        <v>0</v>
      </c>
      <c r="G196" s="180">
        <v>0</v>
      </c>
      <c r="H196" s="180"/>
      <c r="I196" s="180">
        <v>0</v>
      </c>
      <c r="J196" s="180">
        <v>0</v>
      </c>
      <c r="K196" s="180">
        <v>0</v>
      </c>
      <c r="L196" s="180">
        <v>0</v>
      </c>
      <c r="M196" s="180">
        <v>0</v>
      </c>
      <c r="N196" s="180">
        <v>0</v>
      </c>
      <c r="O196" s="180">
        <v>0</v>
      </c>
      <c r="P196" s="180">
        <v>0</v>
      </c>
      <c r="Q196" s="180">
        <v>0</v>
      </c>
      <c r="R196" s="180">
        <v>0</v>
      </c>
      <c r="S196" s="180">
        <v>0</v>
      </c>
      <c r="T196" s="180">
        <v>0</v>
      </c>
      <c r="U196" s="180">
        <v>0</v>
      </c>
      <c r="V196" s="180">
        <v>0</v>
      </c>
      <c r="W196" s="180">
        <v>0</v>
      </c>
      <c r="X196" s="180">
        <v>0</v>
      </c>
      <c r="Y196" s="180">
        <v>0</v>
      </c>
      <c r="Z196" s="180">
        <v>5405934</v>
      </c>
      <c r="AA196" s="180">
        <v>0</v>
      </c>
      <c r="AB196" s="180">
        <v>0</v>
      </c>
      <c r="AC196" s="180"/>
      <c r="AD196" s="180">
        <v>0</v>
      </c>
      <c r="AE196" s="180">
        <v>0</v>
      </c>
      <c r="AF196" s="180">
        <v>7955373</v>
      </c>
      <c r="AG196" s="180">
        <v>0</v>
      </c>
      <c r="AH196" s="180">
        <v>0</v>
      </c>
      <c r="AI196" s="180">
        <v>0</v>
      </c>
      <c r="AJ196" s="180">
        <v>0</v>
      </c>
      <c r="AK196" s="180">
        <v>0</v>
      </c>
      <c r="AL196" s="180">
        <v>0</v>
      </c>
      <c r="AM196" s="180"/>
      <c r="AN196" s="180">
        <v>0</v>
      </c>
      <c r="AO196" s="180"/>
      <c r="AP196" s="180">
        <v>0</v>
      </c>
      <c r="AQ196" s="180">
        <v>101526114</v>
      </c>
      <c r="AR196" s="180">
        <v>0</v>
      </c>
      <c r="AS196" s="180">
        <v>0</v>
      </c>
      <c r="AT196" s="180">
        <v>0</v>
      </c>
      <c r="AU196" s="180">
        <v>0</v>
      </c>
      <c r="AV196" s="180">
        <v>0</v>
      </c>
      <c r="AW196" s="180">
        <v>7044429</v>
      </c>
      <c r="AX196" s="180">
        <v>0</v>
      </c>
      <c r="AY196" s="180">
        <v>0</v>
      </c>
      <c r="AZ196" s="180">
        <v>0</v>
      </c>
      <c r="BA196" s="180">
        <v>0</v>
      </c>
      <c r="BB196" s="180">
        <v>0</v>
      </c>
      <c r="BC196" s="180">
        <v>5817483</v>
      </c>
      <c r="BD196" s="180">
        <v>0</v>
      </c>
      <c r="BE196" s="180">
        <v>0</v>
      </c>
      <c r="BF196" s="180">
        <v>0</v>
      </c>
      <c r="BG196" s="180">
        <v>0</v>
      </c>
      <c r="BH196" s="180">
        <v>0</v>
      </c>
      <c r="BI196" s="180">
        <v>0</v>
      </c>
      <c r="BJ196" s="180">
        <v>0</v>
      </c>
      <c r="BK196" s="180"/>
      <c r="BL196" s="180">
        <v>4463395</v>
      </c>
      <c r="BM196" s="180">
        <v>0</v>
      </c>
      <c r="BN196" s="180">
        <v>0</v>
      </c>
      <c r="BO196" s="180">
        <v>0</v>
      </c>
      <c r="BP196" s="180">
        <v>0</v>
      </c>
      <c r="BQ196" s="180">
        <v>0</v>
      </c>
      <c r="BR196" s="180"/>
      <c r="BS196" s="180">
        <v>0</v>
      </c>
      <c r="BT196" s="180"/>
      <c r="BU196" s="180">
        <v>0</v>
      </c>
      <c r="BV196" s="180">
        <v>0</v>
      </c>
      <c r="BW196" s="180">
        <v>1882289</v>
      </c>
      <c r="BX196" s="180">
        <v>13527385</v>
      </c>
      <c r="BY196" s="180">
        <v>0</v>
      </c>
      <c r="BZ196" s="180">
        <v>0</v>
      </c>
      <c r="CA196" s="180">
        <v>0</v>
      </c>
      <c r="CB196" s="180">
        <v>0</v>
      </c>
      <c r="CC196" s="180">
        <v>0</v>
      </c>
      <c r="CD196" s="180"/>
      <c r="CE196" s="180">
        <v>0</v>
      </c>
      <c r="CF196" s="180">
        <v>0</v>
      </c>
      <c r="CG196" s="180">
        <v>8272494</v>
      </c>
      <c r="CH196" s="180">
        <v>0</v>
      </c>
      <c r="CI196" s="180"/>
      <c r="CJ196" s="180"/>
      <c r="CK196" s="180"/>
      <c r="CL196" s="180"/>
      <c r="CM196" s="180"/>
      <c r="CN196" s="180"/>
      <c r="CO196" s="180"/>
      <c r="CP196" s="180"/>
      <c r="CQ196" s="180"/>
      <c r="CR196" s="180"/>
      <c r="CS196" s="180"/>
      <c r="CT196" s="180"/>
      <c r="CU196" s="180"/>
    </row>
    <row r="197" spans="1:99" x14ac:dyDescent="0.3">
      <c r="A197" s="155">
        <v>658</v>
      </c>
      <c r="B197" s="180" t="s">
        <v>912</v>
      </c>
      <c r="C197" s="180"/>
      <c r="D197" s="180">
        <v>0</v>
      </c>
      <c r="E197" s="180">
        <v>0</v>
      </c>
      <c r="F197" s="180">
        <v>0</v>
      </c>
      <c r="G197" s="180">
        <v>0</v>
      </c>
      <c r="H197" s="180"/>
      <c r="I197" s="180">
        <v>0</v>
      </c>
      <c r="J197" s="180">
        <v>0</v>
      </c>
      <c r="K197" s="180">
        <v>0</v>
      </c>
      <c r="L197" s="180">
        <v>0</v>
      </c>
      <c r="M197" s="180">
        <v>0</v>
      </c>
      <c r="N197" s="180">
        <v>0</v>
      </c>
      <c r="O197" s="180">
        <v>0</v>
      </c>
      <c r="P197" s="180">
        <v>0</v>
      </c>
      <c r="Q197" s="180">
        <v>0</v>
      </c>
      <c r="R197" s="180">
        <v>0</v>
      </c>
      <c r="S197" s="180">
        <v>0</v>
      </c>
      <c r="T197" s="180">
        <v>0</v>
      </c>
      <c r="U197" s="180">
        <v>0</v>
      </c>
      <c r="V197" s="180">
        <v>0</v>
      </c>
      <c r="W197" s="180">
        <v>0</v>
      </c>
      <c r="X197" s="180">
        <v>0</v>
      </c>
      <c r="Y197" s="180">
        <v>0</v>
      </c>
      <c r="Z197" s="180">
        <v>190992</v>
      </c>
      <c r="AA197" s="180">
        <v>0</v>
      </c>
      <c r="AB197" s="180">
        <v>0</v>
      </c>
      <c r="AC197" s="180"/>
      <c r="AD197" s="180">
        <v>0</v>
      </c>
      <c r="AE197" s="180">
        <v>0</v>
      </c>
      <c r="AF197" s="180">
        <v>0</v>
      </c>
      <c r="AG197" s="180">
        <v>0</v>
      </c>
      <c r="AH197" s="180">
        <v>0</v>
      </c>
      <c r="AI197" s="180">
        <v>0</v>
      </c>
      <c r="AJ197" s="180">
        <v>0</v>
      </c>
      <c r="AK197" s="180">
        <v>0</v>
      </c>
      <c r="AL197" s="180">
        <v>0</v>
      </c>
      <c r="AM197" s="180"/>
      <c r="AN197" s="180">
        <v>0</v>
      </c>
      <c r="AO197" s="180"/>
      <c r="AP197" s="180">
        <v>0</v>
      </c>
      <c r="AQ197" s="180">
        <v>0</v>
      </c>
      <c r="AR197" s="180">
        <v>0</v>
      </c>
      <c r="AS197" s="180">
        <v>0</v>
      </c>
      <c r="AT197" s="180">
        <v>0</v>
      </c>
      <c r="AU197" s="180">
        <v>0</v>
      </c>
      <c r="AV197" s="180">
        <v>0</v>
      </c>
      <c r="AW197" s="180">
        <v>151528</v>
      </c>
      <c r="AX197" s="180">
        <v>0</v>
      </c>
      <c r="AY197" s="180">
        <v>0</v>
      </c>
      <c r="AZ197" s="180">
        <v>0</v>
      </c>
      <c r="BA197" s="180">
        <v>0</v>
      </c>
      <c r="BB197" s="180">
        <v>0</v>
      </c>
      <c r="BC197" s="180">
        <v>214999</v>
      </c>
      <c r="BD197" s="180">
        <v>0</v>
      </c>
      <c r="BE197" s="180">
        <v>0</v>
      </c>
      <c r="BF197" s="180">
        <v>0</v>
      </c>
      <c r="BG197" s="180">
        <v>0</v>
      </c>
      <c r="BH197" s="180">
        <v>0</v>
      </c>
      <c r="BI197" s="180">
        <v>0</v>
      </c>
      <c r="BJ197" s="180">
        <v>0</v>
      </c>
      <c r="BK197" s="180"/>
      <c r="BL197" s="180">
        <v>0</v>
      </c>
      <c r="BM197" s="180">
        <v>0</v>
      </c>
      <c r="BN197" s="180">
        <v>0</v>
      </c>
      <c r="BO197" s="180">
        <v>0</v>
      </c>
      <c r="BP197" s="180">
        <v>0</v>
      </c>
      <c r="BQ197" s="180">
        <v>0</v>
      </c>
      <c r="BR197" s="180"/>
      <c r="BS197" s="180">
        <v>0</v>
      </c>
      <c r="BT197" s="180"/>
      <c r="BU197" s="180">
        <v>0</v>
      </c>
      <c r="BV197" s="180">
        <v>0</v>
      </c>
      <c r="BW197" s="180">
        <v>0</v>
      </c>
      <c r="BX197" s="180">
        <v>921398</v>
      </c>
      <c r="BY197" s="180">
        <v>0</v>
      </c>
      <c r="BZ197" s="180">
        <v>0</v>
      </c>
      <c r="CA197" s="180">
        <v>0</v>
      </c>
      <c r="CB197" s="180">
        <v>0</v>
      </c>
      <c r="CC197" s="180">
        <v>0</v>
      </c>
      <c r="CD197" s="180"/>
      <c r="CE197" s="180">
        <v>0</v>
      </c>
      <c r="CF197" s="180">
        <v>0</v>
      </c>
      <c r="CG197" s="180">
        <v>127564</v>
      </c>
      <c r="CH197" s="180">
        <v>0</v>
      </c>
      <c r="CI197" s="180"/>
      <c r="CJ197" s="180"/>
      <c r="CK197" s="180"/>
      <c r="CL197" s="180"/>
      <c r="CM197" s="180"/>
      <c r="CN197" s="180"/>
      <c r="CO197" s="180"/>
      <c r="CP197" s="180"/>
      <c r="CQ197" s="180"/>
      <c r="CR197" s="180"/>
      <c r="CS197" s="180"/>
      <c r="CT197" s="180"/>
      <c r="CU197" s="180"/>
    </row>
    <row r="198" spans="1:99" x14ac:dyDescent="0.3">
      <c r="A198" s="155">
        <v>659</v>
      </c>
      <c r="B198" s="180" t="s">
        <v>913</v>
      </c>
      <c r="C198" s="180"/>
      <c r="D198" s="180">
        <v>0</v>
      </c>
      <c r="E198" s="180">
        <v>0</v>
      </c>
      <c r="F198" s="180">
        <v>0</v>
      </c>
      <c r="G198" s="180">
        <v>0</v>
      </c>
      <c r="H198" s="180"/>
      <c r="I198" s="180">
        <v>10347551</v>
      </c>
      <c r="J198" s="180">
        <v>0</v>
      </c>
      <c r="K198" s="180">
        <v>8352955</v>
      </c>
      <c r="L198" s="180">
        <v>532769</v>
      </c>
      <c r="M198" s="180">
        <v>16533607</v>
      </c>
      <c r="N198" s="180">
        <v>0</v>
      </c>
      <c r="O198" s="180">
        <v>150722686</v>
      </c>
      <c r="P198" s="180">
        <v>0</v>
      </c>
      <c r="Q198" s="180">
        <v>0</v>
      </c>
      <c r="R198" s="180">
        <v>0</v>
      </c>
      <c r="S198" s="180">
        <v>213747</v>
      </c>
      <c r="T198" s="180">
        <v>0</v>
      </c>
      <c r="U198" s="180">
        <v>0</v>
      </c>
      <c r="V198" s="180">
        <v>0</v>
      </c>
      <c r="W198" s="180">
        <v>17802</v>
      </c>
      <c r="X198" s="180">
        <v>38513351</v>
      </c>
      <c r="Y198" s="180">
        <v>362261000</v>
      </c>
      <c r="Z198" s="180">
        <v>2240511</v>
      </c>
      <c r="AA198" s="180">
        <v>0</v>
      </c>
      <c r="AB198" s="180">
        <v>0</v>
      </c>
      <c r="AC198" s="180"/>
      <c r="AD198" s="180">
        <v>120982</v>
      </c>
      <c r="AE198" s="180">
        <v>0</v>
      </c>
      <c r="AF198" s="180">
        <v>1252223</v>
      </c>
      <c r="AG198" s="180">
        <v>0</v>
      </c>
      <c r="AH198" s="180">
        <v>0</v>
      </c>
      <c r="AI198" s="180">
        <v>3156371</v>
      </c>
      <c r="AJ198" s="180">
        <v>367513</v>
      </c>
      <c r="AK198" s="180">
        <v>0</v>
      </c>
      <c r="AL198" s="180">
        <v>0</v>
      </c>
      <c r="AM198" s="180"/>
      <c r="AN198" s="180">
        <v>679813</v>
      </c>
      <c r="AO198" s="180"/>
      <c r="AP198" s="180">
        <v>0</v>
      </c>
      <c r="AQ198" s="180">
        <v>49455920</v>
      </c>
      <c r="AR198" s="180">
        <v>0</v>
      </c>
      <c r="AS198" s="180">
        <v>0</v>
      </c>
      <c r="AT198" s="180">
        <v>0</v>
      </c>
      <c r="AU198" s="180">
        <v>148957</v>
      </c>
      <c r="AV198" s="180">
        <v>0</v>
      </c>
      <c r="AW198" s="180">
        <v>1447082</v>
      </c>
      <c r="AX198" s="180">
        <v>0</v>
      </c>
      <c r="AY198" s="180">
        <v>715335</v>
      </c>
      <c r="AZ198" s="180">
        <v>2360006</v>
      </c>
      <c r="BA198" s="180">
        <v>0</v>
      </c>
      <c r="BB198" s="180">
        <v>0</v>
      </c>
      <c r="BC198" s="180">
        <v>306709</v>
      </c>
      <c r="BD198" s="180">
        <v>0</v>
      </c>
      <c r="BE198" s="180">
        <v>0</v>
      </c>
      <c r="BF198" s="180">
        <v>0</v>
      </c>
      <c r="BG198" s="180">
        <v>0</v>
      </c>
      <c r="BH198" s="180">
        <v>0</v>
      </c>
      <c r="BI198" s="180">
        <v>224583</v>
      </c>
      <c r="BJ198" s="180">
        <v>0</v>
      </c>
      <c r="BK198" s="180"/>
      <c r="BL198" s="180">
        <v>0</v>
      </c>
      <c r="BM198" s="180">
        <v>0</v>
      </c>
      <c r="BN198" s="180">
        <v>0</v>
      </c>
      <c r="BO198" s="180">
        <v>4853205</v>
      </c>
      <c r="BP198" s="180">
        <v>161280750</v>
      </c>
      <c r="BQ198" s="180">
        <v>0</v>
      </c>
      <c r="BR198" s="180"/>
      <c r="BS198" s="180">
        <v>0</v>
      </c>
      <c r="BT198" s="180"/>
      <c r="BU198" s="180">
        <v>13331</v>
      </c>
      <c r="BV198" s="180">
        <v>11679714</v>
      </c>
      <c r="BW198" s="180">
        <v>1922461</v>
      </c>
      <c r="BX198" s="180">
        <v>-823878</v>
      </c>
      <c r="BY198" s="180">
        <v>0</v>
      </c>
      <c r="BZ198" s="180">
        <v>404449</v>
      </c>
      <c r="CA198" s="180">
        <v>35684</v>
      </c>
      <c r="CB198" s="180">
        <v>0</v>
      </c>
      <c r="CC198" s="180">
        <v>149621</v>
      </c>
      <c r="CD198" s="180"/>
      <c r="CE198" s="180">
        <v>0</v>
      </c>
      <c r="CF198" s="180">
        <v>0</v>
      </c>
      <c r="CG198" s="180">
        <v>0</v>
      </c>
      <c r="CH198" s="180">
        <v>720572</v>
      </c>
      <c r="CI198" s="180"/>
      <c r="CJ198" s="180"/>
      <c r="CK198" s="180"/>
      <c r="CL198" s="180"/>
      <c r="CM198" s="180"/>
      <c r="CN198" s="180"/>
      <c r="CO198" s="180"/>
      <c r="CP198" s="180"/>
      <c r="CQ198" s="180"/>
      <c r="CR198" s="180"/>
      <c r="CS198" s="180"/>
      <c r="CT198" s="180"/>
      <c r="CU198" s="180"/>
    </row>
    <row r="199" spans="1:99" x14ac:dyDescent="0.3">
      <c r="A199" s="155">
        <v>660</v>
      </c>
      <c r="B199" s="180" t="s">
        <v>914</v>
      </c>
      <c r="C199" s="180"/>
      <c r="D199" s="180">
        <v>0</v>
      </c>
      <c r="E199" s="180">
        <v>0</v>
      </c>
      <c r="F199" s="180">
        <v>0</v>
      </c>
      <c r="G199" s="180">
        <v>0</v>
      </c>
      <c r="H199" s="180"/>
      <c r="I199" s="180">
        <v>0</v>
      </c>
      <c r="J199" s="180">
        <v>0</v>
      </c>
      <c r="K199" s="180">
        <v>0</v>
      </c>
      <c r="L199" s="180">
        <v>0</v>
      </c>
      <c r="M199" s="180">
        <v>0</v>
      </c>
      <c r="N199" s="180">
        <v>0</v>
      </c>
      <c r="O199" s="180">
        <v>0</v>
      </c>
      <c r="P199" s="180">
        <v>0</v>
      </c>
      <c r="Q199" s="180">
        <v>0</v>
      </c>
      <c r="R199" s="180">
        <v>0</v>
      </c>
      <c r="S199" s="180">
        <v>0</v>
      </c>
      <c r="T199" s="180">
        <v>0</v>
      </c>
      <c r="U199" s="180">
        <v>0</v>
      </c>
      <c r="V199" s="180">
        <v>0</v>
      </c>
      <c r="W199" s="180">
        <v>0</v>
      </c>
      <c r="X199" s="180">
        <v>7754651</v>
      </c>
      <c r="Y199" s="180">
        <v>147982000</v>
      </c>
      <c r="Z199" s="180">
        <v>0</v>
      </c>
      <c r="AA199" s="180">
        <v>0</v>
      </c>
      <c r="AB199" s="180">
        <v>0</v>
      </c>
      <c r="AC199" s="180"/>
      <c r="AD199" s="180">
        <v>0</v>
      </c>
      <c r="AE199" s="180">
        <v>0</v>
      </c>
      <c r="AF199" s="180">
        <v>0</v>
      </c>
      <c r="AG199" s="180">
        <v>0</v>
      </c>
      <c r="AH199" s="180">
        <v>0</v>
      </c>
      <c r="AI199" s="180">
        <v>0</v>
      </c>
      <c r="AJ199" s="180">
        <v>0</v>
      </c>
      <c r="AK199" s="180">
        <v>0</v>
      </c>
      <c r="AL199" s="180">
        <v>0</v>
      </c>
      <c r="AM199" s="180"/>
      <c r="AN199" s="180">
        <v>0</v>
      </c>
      <c r="AO199" s="180"/>
      <c r="AP199" s="180">
        <v>0</v>
      </c>
      <c r="AQ199" s="180">
        <v>15755264</v>
      </c>
      <c r="AR199" s="180">
        <v>0</v>
      </c>
      <c r="AS199" s="180">
        <v>0</v>
      </c>
      <c r="AT199" s="180">
        <v>0</v>
      </c>
      <c r="AU199" s="180">
        <v>0</v>
      </c>
      <c r="AV199" s="180">
        <v>0</v>
      </c>
      <c r="AW199" s="180">
        <v>522525</v>
      </c>
      <c r="AX199" s="180">
        <v>0</v>
      </c>
      <c r="AY199" s="180">
        <v>0</v>
      </c>
      <c r="AZ199" s="180">
        <v>0</v>
      </c>
      <c r="BA199" s="180">
        <v>0</v>
      </c>
      <c r="BB199" s="180">
        <v>0</v>
      </c>
      <c r="BC199" s="180">
        <v>0</v>
      </c>
      <c r="BD199" s="180">
        <v>0</v>
      </c>
      <c r="BE199" s="180">
        <v>0</v>
      </c>
      <c r="BF199" s="180">
        <v>0</v>
      </c>
      <c r="BG199" s="180">
        <v>0</v>
      </c>
      <c r="BH199" s="180">
        <v>0</v>
      </c>
      <c r="BI199" s="180">
        <v>0</v>
      </c>
      <c r="BJ199" s="180">
        <v>0</v>
      </c>
      <c r="BK199" s="180"/>
      <c r="BL199" s="180">
        <v>0</v>
      </c>
      <c r="BM199" s="180">
        <v>0</v>
      </c>
      <c r="BN199" s="180">
        <v>0</v>
      </c>
      <c r="BO199" s="180">
        <v>0</v>
      </c>
      <c r="BP199" s="180">
        <v>0</v>
      </c>
      <c r="BQ199" s="180">
        <v>0</v>
      </c>
      <c r="BR199" s="180"/>
      <c r="BS199" s="180">
        <v>0</v>
      </c>
      <c r="BT199" s="180"/>
      <c r="BU199" s="180">
        <v>0</v>
      </c>
      <c r="BV199" s="180">
        <v>0</v>
      </c>
      <c r="BW199" s="180">
        <v>0</v>
      </c>
      <c r="BX199" s="180">
        <v>0</v>
      </c>
      <c r="BY199" s="180">
        <v>0</v>
      </c>
      <c r="BZ199" s="180">
        <v>0</v>
      </c>
      <c r="CA199" s="180">
        <v>0</v>
      </c>
      <c r="CB199" s="180">
        <v>0</v>
      </c>
      <c r="CC199" s="180">
        <v>0</v>
      </c>
      <c r="CD199" s="180"/>
      <c r="CE199" s="180">
        <v>0</v>
      </c>
      <c r="CF199" s="180">
        <v>0</v>
      </c>
      <c r="CG199" s="180">
        <v>0</v>
      </c>
      <c r="CH199" s="180">
        <v>0</v>
      </c>
      <c r="CI199" s="180"/>
      <c r="CJ199" s="180"/>
      <c r="CK199" s="180"/>
      <c r="CL199" s="180"/>
      <c r="CM199" s="180"/>
      <c r="CN199" s="180"/>
      <c r="CO199" s="180"/>
      <c r="CP199" s="180"/>
      <c r="CQ199" s="180"/>
      <c r="CR199" s="180"/>
      <c r="CS199" s="180"/>
      <c r="CT199" s="180"/>
      <c r="CU199" s="180"/>
    </row>
    <row r="200" spans="1:99" s="559" customFormat="1" x14ac:dyDescent="0.3">
      <c r="A200" s="558">
        <v>661</v>
      </c>
      <c r="B200" s="559" t="s">
        <v>418</v>
      </c>
      <c r="D200" s="559">
        <v>0</v>
      </c>
      <c r="E200" s="559">
        <v>0</v>
      </c>
      <c r="F200" s="559">
        <v>0</v>
      </c>
      <c r="G200" s="559">
        <v>0</v>
      </c>
      <c r="I200" s="559">
        <v>0</v>
      </c>
      <c r="J200" s="559">
        <v>0</v>
      </c>
      <c r="K200" s="559">
        <v>0</v>
      </c>
      <c r="L200" s="559">
        <v>0</v>
      </c>
      <c r="M200" s="559">
        <v>0</v>
      </c>
      <c r="N200" s="559">
        <v>0</v>
      </c>
      <c r="O200" s="559">
        <v>0</v>
      </c>
      <c r="P200" s="559">
        <v>0</v>
      </c>
      <c r="Q200" s="559">
        <v>0</v>
      </c>
      <c r="R200" s="559">
        <v>0</v>
      </c>
      <c r="S200" s="559">
        <v>0</v>
      </c>
      <c r="T200" s="559">
        <v>0</v>
      </c>
      <c r="U200" s="559">
        <v>0</v>
      </c>
      <c r="V200" s="559">
        <v>0</v>
      </c>
      <c r="W200" s="559">
        <v>0</v>
      </c>
      <c r="X200" s="559">
        <v>20.100000000000001</v>
      </c>
      <c r="Y200" s="559">
        <v>40.799999999999997</v>
      </c>
      <c r="Z200" s="559">
        <v>0</v>
      </c>
      <c r="AA200" s="559">
        <v>0</v>
      </c>
      <c r="AB200" s="559">
        <v>0</v>
      </c>
      <c r="AD200" s="559">
        <v>0</v>
      </c>
      <c r="AE200" s="559">
        <v>0</v>
      </c>
      <c r="AF200" s="559">
        <v>0</v>
      </c>
      <c r="AG200" s="559">
        <v>0</v>
      </c>
      <c r="AH200" s="559">
        <v>0</v>
      </c>
      <c r="AI200" s="559">
        <v>0</v>
      </c>
      <c r="AJ200" s="559">
        <v>0</v>
      </c>
      <c r="AK200" s="559">
        <v>0</v>
      </c>
      <c r="AL200" s="559">
        <v>0</v>
      </c>
      <c r="AN200" s="559">
        <v>0</v>
      </c>
      <c r="AP200" s="559">
        <v>0</v>
      </c>
      <c r="AQ200" s="559">
        <v>31.9</v>
      </c>
      <c r="AR200" s="559">
        <v>0</v>
      </c>
      <c r="AS200" s="559">
        <v>0</v>
      </c>
      <c r="AT200" s="559">
        <v>0</v>
      </c>
      <c r="AU200" s="559">
        <v>0</v>
      </c>
      <c r="AV200" s="559">
        <v>0</v>
      </c>
      <c r="AW200" s="559">
        <v>36.1</v>
      </c>
      <c r="AX200" s="559">
        <v>0</v>
      </c>
      <c r="AY200" s="559">
        <v>0</v>
      </c>
      <c r="AZ200" s="559">
        <v>0</v>
      </c>
      <c r="BA200" s="559">
        <v>0</v>
      </c>
      <c r="BB200" s="559">
        <v>0</v>
      </c>
      <c r="BC200" s="559">
        <v>0</v>
      </c>
      <c r="BD200" s="559">
        <v>0</v>
      </c>
      <c r="BE200" s="559">
        <v>0</v>
      </c>
      <c r="BF200" s="559">
        <v>0</v>
      </c>
      <c r="BG200" s="559">
        <v>0</v>
      </c>
      <c r="BH200" s="559">
        <v>0</v>
      </c>
      <c r="BI200" s="559">
        <v>0</v>
      </c>
      <c r="BJ200" s="559">
        <v>0</v>
      </c>
      <c r="BL200" s="559">
        <v>0</v>
      </c>
      <c r="BM200" s="559">
        <v>0</v>
      </c>
      <c r="BN200" s="559">
        <v>0</v>
      </c>
      <c r="BO200" s="559">
        <v>0</v>
      </c>
      <c r="BP200" s="559">
        <v>0</v>
      </c>
      <c r="BQ200" s="559">
        <v>0</v>
      </c>
      <c r="BS200" s="559">
        <v>0</v>
      </c>
      <c r="BU200" s="559">
        <v>0</v>
      </c>
      <c r="BV200" s="559">
        <v>0</v>
      </c>
      <c r="BW200" s="559">
        <v>0</v>
      </c>
      <c r="BX200" s="559">
        <v>0</v>
      </c>
      <c r="BY200" s="559">
        <v>0</v>
      </c>
      <c r="BZ200" s="559">
        <v>0</v>
      </c>
      <c r="CA200" s="559">
        <v>0</v>
      </c>
      <c r="CB200" s="559">
        <v>0</v>
      </c>
      <c r="CC200" s="559">
        <v>0</v>
      </c>
      <c r="CE200" s="559">
        <v>0</v>
      </c>
      <c r="CF200" s="559">
        <v>0</v>
      </c>
      <c r="CG200" s="559">
        <v>0</v>
      </c>
      <c r="CH200" s="559">
        <v>0</v>
      </c>
    </row>
    <row r="201" spans="1:99" s="552" customFormat="1" x14ac:dyDescent="0.3">
      <c r="A201" s="555">
        <v>906</v>
      </c>
      <c r="B201" s="552" t="s">
        <v>916</v>
      </c>
      <c r="D201" s="552">
        <v>1</v>
      </c>
      <c r="E201" s="552">
        <v>1</v>
      </c>
      <c r="F201" s="552">
        <v>1</v>
      </c>
      <c r="G201" s="552">
        <v>1</v>
      </c>
      <c r="I201" s="552">
        <v>1</v>
      </c>
      <c r="J201" s="552">
        <v>1</v>
      </c>
      <c r="K201" s="552">
        <v>1</v>
      </c>
      <c r="L201" s="552">
        <v>1</v>
      </c>
      <c r="M201" s="552">
        <v>1</v>
      </c>
      <c r="N201" s="552">
        <v>1</v>
      </c>
      <c r="O201" s="552">
        <v>1</v>
      </c>
      <c r="P201" s="552">
        <v>1</v>
      </c>
      <c r="Q201" s="552">
        <v>1</v>
      </c>
      <c r="R201" s="552">
        <v>1</v>
      </c>
      <c r="S201" s="552">
        <v>1</v>
      </c>
      <c r="T201" s="552">
        <v>1</v>
      </c>
      <c r="U201" s="552">
        <v>1</v>
      </c>
      <c r="V201" s="552">
        <v>1</v>
      </c>
      <c r="W201" s="552">
        <v>1</v>
      </c>
      <c r="X201" s="552">
        <v>1</v>
      </c>
      <c r="Y201" s="552">
        <v>1</v>
      </c>
      <c r="Z201" s="552">
        <v>1</v>
      </c>
      <c r="AA201" s="552">
        <v>1</v>
      </c>
      <c r="AB201" s="552">
        <v>1</v>
      </c>
      <c r="AD201" s="552">
        <v>1</v>
      </c>
      <c r="AE201" s="552">
        <v>1</v>
      </c>
      <c r="AF201" s="552">
        <v>1</v>
      </c>
      <c r="AG201" s="552">
        <v>1</v>
      </c>
      <c r="AH201" s="552">
        <v>1</v>
      </c>
      <c r="AI201" s="552">
        <v>1</v>
      </c>
      <c r="AJ201" s="552">
        <v>1</v>
      </c>
      <c r="AK201" s="552">
        <v>1</v>
      </c>
      <c r="AL201" s="552">
        <v>1</v>
      </c>
      <c r="AN201" s="552">
        <v>1</v>
      </c>
      <c r="AP201" s="552">
        <v>1</v>
      </c>
      <c r="AQ201" s="552">
        <v>1</v>
      </c>
      <c r="AR201" s="552">
        <v>1</v>
      </c>
      <c r="AS201" s="552">
        <v>1</v>
      </c>
      <c r="AT201" s="552">
        <v>1</v>
      </c>
      <c r="AU201" s="552">
        <v>1</v>
      </c>
      <c r="AV201" s="552">
        <v>1</v>
      </c>
      <c r="AW201" s="552">
        <v>1</v>
      </c>
      <c r="AX201" s="552">
        <v>1</v>
      </c>
      <c r="AY201" s="552">
        <v>1</v>
      </c>
      <c r="AZ201" s="552">
        <v>1</v>
      </c>
      <c r="BA201" s="552">
        <v>1</v>
      </c>
      <c r="BB201" s="552">
        <v>1</v>
      </c>
      <c r="BC201" s="552">
        <v>1</v>
      </c>
      <c r="BD201" s="552">
        <v>1</v>
      </c>
      <c r="BE201" s="552">
        <v>1</v>
      </c>
      <c r="BF201" s="552">
        <v>1</v>
      </c>
      <c r="BG201" s="552">
        <v>1</v>
      </c>
      <c r="BH201" s="552">
        <v>1</v>
      </c>
      <c r="BI201" s="552">
        <v>1</v>
      </c>
      <c r="BJ201" s="552">
        <v>1</v>
      </c>
      <c r="BL201" s="552">
        <v>1</v>
      </c>
      <c r="BM201" s="552">
        <v>1</v>
      </c>
      <c r="BN201" s="552">
        <v>1</v>
      </c>
      <c r="BO201" s="552">
        <v>1</v>
      </c>
      <c r="BP201" s="552">
        <v>1</v>
      </c>
      <c r="BQ201" s="552">
        <v>1</v>
      </c>
      <c r="BS201" s="552">
        <v>1</v>
      </c>
      <c r="BU201" s="552">
        <v>1</v>
      </c>
      <c r="BV201" s="552">
        <v>1</v>
      </c>
      <c r="BW201" s="552">
        <v>1</v>
      </c>
      <c r="BX201" s="552">
        <v>1</v>
      </c>
      <c r="BY201" s="552">
        <v>1</v>
      </c>
      <c r="BZ201" s="552">
        <v>1</v>
      </c>
      <c r="CA201" s="552">
        <v>1</v>
      </c>
      <c r="CB201" s="552">
        <v>1</v>
      </c>
      <c r="CC201" s="552">
        <v>1</v>
      </c>
      <c r="CE201" s="552">
        <v>1</v>
      </c>
      <c r="CF201" s="552">
        <v>1</v>
      </c>
      <c r="CG201" s="552">
        <v>1</v>
      </c>
      <c r="CH201" s="552">
        <v>1</v>
      </c>
    </row>
    <row r="202" spans="1:99" s="552" customFormat="1" x14ac:dyDescent="0.3">
      <c r="A202" s="555">
        <v>907</v>
      </c>
      <c r="B202" s="552" t="s">
        <v>917</v>
      </c>
      <c r="D202" s="552">
        <v>2</v>
      </c>
      <c r="E202" s="552">
        <v>1</v>
      </c>
      <c r="F202" s="552">
        <v>1</v>
      </c>
      <c r="G202" s="552">
        <v>1</v>
      </c>
      <c r="I202" s="552">
        <v>2</v>
      </c>
      <c r="J202" s="552">
        <v>2</v>
      </c>
      <c r="K202" s="552">
        <v>2</v>
      </c>
      <c r="L202" s="552">
        <v>2</v>
      </c>
      <c r="M202" s="552">
        <v>2</v>
      </c>
      <c r="N202" s="552">
        <v>1</v>
      </c>
      <c r="O202" s="552">
        <v>1</v>
      </c>
      <c r="P202" s="552">
        <v>1</v>
      </c>
      <c r="Q202" s="552">
        <v>1</v>
      </c>
      <c r="R202" s="552">
        <v>1</v>
      </c>
      <c r="S202" s="552">
        <v>2</v>
      </c>
      <c r="T202" s="552">
        <v>2</v>
      </c>
      <c r="U202" s="552">
        <v>2</v>
      </c>
      <c r="V202" s="552">
        <v>1</v>
      </c>
      <c r="W202" s="552">
        <v>2</v>
      </c>
      <c r="X202" s="552">
        <v>2</v>
      </c>
      <c r="Y202" s="552">
        <v>2</v>
      </c>
      <c r="Z202" s="552">
        <v>2</v>
      </c>
      <c r="AA202" s="552">
        <v>2</v>
      </c>
      <c r="AB202" s="552">
        <v>2</v>
      </c>
      <c r="AD202" s="552">
        <v>2</v>
      </c>
      <c r="AE202" s="552">
        <v>1</v>
      </c>
      <c r="AF202" s="552">
        <v>2</v>
      </c>
      <c r="AG202" s="552">
        <v>1</v>
      </c>
      <c r="AH202" s="552">
        <v>2</v>
      </c>
      <c r="AI202" s="552">
        <v>2</v>
      </c>
      <c r="AJ202" s="552">
        <v>2</v>
      </c>
      <c r="AK202" s="552">
        <v>1</v>
      </c>
      <c r="AL202" s="552">
        <v>2</v>
      </c>
      <c r="AN202" s="552">
        <v>1</v>
      </c>
      <c r="AP202" s="552">
        <v>2</v>
      </c>
      <c r="AQ202" s="552">
        <v>2</v>
      </c>
      <c r="AR202" s="552">
        <v>1</v>
      </c>
      <c r="AS202" s="552">
        <v>1</v>
      </c>
      <c r="AT202" s="552">
        <v>2</v>
      </c>
      <c r="AU202" s="552">
        <v>1</v>
      </c>
      <c r="AV202" s="552">
        <v>1</v>
      </c>
      <c r="AW202" s="552">
        <v>2</v>
      </c>
      <c r="AX202" s="552">
        <v>1</v>
      </c>
      <c r="AY202" s="552">
        <v>2</v>
      </c>
      <c r="AZ202" s="552">
        <v>2</v>
      </c>
      <c r="BA202" s="552">
        <v>2</v>
      </c>
      <c r="BB202" s="552">
        <v>2</v>
      </c>
      <c r="BC202" s="552">
        <v>2</v>
      </c>
      <c r="BD202" s="552">
        <v>1</v>
      </c>
      <c r="BE202" s="552">
        <v>2</v>
      </c>
      <c r="BF202" s="552">
        <v>2</v>
      </c>
      <c r="BG202" s="552">
        <v>1</v>
      </c>
      <c r="BH202" s="552">
        <v>1</v>
      </c>
      <c r="BI202" s="552">
        <v>2</v>
      </c>
      <c r="BJ202" s="552">
        <v>2</v>
      </c>
      <c r="BL202" s="552">
        <v>2</v>
      </c>
      <c r="BM202" s="552">
        <v>1</v>
      </c>
      <c r="BN202" s="552">
        <v>2</v>
      </c>
      <c r="BO202" s="552">
        <v>2</v>
      </c>
      <c r="BP202" s="552">
        <v>2</v>
      </c>
      <c r="BQ202" s="552">
        <v>1</v>
      </c>
      <c r="BS202" s="552">
        <v>2</v>
      </c>
      <c r="BU202" s="552">
        <v>1</v>
      </c>
      <c r="BV202" s="552">
        <v>2</v>
      </c>
      <c r="BW202" s="552">
        <v>2</v>
      </c>
      <c r="BX202" s="552">
        <v>2</v>
      </c>
      <c r="BY202" s="552">
        <v>2</v>
      </c>
      <c r="BZ202" s="552">
        <v>2</v>
      </c>
      <c r="CA202" s="552">
        <v>2</v>
      </c>
      <c r="CB202" s="552">
        <v>1</v>
      </c>
      <c r="CC202" s="552">
        <v>1</v>
      </c>
      <c r="CE202" s="552">
        <v>2</v>
      </c>
      <c r="CF202" s="552">
        <v>2</v>
      </c>
      <c r="CG202" s="552">
        <v>2</v>
      </c>
      <c r="CH202" s="552">
        <v>1</v>
      </c>
    </row>
    <row r="203" spans="1:99" s="554" customFormat="1" x14ac:dyDescent="0.3">
      <c r="A203" s="553">
        <v>947</v>
      </c>
      <c r="B203" s="554" t="s">
        <v>918</v>
      </c>
      <c r="D203" s="554" t="s">
        <v>919</v>
      </c>
      <c r="E203" s="554" t="s">
        <v>2074</v>
      </c>
      <c r="F203" s="554" t="s">
        <v>2596</v>
      </c>
      <c r="G203" s="554" t="s">
        <v>1553</v>
      </c>
      <c r="I203" s="554" t="s">
        <v>2077</v>
      </c>
      <c r="J203" s="554" t="s">
        <v>1551</v>
      </c>
      <c r="K203" s="554" t="s">
        <v>2079</v>
      </c>
      <c r="L203" s="554" t="s">
        <v>1549</v>
      </c>
      <c r="M203" s="554" t="s">
        <v>2597</v>
      </c>
      <c r="N203" s="554" t="s">
        <v>2081</v>
      </c>
      <c r="O203" s="554" t="s">
        <v>2082</v>
      </c>
      <c r="P203" s="554" t="s">
        <v>2083</v>
      </c>
      <c r="Q203" s="554" t="s">
        <v>2084</v>
      </c>
      <c r="R203" s="554" t="s">
        <v>2598</v>
      </c>
      <c r="S203" s="554" t="s">
        <v>920</v>
      </c>
      <c r="T203" s="554" t="s">
        <v>1595</v>
      </c>
      <c r="U203" s="554" t="s">
        <v>2087</v>
      </c>
      <c r="V203" s="554" t="s">
        <v>2088</v>
      </c>
      <c r="W203" s="554" t="s">
        <v>2089</v>
      </c>
      <c r="X203" s="554" t="s">
        <v>2090</v>
      </c>
      <c r="Y203" s="554" t="s">
        <v>2091</v>
      </c>
      <c r="Z203" s="554" t="s">
        <v>2092</v>
      </c>
      <c r="AA203" s="554" t="s">
        <v>2093</v>
      </c>
      <c r="AB203" s="554" t="s">
        <v>2094</v>
      </c>
      <c r="AD203" s="554" t="s">
        <v>2095</v>
      </c>
      <c r="AE203" s="554" t="s">
        <v>2599</v>
      </c>
      <c r="AF203" s="554" t="s">
        <v>2097</v>
      </c>
      <c r="AG203" s="554" t="s">
        <v>2098</v>
      </c>
      <c r="AH203" s="554" t="s">
        <v>2600</v>
      </c>
      <c r="AI203" s="554" t="s">
        <v>2100</v>
      </c>
      <c r="AJ203" s="554" t="s">
        <v>2601</v>
      </c>
      <c r="AK203" s="554" t="s">
        <v>2102</v>
      </c>
      <c r="AL203" s="554" t="s">
        <v>2103</v>
      </c>
      <c r="AN203" s="554" t="s">
        <v>2104</v>
      </c>
      <c r="AP203" s="554" t="s">
        <v>920</v>
      </c>
      <c r="AQ203" s="554" t="s">
        <v>2105</v>
      </c>
      <c r="AR203" s="554" t="s">
        <v>2106</v>
      </c>
      <c r="AS203" s="554" t="s">
        <v>1064</v>
      </c>
      <c r="AT203" s="554" t="s">
        <v>2107</v>
      </c>
      <c r="AU203" s="554" t="s">
        <v>2602</v>
      </c>
      <c r="AV203" s="554" t="s">
        <v>2603</v>
      </c>
      <c r="AW203" s="554" t="s">
        <v>2110</v>
      </c>
      <c r="AX203" s="554" t="s">
        <v>1551</v>
      </c>
      <c r="AY203" s="554" t="s">
        <v>2604</v>
      </c>
      <c r="AZ203" s="554" t="s">
        <v>2605</v>
      </c>
      <c r="BA203" s="554" t="s">
        <v>2113</v>
      </c>
      <c r="BB203" s="554" t="s">
        <v>2606</v>
      </c>
      <c r="BC203" s="554" t="s">
        <v>1988</v>
      </c>
      <c r="BD203" s="554" t="s">
        <v>2115</v>
      </c>
      <c r="BE203" s="554" t="s">
        <v>2116</v>
      </c>
      <c r="BF203" s="554" t="s">
        <v>2117</v>
      </c>
      <c r="BG203" s="554" t="s">
        <v>2079</v>
      </c>
      <c r="BH203" s="554" t="s">
        <v>2607</v>
      </c>
      <c r="BI203" s="554" t="s">
        <v>2118</v>
      </c>
      <c r="BJ203" s="554" t="s">
        <v>2119</v>
      </c>
      <c r="BL203" s="554" t="s">
        <v>2121</v>
      </c>
      <c r="BM203" s="554" t="s">
        <v>2608</v>
      </c>
      <c r="BN203" s="554" t="s">
        <v>2123</v>
      </c>
      <c r="BO203" s="554" t="s">
        <v>1147</v>
      </c>
      <c r="BP203" s="554" t="s">
        <v>2124</v>
      </c>
      <c r="BQ203" s="554" t="s">
        <v>2125</v>
      </c>
      <c r="BS203" s="554" t="s">
        <v>2127</v>
      </c>
      <c r="BU203" s="554" t="s">
        <v>2128</v>
      </c>
      <c r="BV203" s="554" t="s">
        <v>2129</v>
      </c>
      <c r="BW203" s="554" t="s">
        <v>2130</v>
      </c>
      <c r="BX203" s="554" t="s">
        <v>2765</v>
      </c>
      <c r="BY203" s="554" t="s">
        <v>2132</v>
      </c>
      <c r="BZ203" s="554" t="s">
        <v>2609</v>
      </c>
      <c r="CA203" s="554" t="s">
        <v>2134</v>
      </c>
      <c r="CB203" s="554" t="s">
        <v>2610</v>
      </c>
      <c r="CC203" s="554" t="s">
        <v>2135</v>
      </c>
      <c r="CE203" s="554" t="s">
        <v>2099</v>
      </c>
      <c r="CF203" s="554" t="s">
        <v>1550</v>
      </c>
      <c r="CG203" s="554" t="s">
        <v>1987</v>
      </c>
      <c r="CH203" s="554" t="s">
        <v>2611</v>
      </c>
    </row>
    <row r="204" spans="1:99" s="554" customFormat="1" x14ac:dyDescent="0.3">
      <c r="A204" s="553">
        <v>948</v>
      </c>
      <c r="B204" s="554" t="s">
        <v>921</v>
      </c>
      <c r="D204" s="554" t="s">
        <v>2136</v>
      </c>
      <c r="E204" s="554" t="s">
        <v>2137</v>
      </c>
      <c r="F204" s="554" t="s">
        <v>2612</v>
      </c>
      <c r="G204" s="554" t="s">
        <v>1135</v>
      </c>
      <c r="I204" s="554" t="s">
        <v>1596</v>
      </c>
      <c r="J204" s="554" t="s">
        <v>1989</v>
      </c>
      <c r="K204" s="554" t="s">
        <v>2141</v>
      </c>
      <c r="L204" s="554" t="s">
        <v>2142</v>
      </c>
      <c r="M204" s="554" t="s">
        <v>534</v>
      </c>
      <c r="N204" s="554" t="s">
        <v>1304</v>
      </c>
      <c r="O204" s="554" t="s">
        <v>2144</v>
      </c>
      <c r="P204" s="554" t="s">
        <v>2145</v>
      </c>
      <c r="Q204" s="554" t="s">
        <v>2146</v>
      </c>
      <c r="R204" s="554" t="s">
        <v>2613</v>
      </c>
      <c r="S204" s="554" t="s">
        <v>2614</v>
      </c>
      <c r="T204" s="554" t="s">
        <v>2148</v>
      </c>
      <c r="U204" s="554" t="s">
        <v>2149</v>
      </c>
      <c r="V204" s="554" t="s">
        <v>2150</v>
      </c>
      <c r="W204" s="554" t="s">
        <v>2151</v>
      </c>
      <c r="X204" s="554" t="s">
        <v>2152</v>
      </c>
      <c r="Y204" s="554" t="s">
        <v>1554</v>
      </c>
      <c r="Z204" s="554" t="s">
        <v>2153</v>
      </c>
      <c r="AA204" s="554" t="s">
        <v>2154</v>
      </c>
      <c r="AB204" s="554" t="s">
        <v>2155</v>
      </c>
      <c r="AD204" s="554" t="s">
        <v>2156</v>
      </c>
      <c r="AE204" s="554" t="s">
        <v>2615</v>
      </c>
      <c r="AF204" s="554" t="s">
        <v>2158</v>
      </c>
      <c r="AG204" s="554" t="s">
        <v>2159</v>
      </c>
      <c r="AH204" s="554" t="s">
        <v>1990</v>
      </c>
      <c r="AI204" s="554" t="s">
        <v>2161</v>
      </c>
      <c r="AJ204" s="554" t="s">
        <v>1213</v>
      </c>
      <c r="AK204" s="554" t="s">
        <v>2162</v>
      </c>
      <c r="AL204" s="554" t="s">
        <v>2163</v>
      </c>
      <c r="AN204" s="554" t="s">
        <v>2164</v>
      </c>
      <c r="AP204" s="554" t="s">
        <v>2165</v>
      </c>
      <c r="AQ204" s="554" t="s">
        <v>1597</v>
      </c>
      <c r="AR204" s="554" t="s">
        <v>2166</v>
      </c>
      <c r="AS204" s="554" t="s">
        <v>2167</v>
      </c>
      <c r="AT204" s="554" t="s">
        <v>2168</v>
      </c>
      <c r="AU204" s="554" t="s">
        <v>2616</v>
      </c>
      <c r="AV204" s="554" t="s">
        <v>2617</v>
      </c>
      <c r="AW204" s="554" t="s">
        <v>2171</v>
      </c>
      <c r="AX204" s="554" t="s">
        <v>1597</v>
      </c>
      <c r="AY204" s="554" t="s">
        <v>2618</v>
      </c>
      <c r="AZ204" s="554" t="s">
        <v>2619</v>
      </c>
      <c r="BA204" s="554" t="s">
        <v>2174</v>
      </c>
      <c r="BB204" s="554" t="s">
        <v>1554</v>
      </c>
      <c r="BC204" s="554" t="s">
        <v>1338</v>
      </c>
      <c r="BD204" s="554" t="s">
        <v>2176</v>
      </c>
      <c r="BE204" s="554" t="s">
        <v>2177</v>
      </c>
      <c r="BF204" s="554" t="s">
        <v>1556</v>
      </c>
      <c r="BG204" s="554" t="s">
        <v>2178</v>
      </c>
      <c r="BH204" s="554" t="s">
        <v>2620</v>
      </c>
      <c r="BI204" s="554" t="s">
        <v>1299</v>
      </c>
      <c r="BJ204" s="554" t="s">
        <v>2179</v>
      </c>
      <c r="BL204" s="554" t="s">
        <v>2180</v>
      </c>
      <c r="BM204" s="554" t="s">
        <v>1304</v>
      </c>
      <c r="BN204" s="554" t="s">
        <v>2182</v>
      </c>
      <c r="BO204" s="554" t="s">
        <v>2183</v>
      </c>
      <c r="BP204" s="554" t="s">
        <v>2184</v>
      </c>
      <c r="BQ204" s="554" t="s">
        <v>2185</v>
      </c>
      <c r="BS204" s="554" t="s">
        <v>1304</v>
      </c>
      <c r="BU204" s="554" t="s">
        <v>2188</v>
      </c>
      <c r="BV204" s="554" t="s">
        <v>2189</v>
      </c>
      <c r="BW204" s="554" t="s">
        <v>1554</v>
      </c>
      <c r="BX204" s="554" t="s">
        <v>2766</v>
      </c>
      <c r="BY204" s="554" t="s">
        <v>2191</v>
      </c>
      <c r="BZ204" s="554" t="s">
        <v>2621</v>
      </c>
      <c r="CA204" s="554" t="s">
        <v>2193</v>
      </c>
      <c r="CB204" s="554" t="s">
        <v>2622</v>
      </c>
      <c r="CC204" s="554" t="s">
        <v>1554</v>
      </c>
      <c r="CE204" s="554" t="s">
        <v>2195</v>
      </c>
      <c r="CF204" s="554" t="s">
        <v>2196</v>
      </c>
      <c r="CG204" s="554" t="s">
        <v>2197</v>
      </c>
      <c r="CH204" s="554" t="s">
        <v>2623</v>
      </c>
    </row>
    <row r="205" spans="1:99" x14ac:dyDescent="0.3">
      <c r="A205" s="155">
        <v>949</v>
      </c>
      <c r="B205" s="180" t="s">
        <v>922</v>
      </c>
      <c r="C205" s="180"/>
      <c r="D205" s="180" t="s">
        <v>410</v>
      </c>
      <c r="E205" s="180" t="s">
        <v>410</v>
      </c>
      <c r="F205" s="180" t="s">
        <v>410</v>
      </c>
      <c r="G205" s="180" t="s">
        <v>410</v>
      </c>
      <c r="H205" s="180"/>
      <c r="I205" s="180" t="s">
        <v>410</v>
      </c>
      <c r="J205" s="180" t="s">
        <v>428</v>
      </c>
      <c r="K205" s="180" t="s">
        <v>410</v>
      </c>
      <c r="L205" s="180" t="s">
        <v>410</v>
      </c>
      <c r="M205" s="180" t="s">
        <v>428</v>
      </c>
      <c r="N205" s="180" t="s">
        <v>410</v>
      </c>
      <c r="O205" s="180" t="s">
        <v>410</v>
      </c>
      <c r="P205" s="180" t="s">
        <v>410</v>
      </c>
      <c r="Q205" s="180" t="s">
        <v>410</v>
      </c>
      <c r="R205" s="180" t="s">
        <v>410</v>
      </c>
      <c r="S205" s="180" t="s">
        <v>410</v>
      </c>
      <c r="T205" s="180" t="s">
        <v>410</v>
      </c>
      <c r="U205" s="180" t="s">
        <v>410</v>
      </c>
      <c r="V205" s="180" t="s">
        <v>410</v>
      </c>
      <c r="W205" s="180" t="s">
        <v>410</v>
      </c>
      <c r="X205" s="180" t="s">
        <v>410</v>
      </c>
      <c r="Y205" s="180" t="s">
        <v>410</v>
      </c>
      <c r="Z205" s="180" t="s">
        <v>410</v>
      </c>
      <c r="AA205" s="180" t="s">
        <v>410</v>
      </c>
      <c r="AB205" s="180" t="s">
        <v>410</v>
      </c>
      <c r="AC205" s="180"/>
      <c r="AD205" s="180" t="s">
        <v>410</v>
      </c>
      <c r="AE205" s="180" t="s">
        <v>410</v>
      </c>
      <c r="AF205" s="180" t="s">
        <v>410</v>
      </c>
      <c r="AG205" s="180" t="s">
        <v>410</v>
      </c>
      <c r="AH205" s="180" t="s">
        <v>410</v>
      </c>
      <c r="AI205" s="180" t="s">
        <v>410</v>
      </c>
      <c r="AJ205" s="180" t="s">
        <v>410</v>
      </c>
      <c r="AK205" s="180" t="s">
        <v>410</v>
      </c>
      <c r="AL205" s="180" t="s">
        <v>410</v>
      </c>
      <c r="AM205" s="180"/>
      <c r="AN205" s="180" t="s">
        <v>410</v>
      </c>
      <c r="AO205" s="180"/>
      <c r="AP205" s="180" t="s">
        <v>410</v>
      </c>
      <c r="AQ205" s="180" t="s">
        <v>410</v>
      </c>
      <c r="AR205" s="180" t="s">
        <v>410</v>
      </c>
      <c r="AS205" s="180" t="s">
        <v>428</v>
      </c>
      <c r="AT205" s="180" t="s">
        <v>410</v>
      </c>
      <c r="AU205" s="180" t="s">
        <v>410</v>
      </c>
      <c r="AV205" s="180" t="s">
        <v>410</v>
      </c>
      <c r="AW205" s="180" t="s">
        <v>410</v>
      </c>
      <c r="AX205" s="180" t="s">
        <v>410</v>
      </c>
      <c r="AY205" s="180" t="s">
        <v>410</v>
      </c>
      <c r="AZ205" s="180" t="s">
        <v>410</v>
      </c>
      <c r="BA205" s="180" t="s">
        <v>410</v>
      </c>
      <c r="BB205" s="180" t="s">
        <v>428</v>
      </c>
      <c r="BC205" s="180" t="s">
        <v>410</v>
      </c>
      <c r="BD205" s="180" t="s">
        <v>410</v>
      </c>
      <c r="BE205" s="180" t="s">
        <v>410</v>
      </c>
      <c r="BF205" s="180" t="s">
        <v>410</v>
      </c>
      <c r="BG205" s="180" t="s">
        <v>410</v>
      </c>
      <c r="BH205" s="180" t="s">
        <v>410</v>
      </c>
      <c r="BI205" s="180" t="s">
        <v>410</v>
      </c>
      <c r="BJ205" s="180" t="s">
        <v>410</v>
      </c>
      <c r="BK205" s="180"/>
      <c r="BL205" s="180" t="s">
        <v>410</v>
      </c>
      <c r="BM205" s="180" t="s">
        <v>410</v>
      </c>
      <c r="BN205" s="180" t="s">
        <v>410</v>
      </c>
      <c r="BO205" s="180" t="s">
        <v>410</v>
      </c>
      <c r="BP205" s="180" t="s">
        <v>410</v>
      </c>
      <c r="BQ205" s="180" t="s">
        <v>410</v>
      </c>
      <c r="BR205" s="180"/>
      <c r="BS205" s="180" t="s">
        <v>410</v>
      </c>
      <c r="BT205" s="180"/>
      <c r="BU205" s="180" t="s">
        <v>410</v>
      </c>
      <c r="BV205" s="180" t="s">
        <v>410</v>
      </c>
      <c r="BW205" s="180" t="s">
        <v>410</v>
      </c>
      <c r="BX205" s="180" t="s">
        <v>428</v>
      </c>
      <c r="BY205" s="180" t="s">
        <v>410</v>
      </c>
      <c r="BZ205" s="180" t="s">
        <v>410</v>
      </c>
      <c r="CA205" s="180" t="s">
        <v>410</v>
      </c>
      <c r="CB205" s="180" t="s">
        <v>428</v>
      </c>
      <c r="CC205" s="180" t="s">
        <v>410</v>
      </c>
      <c r="CD205" s="180"/>
      <c r="CE205" s="180" t="s">
        <v>410</v>
      </c>
      <c r="CF205" s="180" t="s">
        <v>410</v>
      </c>
      <c r="CG205" s="180" t="s">
        <v>410</v>
      </c>
      <c r="CH205" s="180" t="s">
        <v>410</v>
      </c>
      <c r="CI205" s="180"/>
      <c r="CJ205" s="180"/>
      <c r="CK205" s="180"/>
      <c r="CL205" s="180"/>
      <c r="CM205" s="180"/>
      <c r="CN205" s="180"/>
      <c r="CO205" s="180"/>
      <c r="CP205" s="180"/>
      <c r="CQ205" s="180"/>
      <c r="CR205" s="180"/>
      <c r="CS205" s="180"/>
      <c r="CT205" s="180"/>
      <c r="CU205" s="180"/>
    </row>
    <row r="206" spans="1:99" x14ac:dyDescent="0.3">
      <c r="A206" s="155">
        <v>950</v>
      </c>
      <c r="B206" s="180" t="s">
        <v>923</v>
      </c>
      <c r="C206" s="180"/>
      <c r="D206" s="180" t="s">
        <v>50</v>
      </c>
      <c r="E206" s="180" t="s">
        <v>50</v>
      </c>
      <c r="F206" s="180" t="s">
        <v>50</v>
      </c>
      <c r="G206" s="180" t="s">
        <v>50</v>
      </c>
      <c r="H206" s="180"/>
      <c r="I206" s="180" t="s">
        <v>50</v>
      </c>
      <c r="J206" s="180" t="s">
        <v>50</v>
      </c>
      <c r="K206" s="180" t="s">
        <v>50</v>
      </c>
      <c r="L206" s="180" t="s">
        <v>50</v>
      </c>
      <c r="M206" s="180" t="s">
        <v>50</v>
      </c>
      <c r="N206" s="180" t="s">
        <v>50</v>
      </c>
      <c r="O206" s="180" t="s">
        <v>50</v>
      </c>
      <c r="P206" s="180" t="s">
        <v>50</v>
      </c>
      <c r="Q206" s="180" t="s">
        <v>50</v>
      </c>
      <c r="R206" s="180" t="s">
        <v>50</v>
      </c>
      <c r="S206" s="180" t="s">
        <v>50</v>
      </c>
      <c r="T206" s="180" t="s">
        <v>50</v>
      </c>
      <c r="U206" s="180" t="s">
        <v>50</v>
      </c>
      <c r="V206" s="180" t="s">
        <v>50</v>
      </c>
      <c r="W206" s="180" t="s">
        <v>50</v>
      </c>
      <c r="X206" s="180" t="s">
        <v>50</v>
      </c>
      <c r="Y206" s="180" t="s">
        <v>50</v>
      </c>
      <c r="Z206" s="180" t="s">
        <v>50</v>
      </c>
      <c r="AA206" s="180" t="s">
        <v>50</v>
      </c>
      <c r="AB206" s="180" t="s">
        <v>50</v>
      </c>
      <c r="AC206" s="180"/>
      <c r="AD206" s="180" t="s">
        <v>50</v>
      </c>
      <c r="AE206" s="180" t="s">
        <v>50</v>
      </c>
      <c r="AF206" s="180" t="s">
        <v>50</v>
      </c>
      <c r="AG206" s="180" t="s">
        <v>50</v>
      </c>
      <c r="AH206" s="180" t="s">
        <v>50</v>
      </c>
      <c r="AI206" s="180" t="s">
        <v>50</v>
      </c>
      <c r="AJ206" s="180" t="s">
        <v>50</v>
      </c>
      <c r="AK206" s="180" t="s">
        <v>50</v>
      </c>
      <c r="AL206" s="180" t="s">
        <v>50</v>
      </c>
      <c r="AM206" s="180"/>
      <c r="AN206" s="180" t="s">
        <v>50</v>
      </c>
      <c r="AO206" s="180"/>
      <c r="AP206" s="180" t="s">
        <v>51</v>
      </c>
      <c r="AQ206" s="180" t="s">
        <v>50</v>
      </c>
      <c r="AR206" s="180" t="s">
        <v>50</v>
      </c>
      <c r="AS206" s="180" t="s">
        <v>50</v>
      </c>
      <c r="AT206" s="180" t="s">
        <v>50</v>
      </c>
      <c r="AU206" s="180" t="s">
        <v>50</v>
      </c>
      <c r="AV206" s="180" t="s">
        <v>50</v>
      </c>
      <c r="AW206" s="180" t="s">
        <v>50</v>
      </c>
      <c r="AX206" s="180" t="s">
        <v>50</v>
      </c>
      <c r="AY206" s="180" t="s">
        <v>50</v>
      </c>
      <c r="AZ206" s="180" t="s">
        <v>50</v>
      </c>
      <c r="BA206" s="180" t="s">
        <v>50</v>
      </c>
      <c r="BB206" s="180" t="s">
        <v>50</v>
      </c>
      <c r="BC206" s="180" t="s">
        <v>50</v>
      </c>
      <c r="BD206" s="180" t="s">
        <v>50</v>
      </c>
      <c r="BE206" s="180" t="s">
        <v>50</v>
      </c>
      <c r="BF206" s="180" t="s">
        <v>50</v>
      </c>
      <c r="BG206" s="180" t="s">
        <v>50</v>
      </c>
      <c r="BH206" s="180" t="s">
        <v>50</v>
      </c>
      <c r="BI206" s="180" t="s">
        <v>50</v>
      </c>
      <c r="BJ206" s="180" t="s">
        <v>50</v>
      </c>
      <c r="BK206" s="180"/>
      <c r="BL206" s="180" t="s">
        <v>50</v>
      </c>
      <c r="BM206" s="180" t="s">
        <v>50</v>
      </c>
      <c r="BN206" s="180" t="s">
        <v>50</v>
      </c>
      <c r="BO206" s="180" t="s">
        <v>50</v>
      </c>
      <c r="BP206" s="180" t="s">
        <v>50</v>
      </c>
      <c r="BQ206" s="180" t="s">
        <v>50</v>
      </c>
      <c r="BR206" s="180"/>
      <c r="BS206" s="180" t="s">
        <v>50</v>
      </c>
      <c r="BT206" s="180"/>
      <c r="BU206" s="180" t="s">
        <v>50</v>
      </c>
      <c r="BV206" s="180" t="s">
        <v>50</v>
      </c>
      <c r="BW206" s="180" t="s">
        <v>50</v>
      </c>
      <c r="BX206" s="180" t="s">
        <v>50</v>
      </c>
      <c r="BY206" s="180" t="s">
        <v>50</v>
      </c>
      <c r="BZ206" s="180" t="s">
        <v>50</v>
      </c>
      <c r="CA206" s="180" t="s">
        <v>50</v>
      </c>
      <c r="CB206" s="180" t="s">
        <v>50</v>
      </c>
      <c r="CC206" s="180" t="s">
        <v>50</v>
      </c>
      <c r="CD206" s="180"/>
      <c r="CE206" s="180" t="s">
        <v>50</v>
      </c>
      <c r="CF206" s="180" t="s">
        <v>50</v>
      </c>
      <c r="CG206" s="180" t="s">
        <v>50</v>
      </c>
      <c r="CH206" s="180" t="s">
        <v>50</v>
      </c>
      <c r="CI206" s="180"/>
      <c r="CJ206" s="180"/>
      <c r="CK206" s="180"/>
      <c r="CL206" s="180"/>
      <c r="CM206" s="180"/>
      <c r="CN206" s="180"/>
      <c r="CO206" s="180"/>
      <c r="CP206" s="180"/>
      <c r="CQ206" s="180"/>
      <c r="CR206" s="180"/>
      <c r="CS206" s="180"/>
      <c r="CT206" s="180"/>
      <c r="CU206" s="180"/>
    </row>
    <row r="207" spans="1:99" x14ac:dyDescent="0.3">
      <c r="A207" s="155">
        <v>951</v>
      </c>
      <c r="B207" s="180" t="s">
        <v>924</v>
      </c>
      <c r="C207" s="180"/>
      <c r="D207" s="180">
        <v>2</v>
      </c>
      <c r="E207" s="180">
        <v>2</v>
      </c>
      <c r="F207" s="180">
        <v>2</v>
      </c>
      <c r="G207" s="180">
        <v>1</v>
      </c>
      <c r="H207" s="180"/>
      <c r="I207" s="180">
        <v>2</v>
      </c>
      <c r="J207" s="180">
        <v>2</v>
      </c>
      <c r="K207" s="180">
        <v>2</v>
      </c>
      <c r="L207" s="180">
        <v>2</v>
      </c>
      <c r="M207" s="180">
        <v>2</v>
      </c>
      <c r="N207" s="180">
        <v>2</v>
      </c>
      <c r="O207" s="180">
        <v>2</v>
      </c>
      <c r="P207" s="180">
        <v>1</v>
      </c>
      <c r="Q207" s="180">
        <v>1</v>
      </c>
      <c r="R207" s="180">
        <v>2</v>
      </c>
      <c r="S207" s="180">
        <v>2</v>
      </c>
      <c r="T207" s="180">
        <v>2</v>
      </c>
      <c r="U207" s="180">
        <v>2</v>
      </c>
      <c r="V207" s="180">
        <v>1</v>
      </c>
      <c r="W207" s="180">
        <v>2</v>
      </c>
      <c r="X207" s="180">
        <v>2</v>
      </c>
      <c r="Y207" s="180">
        <v>2</v>
      </c>
      <c r="Z207" s="180">
        <v>2</v>
      </c>
      <c r="AA207" s="180">
        <v>2</v>
      </c>
      <c r="AB207" s="180">
        <v>2</v>
      </c>
      <c r="AC207" s="180"/>
      <c r="AD207" s="180">
        <v>2</v>
      </c>
      <c r="AE207" s="180">
        <v>2</v>
      </c>
      <c r="AF207" s="180">
        <v>2</v>
      </c>
      <c r="AG207" s="180">
        <v>2</v>
      </c>
      <c r="AH207" s="180">
        <v>2</v>
      </c>
      <c r="AI207" s="180">
        <v>2</v>
      </c>
      <c r="AJ207" s="180">
        <v>2</v>
      </c>
      <c r="AK207" s="180">
        <v>2</v>
      </c>
      <c r="AL207" s="180">
        <v>2</v>
      </c>
      <c r="AM207" s="180"/>
      <c r="AN207" s="180">
        <v>2</v>
      </c>
      <c r="AO207" s="180"/>
      <c r="AP207" s="180">
        <v>2</v>
      </c>
      <c r="AQ207" s="180">
        <v>2</v>
      </c>
      <c r="AR207" s="180">
        <v>1</v>
      </c>
      <c r="AS207" s="180">
        <v>2</v>
      </c>
      <c r="AT207" s="180">
        <v>2</v>
      </c>
      <c r="AU207" s="180">
        <v>1</v>
      </c>
      <c r="AV207" s="180">
        <v>2</v>
      </c>
      <c r="AW207" s="180">
        <v>2</v>
      </c>
      <c r="AX207" s="180">
        <v>2</v>
      </c>
      <c r="AY207" s="180">
        <v>2</v>
      </c>
      <c r="AZ207" s="180">
        <v>2</v>
      </c>
      <c r="BA207" s="180">
        <v>2</v>
      </c>
      <c r="BB207" s="180">
        <v>2</v>
      </c>
      <c r="BC207" s="180">
        <v>2</v>
      </c>
      <c r="BD207" s="180">
        <v>2</v>
      </c>
      <c r="BE207" s="180">
        <v>2</v>
      </c>
      <c r="BF207" s="180">
        <v>2</v>
      </c>
      <c r="BG207" s="180">
        <v>2</v>
      </c>
      <c r="BH207" s="180">
        <v>2</v>
      </c>
      <c r="BI207" s="180">
        <v>2</v>
      </c>
      <c r="BJ207" s="180">
        <v>2</v>
      </c>
      <c r="BK207" s="180"/>
      <c r="BL207" s="180">
        <v>2</v>
      </c>
      <c r="BM207" s="180">
        <v>2</v>
      </c>
      <c r="BN207" s="180">
        <v>2</v>
      </c>
      <c r="BO207" s="180">
        <v>2</v>
      </c>
      <c r="BP207" s="180">
        <v>2</v>
      </c>
      <c r="BQ207" s="180">
        <v>1</v>
      </c>
      <c r="BR207" s="180"/>
      <c r="BS207" s="180">
        <v>2</v>
      </c>
      <c r="BT207" s="180"/>
      <c r="BU207" s="180">
        <v>2</v>
      </c>
      <c r="BV207" s="180">
        <v>2</v>
      </c>
      <c r="BW207" s="180">
        <v>2</v>
      </c>
      <c r="BX207" s="180">
        <v>2</v>
      </c>
      <c r="BY207" s="180">
        <v>2</v>
      </c>
      <c r="BZ207" s="180">
        <v>2</v>
      </c>
      <c r="CA207" s="180">
        <v>2</v>
      </c>
      <c r="CB207" s="180">
        <v>1</v>
      </c>
      <c r="CC207" s="180">
        <v>2</v>
      </c>
      <c r="CD207" s="180"/>
      <c r="CE207" s="180">
        <v>2</v>
      </c>
      <c r="CF207" s="180">
        <v>2</v>
      </c>
      <c r="CG207" s="180">
        <v>2</v>
      </c>
      <c r="CH207" s="180">
        <v>2</v>
      </c>
      <c r="CI207" s="180"/>
      <c r="CJ207" s="180"/>
      <c r="CK207" s="180"/>
      <c r="CL207" s="180"/>
      <c r="CM207" s="180"/>
      <c r="CN207" s="180"/>
      <c r="CO207" s="180"/>
      <c r="CP207" s="180"/>
      <c r="CQ207" s="180"/>
      <c r="CR207" s="180"/>
      <c r="CS207" s="180"/>
      <c r="CT207" s="180"/>
      <c r="CU207" s="180"/>
    </row>
    <row r="208" spans="1:99" x14ac:dyDescent="0.3">
      <c r="A208" s="155">
        <v>952</v>
      </c>
      <c r="B208" s="180" t="s">
        <v>925</v>
      </c>
      <c r="C208" s="180"/>
      <c r="D208" s="180"/>
      <c r="E208" s="180" t="s">
        <v>2201</v>
      </c>
      <c r="F208" s="180"/>
      <c r="G208" s="180"/>
      <c r="H208" s="180"/>
      <c r="I208" s="180" t="s">
        <v>2204</v>
      </c>
      <c r="J208" s="180"/>
      <c r="K208" s="180" t="s">
        <v>2206</v>
      </c>
      <c r="L208" s="180" t="s">
        <v>927</v>
      </c>
      <c r="M208" s="180" t="s">
        <v>2002</v>
      </c>
      <c r="N208" s="180"/>
      <c r="O208" s="180"/>
      <c r="P208" s="180" t="s">
        <v>2204</v>
      </c>
      <c r="Q208" s="180"/>
      <c r="R208" s="180"/>
      <c r="S208" s="180" t="s">
        <v>2624</v>
      </c>
      <c r="T208" s="180"/>
      <c r="U208" s="180"/>
      <c r="V208" s="180" t="s">
        <v>2209</v>
      </c>
      <c r="W208" s="180" t="s">
        <v>2210</v>
      </c>
      <c r="X208" s="180" t="s">
        <v>2211</v>
      </c>
      <c r="Y208" s="180" t="s">
        <v>2212</v>
      </c>
      <c r="Z208" s="180" t="s">
        <v>2213</v>
      </c>
      <c r="AA208" s="180"/>
      <c r="AB208" s="180"/>
      <c r="AC208" s="180"/>
      <c r="AD208" s="180" t="s">
        <v>2215</v>
      </c>
      <c r="AE208" s="180" t="s">
        <v>2216</v>
      </c>
      <c r="AF208" s="180" t="s">
        <v>2217</v>
      </c>
      <c r="AG208" s="180"/>
      <c r="AH208" s="180"/>
      <c r="AI208" s="180"/>
      <c r="AJ208" s="180"/>
      <c r="AK208" s="180"/>
      <c r="AL208" s="180" t="s">
        <v>1598</v>
      </c>
      <c r="AM208" s="180"/>
      <c r="AN208" s="180" t="s">
        <v>2224</v>
      </c>
      <c r="AO208" s="180"/>
      <c r="AP208" s="180"/>
      <c r="AQ208" s="180" t="s">
        <v>2225</v>
      </c>
      <c r="AR208" s="180" t="s">
        <v>2226</v>
      </c>
      <c r="AS208" s="180" t="s">
        <v>1598</v>
      </c>
      <c r="AT208" s="180" t="s">
        <v>2228</v>
      </c>
      <c r="AU208" s="180"/>
      <c r="AV208" s="180" t="s">
        <v>2625</v>
      </c>
      <c r="AW208" s="180" t="s">
        <v>2229</v>
      </c>
      <c r="AX208" s="180" t="s">
        <v>2230</v>
      </c>
      <c r="AY208" s="180" t="s">
        <v>2026</v>
      </c>
      <c r="AZ208" s="180"/>
      <c r="BA208" s="180" t="s">
        <v>2233</v>
      </c>
      <c r="BB208" s="180"/>
      <c r="BC208" s="180" t="s">
        <v>2235</v>
      </c>
      <c r="BD208" s="180" t="s">
        <v>2236</v>
      </c>
      <c r="BE208" s="180" t="s">
        <v>2204</v>
      </c>
      <c r="BF208" s="180"/>
      <c r="BG208" s="180" t="s">
        <v>2237</v>
      </c>
      <c r="BH208" s="180"/>
      <c r="BI208" s="180"/>
      <c r="BJ208" s="180" t="s">
        <v>2238</v>
      </c>
      <c r="BK208" s="180"/>
      <c r="BL208" s="180" t="s">
        <v>2239</v>
      </c>
      <c r="BM208" s="180" t="s">
        <v>2240</v>
      </c>
      <c r="BN208" s="180" t="s">
        <v>2241</v>
      </c>
      <c r="BO208" s="180"/>
      <c r="BP208" s="180" t="s">
        <v>2243</v>
      </c>
      <c r="BQ208" s="180" t="s">
        <v>2244</v>
      </c>
      <c r="BR208" s="180"/>
      <c r="BS208" s="180" t="s">
        <v>2245</v>
      </c>
      <c r="BT208" s="180"/>
      <c r="BU208" s="180"/>
      <c r="BV208" s="180" t="s">
        <v>2247</v>
      </c>
      <c r="BW208" s="180" t="s">
        <v>2248</v>
      </c>
      <c r="BX208" s="180" t="s">
        <v>2013</v>
      </c>
      <c r="BY208" s="180"/>
      <c r="BZ208" s="180"/>
      <c r="CA208" s="180"/>
      <c r="CB208" s="180" t="s">
        <v>2030</v>
      </c>
      <c r="CC208" s="180" t="s">
        <v>2217</v>
      </c>
      <c r="CD208" s="180"/>
      <c r="CE208" s="180" t="s">
        <v>2250</v>
      </c>
      <c r="CF208" s="180"/>
      <c r="CG208" s="180" t="s">
        <v>2252</v>
      </c>
      <c r="CH208" s="180" t="s">
        <v>2253</v>
      </c>
      <c r="CI208" s="180"/>
      <c r="CJ208" s="180"/>
      <c r="CK208" s="180"/>
      <c r="CL208" s="180"/>
      <c r="CM208" s="180"/>
      <c r="CN208" s="180"/>
      <c r="CO208" s="180"/>
      <c r="CP208" s="180"/>
      <c r="CQ208" s="180"/>
      <c r="CR208" s="180"/>
      <c r="CS208" s="180"/>
      <c r="CT208" s="180"/>
      <c r="CU208" s="180"/>
    </row>
    <row r="209" spans="1:99" s="554" customFormat="1" x14ac:dyDescent="0.3">
      <c r="A209" s="553">
        <v>953</v>
      </c>
      <c r="B209" s="554" t="s">
        <v>929</v>
      </c>
      <c r="D209" s="554">
        <v>2</v>
      </c>
      <c r="E209" s="554">
        <v>2</v>
      </c>
      <c r="F209" s="554">
        <v>2</v>
      </c>
      <c r="G209" s="554">
        <v>2</v>
      </c>
      <c r="I209" s="554">
        <v>2</v>
      </c>
      <c r="J209" s="554">
        <v>2</v>
      </c>
      <c r="K209" s="554">
        <v>2</v>
      </c>
      <c r="L209" s="554">
        <v>2</v>
      </c>
      <c r="M209" s="554">
        <v>2</v>
      </c>
      <c r="N209" s="554">
        <v>2</v>
      </c>
      <c r="O209" s="554">
        <v>2</v>
      </c>
      <c r="P209" s="554">
        <v>2</v>
      </c>
      <c r="Q209" s="554">
        <v>2</v>
      </c>
      <c r="R209" s="554">
        <v>2</v>
      </c>
      <c r="S209" s="554">
        <v>2</v>
      </c>
      <c r="T209" s="554">
        <v>2</v>
      </c>
      <c r="U209" s="554">
        <v>2</v>
      </c>
      <c r="V209" s="554">
        <v>2</v>
      </c>
      <c r="W209" s="554">
        <v>2</v>
      </c>
      <c r="X209" s="554">
        <v>2</v>
      </c>
      <c r="Y209" s="554">
        <v>2</v>
      </c>
      <c r="Z209" s="554">
        <v>2</v>
      </c>
      <c r="AA209" s="554">
        <v>2</v>
      </c>
      <c r="AB209" s="554">
        <v>2</v>
      </c>
      <c r="AD209" s="554">
        <v>2</v>
      </c>
      <c r="AE209" s="554">
        <v>2</v>
      </c>
      <c r="AF209" s="554">
        <v>2</v>
      </c>
      <c r="AG209" s="554">
        <v>2</v>
      </c>
      <c r="AH209" s="554">
        <v>2</v>
      </c>
      <c r="AI209" s="554">
        <v>2</v>
      </c>
      <c r="AJ209" s="554">
        <v>2</v>
      </c>
      <c r="AK209" s="554">
        <v>2</v>
      </c>
      <c r="AL209" s="554">
        <v>2</v>
      </c>
      <c r="AN209" s="554">
        <v>2</v>
      </c>
      <c r="AP209" s="554">
        <v>2</v>
      </c>
      <c r="AQ209" s="554">
        <v>2</v>
      </c>
      <c r="AR209" s="554">
        <v>2</v>
      </c>
      <c r="AS209" s="554">
        <v>2</v>
      </c>
      <c r="AT209" s="554">
        <v>2</v>
      </c>
      <c r="AU209" s="554">
        <v>2</v>
      </c>
      <c r="AV209" s="554">
        <v>2</v>
      </c>
      <c r="AW209" s="554">
        <v>2</v>
      </c>
      <c r="AX209" s="554">
        <v>2</v>
      </c>
      <c r="AY209" s="554">
        <v>2</v>
      </c>
      <c r="AZ209" s="554">
        <v>2</v>
      </c>
      <c r="BA209" s="554">
        <v>2</v>
      </c>
      <c r="BB209" s="554">
        <v>2</v>
      </c>
      <c r="BC209" s="554">
        <v>2</v>
      </c>
      <c r="BD209" s="554">
        <v>2</v>
      </c>
      <c r="BE209" s="554">
        <v>2</v>
      </c>
      <c r="BF209" s="554">
        <v>2</v>
      </c>
      <c r="BG209" s="554">
        <v>2</v>
      </c>
      <c r="BH209" s="554">
        <v>2</v>
      </c>
      <c r="BI209" s="554">
        <v>2</v>
      </c>
      <c r="BJ209" s="554">
        <v>2</v>
      </c>
      <c r="BL209" s="554">
        <v>2</v>
      </c>
      <c r="BM209" s="554">
        <v>2</v>
      </c>
      <c r="BN209" s="554">
        <v>2</v>
      </c>
      <c r="BO209" s="554">
        <v>2</v>
      </c>
      <c r="BP209" s="554">
        <v>2</v>
      </c>
      <c r="BQ209" s="554">
        <v>2</v>
      </c>
      <c r="BS209" s="554">
        <v>2</v>
      </c>
      <c r="BU209" s="554">
        <v>2</v>
      </c>
      <c r="BV209" s="554">
        <v>2</v>
      </c>
      <c r="BW209" s="554">
        <v>2</v>
      </c>
      <c r="BX209" s="554">
        <v>2</v>
      </c>
      <c r="BY209" s="554">
        <v>2</v>
      </c>
      <c r="BZ209" s="554">
        <v>2</v>
      </c>
      <c r="CA209" s="554">
        <v>2</v>
      </c>
      <c r="CB209" s="554">
        <v>2</v>
      </c>
      <c r="CC209" s="554">
        <v>2</v>
      </c>
      <c r="CE209" s="554">
        <v>2</v>
      </c>
      <c r="CF209" s="554">
        <v>2</v>
      </c>
      <c r="CG209" s="554">
        <v>2</v>
      </c>
      <c r="CH209" s="554">
        <v>2</v>
      </c>
    </row>
    <row r="210" spans="1:99" s="559" customFormat="1" x14ac:dyDescent="0.3">
      <c r="A210" s="558">
        <v>955</v>
      </c>
      <c r="B210" s="559" t="s">
        <v>930</v>
      </c>
      <c r="D210" s="559">
        <v>1</v>
      </c>
      <c r="E210" s="559">
        <v>0</v>
      </c>
      <c r="F210" s="559">
        <v>0</v>
      </c>
      <c r="G210" s="559">
        <v>0</v>
      </c>
      <c r="I210" s="559">
        <v>0</v>
      </c>
      <c r="J210" s="559">
        <v>1</v>
      </c>
      <c r="K210" s="559">
        <v>0</v>
      </c>
      <c r="L210" s="559">
        <v>0</v>
      </c>
      <c r="M210" s="559">
        <v>0</v>
      </c>
      <c r="N210" s="559">
        <v>0</v>
      </c>
      <c r="O210" s="559">
        <v>0</v>
      </c>
      <c r="P210" s="559">
        <v>0</v>
      </c>
      <c r="Q210" s="559">
        <v>0</v>
      </c>
      <c r="R210" s="559">
        <v>1</v>
      </c>
      <c r="S210" s="559">
        <v>0</v>
      </c>
      <c r="T210" s="559">
        <v>1</v>
      </c>
      <c r="U210" s="559">
        <v>0</v>
      </c>
      <c r="V210" s="559">
        <v>2</v>
      </c>
      <c r="W210" s="559">
        <v>2</v>
      </c>
      <c r="X210" s="559">
        <v>0</v>
      </c>
      <c r="Y210" s="559">
        <v>0</v>
      </c>
      <c r="Z210" s="559">
        <v>0</v>
      </c>
      <c r="AA210" s="559">
        <v>0</v>
      </c>
      <c r="AB210" s="559">
        <v>0</v>
      </c>
      <c r="AD210" s="559">
        <v>0</v>
      </c>
      <c r="AE210" s="559">
        <v>0</v>
      </c>
      <c r="AF210" s="559">
        <v>0</v>
      </c>
      <c r="AG210" s="559">
        <v>0</v>
      </c>
      <c r="AH210" s="559">
        <v>0</v>
      </c>
      <c r="AI210" s="559">
        <v>0</v>
      </c>
      <c r="AJ210" s="559">
        <v>0</v>
      </c>
      <c r="AK210" s="559">
        <v>0</v>
      </c>
      <c r="AL210" s="559">
        <v>0</v>
      </c>
      <c r="AN210" s="559">
        <v>0</v>
      </c>
      <c r="AP210" s="559">
        <v>0</v>
      </c>
      <c r="AQ210" s="559">
        <v>0</v>
      </c>
      <c r="AR210" s="559">
        <v>0</v>
      </c>
      <c r="AS210" s="559">
        <v>0</v>
      </c>
      <c r="AT210" s="559">
        <v>0</v>
      </c>
      <c r="AU210" s="559">
        <v>0</v>
      </c>
      <c r="AV210" s="1041">
        <v>0</v>
      </c>
      <c r="AW210" s="559">
        <v>0</v>
      </c>
      <c r="AX210" s="559">
        <v>4</v>
      </c>
      <c r="AY210" s="559">
        <v>1</v>
      </c>
      <c r="AZ210" s="559">
        <v>0</v>
      </c>
      <c r="BA210" s="559">
        <v>0</v>
      </c>
      <c r="BB210" s="559">
        <v>0</v>
      </c>
      <c r="BC210" s="559">
        <v>0</v>
      </c>
      <c r="BD210" s="559">
        <v>0</v>
      </c>
      <c r="BE210" s="559">
        <v>0</v>
      </c>
      <c r="BF210" s="559">
        <v>0</v>
      </c>
      <c r="BG210" s="559">
        <v>0</v>
      </c>
      <c r="BH210" s="559">
        <v>1</v>
      </c>
      <c r="BI210" s="559">
        <v>0</v>
      </c>
      <c r="BJ210" s="559">
        <v>0</v>
      </c>
      <c r="BL210" s="559">
        <v>1</v>
      </c>
      <c r="BM210" s="559">
        <v>0</v>
      </c>
      <c r="BN210" s="559">
        <v>0</v>
      </c>
      <c r="BO210" s="559">
        <v>1</v>
      </c>
      <c r="BP210" s="559">
        <v>1</v>
      </c>
      <c r="BQ210" s="559">
        <v>0</v>
      </c>
      <c r="BS210" s="559">
        <v>0</v>
      </c>
      <c r="BU210" s="559">
        <v>1</v>
      </c>
      <c r="BV210" s="559">
        <v>0</v>
      </c>
      <c r="BW210" s="559">
        <v>0</v>
      </c>
      <c r="BX210" s="559">
        <v>0</v>
      </c>
      <c r="BY210" s="559">
        <v>0</v>
      </c>
      <c r="BZ210" s="559">
        <v>0</v>
      </c>
      <c r="CA210" s="559">
        <v>0</v>
      </c>
      <c r="CB210" s="559">
        <v>0</v>
      </c>
      <c r="CC210" s="559">
        <v>1</v>
      </c>
      <c r="CE210" s="559">
        <v>0</v>
      </c>
      <c r="CF210" s="559">
        <v>0</v>
      </c>
      <c r="CG210" s="559">
        <v>0</v>
      </c>
      <c r="CH210" s="559">
        <v>0</v>
      </c>
    </row>
    <row r="211" spans="1:99" s="554" customFormat="1" x14ac:dyDescent="0.3">
      <c r="A211" s="553">
        <v>957</v>
      </c>
      <c r="B211" s="554" t="s">
        <v>931</v>
      </c>
      <c r="D211" s="554">
        <v>0</v>
      </c>
      <c r="E211" s="554">
        <v>0</v>
      </c>
      <c r="F211" s="554">
        <v>0</v>
      </c>
      <c r="G211" s="554">
        <v>0</v>
      </c>
      <c r="I211" s="554">
        <v>1</v>
      </c>
      <c r="J211" s="554">
        <v>0</v>
      </c>
      <c r="K211" s="554">
        <v>0</v>
      </c>
      <c r="L211" s="554">
        <v>0</v>
      </c>
      <c r="M211" s="554">
        <v>1</v>
      </c>
      <c r="N211" s="554">
        <v>1</v>
      </c>
      <c r="O211" s="554">
        <v>0</v>
      </c>
      <c r="P211" s="554">
        <v>0</v>
      </c>
      <c r="Q211" s="554">
        <v>0</v>
      </c>
      <c r="R211" s="554">
        <v>1</v>
      </c>
      <c r="S211" s="554">
        <v>0</v>
      </c>
      <c r="T211" s="554">
        <v>0</v>
      </c>
      <c r="U211" s="554">
        <v>0</v>
      </c>
      <c r="V211" s="554">
        <v>1</v>
      </c>
      <c r="W211" s="554">
        <v>0</v>
      </c>
      <c r="X211" s="554">
        <v>0</v>
      </c>
      <c r="Y211" s="554">
        <v>0</v>
      </c>
      <c r="Z211" s="554">
        <v>0</v>
      </c>
      <c r="AA211" s="554">
        <v>0</v>
      </c>
      <c r="AB211" s="554">
        <v>0</v>
      </c>
      <c r="AD211" s="554">
        <v>0</v>
      </c>
      <c r="AE211" s="554">
        <v>0</v>
      </c>
      <c r="AF211" s="554">
        <v>0</v>
      </c>
      <c r="AG211" s="554">
        <v>1</v>
      </c>
      <c r="AH211" s="554">
        <v>0</v>
      </c>
      <c r="AI211" s="554">
        <v>0</v>
      </c>
      <c r="AJ211" s="554">
        <v>0</v>
      </c>
      <c r="AK211" s="554">
        <v>1</v>
      </c>
      <c r="AL211" s="554">
        <v>1</v>
      </c>
      <c r="AN211" s="554">
        <v>0</v>
      </c>
      <c r="AP211" s="554">
        <v>0</v>
      </c>
      <c r="AQ211" s="554">
        <v>0</v>
      </c>
      <c r="AR211" s="554">
        <v>2</v>
      </c>
      <c r="AS211" s="554">
        <v>0</v>
      </c>
      <c r="AT211" s="554">
        <v>0</v>
      </c>
      <c r="AU211" s="554">
        <v>0</v>
      </c>
      <c r="AV211" s="554">
        <v>1</v>
      </c>
      <c r="AW211" s="554">
        <v>0</v>
      </c>
      <c r="AX211" s="554">
        <v>0</v>
      </c>
      <c r="AY211" s="554">
        <v>2</v>
      </c>
      <c r="AZ211" s="554">
        <v>0</v>
      </c>
      <c r="BA211" s="554">
        <v>2</v>
      </c>
      <c r="BB211" s="554">
        <v>0</v>
      </c>
      <c r="BC211" s="554">
        <v>1</v>
      </c>
      <c r="BD211" s="554">
        <v>0</v>
      </c>
      <c r="BE211" s="554">
        <v>0</v>
      </c>
      <c r="BF211" s="554">
        <v>0</v>
      </c>
      <c r="BG211" s="554">
        <v>0</v>
      </c>
      <c r="BH211" s="554">
        <v>0</v>
      </c>
      <c r="BI211" s="554">
        <v>1</v>
      </c>
      <c r="BJ211" s="554">
        <v>0</v>
      </c>
      <c r="BL211" s="554">
        <v>0</v>
      </c>
      <c r="BM211" s="554">
        <v>0</v>
      </c>
      <c r="BN211" s="554">
        <v>0</v>
      </c>
      <c r="BO211" s="554">
        <v>0</v>
      </c>
      <c r="BP211" s="554">
        <v>0</v>
      </c>
      <c r="BQ211" s="554">
        <v>0</v>
      </c>
      <c r="BS211" s="554">
        <v>0</v>
      </c>
      <c r="BU211" s="554">
        <v>0</v>
      </c>
      <c r="BV211" s="554">
        <v>0</v>
      </c>
      <c r="BW211" s="554">
        <v>0</v>
      </c>
      <c r="BX211" s="554">
        <v>3</v>
      </c>
      <c r="BY211" s="554">
        <v>0</v>
      </c>
      <c r="BZ211" s="554">
        <v>0</v>
      </c>
      <c r="CA211" s="554">
        <v>0</v>
      </c>
      <c r="CB211" s="554">
        <v>0</v>
      </c>
      <c r="CC211" s="554">
        <v>0</v>
      </c>
      <c r="CE211" s="554">
        <v>0</v>
      </c>
      <c r="CF211" s="554">
        <v>0</v>
      </c>
      <c r="CG211" s="554">
        <v>0</v>
      </c>
      <c r="CH211" s="554">
        <v>0</v>
      </c>
    </row>
    <row r="212" spans="1:99" s="559" customFormat="1" x14ac:dyDescent="0.3">
      <c r="A212" s="558">
        <v>959</v>
      </c>
      <c r="B212" s="559" t="s">
        <v>933</v>
      </c>
      <c r="D212" s="559">
        <v>2</v>
      </c>
      <c r="E212" s="559">
        <v>2</v>
      </c>
      <c r="F212" s="559">
        <v>2</v>
      </c>
      <c r="G212" s="559">
        <v>2</v>
      </c>
      <c r="I212" s="559">
        <v>2</v>
      </c>
      <c r="J212" s="559">
        <v>2</v>
      </c>
      <c r="K212" s="559">
        <v>2</v>
      </c>
      <c r="L212" s="559">
        <v>3</v>
      </c>
      <c r="M212" s="559">
        <v>2</v>
      </c>
      <c r="N212" s="559">
        <v>3</v>
      </c>
      <c r="O212" s="559">
        <v>2</v>
      </c>
      <c r="P212" s="559">
        <v>3</v>
      </c>
      <c r="Q212" s="559">
        <v>3</v>
      </c>
      <c r="R212" s="559">
        <v>3</v>
      </c>
      <c r="S212" s="559">
        <v>3</v>
      </c>
      <c r="T212" s="559">
        <v>2</v>
      </c>
      <c r="U212" s="559">
        <v>2</v>
      </c>
      <c r="V212" s="559">
        <v>3</v>
      </c>
      <c r="W212" s="559">
        <v>2</v>
      </c>
      <c r="X212" s="559">
        <v>2</v>
      </c>
      <c r="Y212" s="559">
        <v>2</v>
      </c>
      <c r="Z212" s="559">
        <v>2</v>
      </c>
      <c r="AA212" s="559">
        <v>2</v>
      </c>
      <c r="AB212" s="559">
        <v>2</v>
      </c>
      <c r="AD212" s="559">
        <v>2</v>
      </c>
      <c r="AE212" s="559">
        <v>3</v>
      </c>
      <c r="AF212" s="559">
        <v>2</v>
      </c>
      <c r="AG212" s="559">
        <v>2</v>
      </c>
      <c r="AH212" s="559">
        <v>2</v>
      </c>
      <c r="AI212" s="559">
        <v>2</v>
      </c>
      <c r="AJ212" s="559">
        <v>2</v>
      </c>
      <c r="AK212" s="559">
        <v>2</v>
      </c>
      <c r="AL212" s="559">
        <v>2</v>
      </c>
      <c r="AN212" s="559">
        <v>2</v>
      </c>
      <c r="AP212" s="559">
        <v>2</v>
      </c>
      <c r="AQ212" s="559">
        <v>2</v>
      </c>
      <c r="AR212" s="559">
        <v>3</v>
      </c>
      <c r="AS212" s="559">
        <v>2</v>
      </c>
      <c r="AT212" s="559">
        <v>2</v>
      </c>
      <c r="AU212" s="559">
        <v>2</v>
      </c>
      <c r="AV212" s="559">
        <v>3</v>
      </c>
      <c r="AW212" s="559">
        <v>2</v>
      </c>
      <c r="AX212" s="559">
        <v>2</v>
      </c>
      <c r="AY212" s="559">
        <v>2</v>
      </c>
      <c r="AZ212" s="559">
        <v>2</v>
      </c>
      <c r="BA212" s="559">
        <v>2</v>
      </c>
      <c r="BB212" s="559">
        <v>3</v>
      </c>
      <c r="BC212" s="559">
        <v>2</v>
      </c>
      <c r="BD212" s="559">
        <v>3</v>
      </c>
      <c r="BE212" s="559">
        <v>2</v>
      </c>
      <c r="BF212" s="559">
        <v>2</v>
      </c>
      <c r="BG212" s="559">
        <v>3</v>
      </c>
      <c r="BH212" s="559">
        <v>3</v>
      </c>
      <c r="BI212" s="559">
        <v>2</v>
      </c>
      <c r="BJ212" s="559">
        <v>3</v>
      </c>
      <c r="BL212" s="559">
        <v>2</v>
      </c>
      <c r="BM212" s="559">
        <v>3</v>
      </c>
      <c r="BN212" s="559">
        <v>2</v>
      </c>
      <c r="BO212" s="559">
        <v>2</v>
      </c>
      <c r="BP212" s="559">
        <v>2</v>
      </c>
      <c r="BQ212" s="559">
        <v>3</v>
      </c>
      <c r="BS212" s="559">
        <v>2</v>
      </c>
      <c r="BU212" s="559">
        <v>3</v>
      </c>
      <c r="BV212" s="559">
        <v>2</v>
      </c>
      <c r="BW212" s="559">
        <v>2</v>
      </c>
      <c r="BX212" s="559">
        <v>3</v>
      </c>
      <c r="BY212" s="559">
        <v>2</v>
      </c>
      <c r="BZ212" s="559">
        <v>2</v>
      </c>
      <c r="CA212" s="559">
        <v>3</v>
      </c>
      <c r="CB212" s="559">
        <v>3</v>
      </c>
      <c r="CC212" s="559">
        <v>2</v>
      </c>
      <c r="CE212" s="559">
        <v>2</v>
      </c>
      <c r="CF212" s="559">
        <v>2</v>
      </c>
      <c r="CG212" s="559">
        <v>2</v>
      </c>
      <c r="CH212" s="559">
        <v>3</v>
      </c>
    </row>
    <row r="213" spans="1:99" s="554" customFormat="1" x14ac:dyDescent="0.3">
      <c r="A213" s="553">
        <v>960</v>
      </c>
      <c r="B213" s="554" t="s">
        <v>934</v>
      </c>
      <c r="D213" s="554" t="s">
        <v>2255</v>
      </c>
      <c r="E213" s="554" t="s">
        <v>2256</v>
      </c>
      <c r="F213" s="554" t="s">
        <v>2257</v>
      </c>
      <c r="G213" s="554" t="s">
        <v>2626</v>
      </c>
      <c r="I213" s="554" t="s">
        <v>2259</v>
      </c>
      <c r="J213" s="554" t="s">
        <v>2627</v>
      </c>
      <c r="K213" s="554" t="s">
        <v>2261</v>
      </c>
      <c r="L213" s="554" t="s">
        <v>2262</v>
      </c>
      <c r="M213" s="554" t="s">
        <v>2628</v>
      </c>
      <c r="N213" s="554" t="s">
        <v>2264</v>
      </c>
      <c r="O213" s="554" t="s">
        <v>2265</v>
      </c>
      <c r="P213" s="554" t="s">
        <v>2266</v>
      </c>
      <c r="Q213" s="554" t="s">
        <v>2267</v>
      </c>
      <c r="R213" s="554" t="s">
        <v>2629</v>
      </c>
      <c r="S213" s="554" t="s">
        <v>2630</v>
      </c>
      <c r="T213" s="554" t="s">
        <v>1595</v>
      </c>
      <c r="U213" s="554" t="s">
        <v>2271</v>
      </c>
      <c r="V213" s="554" t="s">
        <v>2272</v>
      </c>
      <c r="W213" s="554" t="s">
        <v>2273</v>
      </c>
      <c r="X213" s="554" t="s">
        <v>2274</v>
      </c>
      <c r="Y213" s="554" t="s">
        <v>2275</v>
      </c>
      <c r="Z213" s="554" t="s">
        <v>2276</v>
      </c>
      <c r="AA213" s="554" t="s">
        <v>2277</v>
      </c>
      <c r="AB213" s="554" t="s">
        <v>2278</v>
      </c>
      <c r="AD213" s="554" t="s">
        <v>2279</v>
      </c>
      <c r="AE213" s="554" t="s">
        <v>2280</v>
      </c>
      <c r="AF213" s="554" t="s">
        <v>2281</v>
      </c>
      <c r="AG213" s="554" t="s">
        <v>2282</v>
      </c>
      <c r="AH213" s="554" t="s">
        <v>2631</v>
      </c>
      <c r="AI213" s="554" t="s">
        <v>2284</v>
      </c>
      <c r="AJ213" s="554" t="s">
        <v>2632</v>
      </c>
      <c r="AK213" s="554" t="s">
        <v>2286</v>
      </c>
      <c r="AL213" s="554" t="s">
        <v>2633</v>
      </c>
      <c r="AN213" s="554" t="s">
        <v>2634</v>
      </c>
      <c r="AP213" s="554" t="s">
        <v>2289</v>
      </c>
      <c r="AQ213" s="554" t="s">
        <v>2290</v>
      </c>
      <c r="AR213" s="554" t="s">
        <v>2291</v>
      </c>
      <c r="AS213" s="554" t="s">
        <v>2292</v>
      </c>
      <c r="AT213" s="554" t="s">
        <v>2635</v>
      </c>
      <c r="AU213" s="554" t="s">
        <v>2636</v>
      </c>
      <c r="AV213" s="554" t="s">
        <v>2637</v>
      </c>
      <c r="AW213" s="554" t="s">
        <v>2296</v>
      </c>
      <c r="AX213" s="554" t="s">
        <v>2297</v>
      </c>
      <c r="AY213" s="554" t="s">
        <v>2638</v>
      </c>
      <c r="AZ213" s="554" t="s">
        <v>2639</v>
      </c>
      <c r="BA213" s="554" t="s">
        <v>2300</v>
      </c>
      <c r="BB213" s="554" t="s">
        <v>2640</v>
      </c>
      <c r="BC213" s="554" t="s">
        <v>2302</v>
      </c>
      <c r="BD213" s="554" t="s">
        <v>2303</v>
      </c>
      <c r="BE213" s="554" t="s">
        <v>2641</v>
      </c>
      <c r="BF213" s="554" t="s">
        <v>2305</v>
      </c>
      <c r="BG213" s="554" t="s">
        <v>2306</v>
      </c>
      <c r="BH213" s="554" t="s">
        <v>2642</v>
      </c>
      <c r="BI213" s="554" t="s">
        <v>2308</v>
      </c>
      <c r="BJ213" s="554" t="s">
        <v>2309</v>
      </c>
      <c r="BL213" s="554" t="s">
        <v>2311</v>
      </c>
      <c r="BM213" s="554" t="s">
        <v>2312</v>
      </c>
      <c r="BN213" s="554" t="s">
        <v>2123</v>
      </c>
      <c r="BO213" s="554" t="s">
        <v>2313</v>
      </c>
      <c r="BP213" s="554" t="s">
        <v>2314</v>
      </c>
      <c r="BQ213" s="554" t="s">
        <v>2315</v>
      </c>
      <c r="BS213" s="554" t="s">
        <v>2317</v>
      </c>
      <c r="BU213" s="554" t="s">
        <v>2643</v>
      </c>
      <c r="BV213" s="554" t="s">
        <v>2319</v>
      </c>
      <c r="BW213" s="554" t="s">
        <v>2320</v>
      </c>
      <c r="BX213" s="554" t="s">
        <v>2767</v>
      </c>
      <c r="BY213" s="554" t="s">
        <v>2322</v>
      </c>
      <c r="BZ213" s="554" t="s">
        <v>2644</v>
      </c>
      <c r="CA213" s="554" t="s">
        <v>2645</v>
      </c>
      <c r="CB213" s="554" t="s">
        <v>2646</v>
      </c>
      <c r="CC213" s="554" t="s">
        <v>2326</v>
      </c>
      <c r="CE213" s="554" t="s">
        <v>2327</v>
      </c>
      <c r="CF213" s="554" t="s">
        <v>2647</v>
      </c>
      <c r="CG213" s="554" t="s">
        <v>2329</v>
      </c>
      <c r="CH213" s="554" t="s">
        <v>2330</v>
      </c>
    </row>
    <row r="214" spans="1:99" s="559" customFormat="1" x14ac:dyDescent="0.3">
      <c r="A214" s="558">
        <v>962</v>
      </c>
      <c r="B214" s="559" t="s">
        <v>935</v>
      </c>
      <c r="D214" s="559" t="s">
        <v>937</v>
      </c>
      <c r="E214" s="559" t="s">
        <v>2648</v>
      </c>
      <c r="F214" s="559" t="s">
        <v>940</v>
      </c>
      <c r="G214" s="559" t="s">
        <v>2339</v>
      </c>
      <c r="I214" s="559" t="s">
        <v>937</v>
      </c>
      <c r="J214" s="559" t="s">
        <v>1558</v>
      </c>
      <c r="K214" s="559" t="s">
        <v>936</v>
      </c>
      <c r="L214" s="559" t="s">
        <v>937</v>
      </c>
      <c r="M214" s="559" t="s">
        <v>2649</v>
      </c>
      <c r="N214" s="559" t="s">
        <v>937</v>
      </c>
      <c r="O214" s="559" t="s">
        <v>936</v>
      </c>
      <c r="P214" s="559" t="s">
        <v>937</v>
      </c>
      <c r="Q214" s="559" t="s">
        <v>2334</v>
      </c>
      <c r="R214" s="559" t="s">
        <v>937</v>
      </c>
      <c r="S214" s="559" t="s">
        <v>1995</v>
      </c>
      <c r="T214" s="559" t="s">
        <v>2148</v>
      </c>
      <c r="U214" s="559" t="s">
        <v>937</v>
      </c>
      <c r="V214" s="559" t="s">
        <v>2336</v>
      </c>
      <c r="W214" s="559" t="s">
        <v>937</v>
      </c>
      <c r="X214" s="559" t="s">
        <v>2650</v>
      </c>
      <c r="Y214" s="559" t="s">
        <v>938</v>
      </c>
      <c r="Z214" s="559" t="s">
        <v>937</v>
      </c>
      <c r="AA214" s="559" t="s">
        <v>937</v>
      </c>
      <c r="AB214" s="559" t="s">
        <v>937</v>
      </c>
      <c r="AD214" s="559" t="s">
        <v>936</v>
      </c>
      <c r="AE214" s="559" t="s">
        <v>937</v>
      </c>
      <c r="AF214" s="559" t="s">
        <v>1993</v>
      </c>
      <c r="AG214" s="559" t="s">
        <v>937</v>
      </c>
      <c r="AH214" s="559" t="s">
        <v>937</v>
      </c>
      <c r="AI214" s="559" t="s">
        <v>937</v>
      </c>
      <c r="AJ214" s="559" t="s">
        <v>937</v>
      </c>
      <c r="AK214" s="559" t="s">
        <v>937</v>
      </c>
      <c r="AL214" s="559" t="s">
        <v>940</v>
      </c>
      <c r="AN214" s="559" t="s">
        <v>937</v>
      </c>
      <c r="AP214" s="559" t="s">
        <v>2651</v>
      </c>
      <c r="AQ214" s="559" t="s">
        <v>936</v>
      </c>
      <c r="AR214" s="559" t="s">
        <v>937</v>
      </c>
      <c r="AS214" s="559" t="s">
        <v>2652</v>
      </c>
      <c r="AT214" s="559" t="s">
        <v>937</v>
      </c>
      <c r="AU214" s="559" t="s">
        <v>937</v>
      </c>
      <c r="AV214" s="559" t="s">
        <v>937</v>
      </c>
      <c r="AW214" s="559" t="s">
        <v>936</v>
      </c>
      <c r="AX214" s="559" t="s">
        <v>937</v>
      </c>
      <c r="AY214" s="559" t="s">
        <v>2653</v>
      </c>
      <c r="AZ214" s="559" t="s">
        <v>936</v>
      </c>
      <c r="BA214" s="559" t="s">
        <v>937</v>
      </c>
      <c r="BB214" s="559" t="s">
        <v>1558</v>
      </c>
      <c r="BC214" s="559" t="s">
        <v>936</v>
      </c>
      <c r="BD214" s="559" t="s">
        <v>2336</v>
      </c>
      <c r="BE214" s="559" t="s">
        <v>936</v>
      </c>
      <c r="BF214" s="559" t="s">
        <v>937</v>
      </c>
      <c r="BG214" s="559" t="s">
        <v>2654</v>
      </c>
      <c r="BH214" s="559" t="s">
        <v>940</v>
      </c>
      <c r="BI214" s="559" t="s">
        <v>2774</v>
      </c>
      <c r="BJ214" s="559" t="s">
        <v>2341</v>
      </c>
      <c r="BL214" s="559" t="s">
        <v>937</v>
      </c>
      <c r="BM214" s="559" t="s">
        <v>939</v>
      </c>
      <c r="BN214" s="559" t="s">
        <v>2182</v>
      </c>
      <c r="BO214" s="559" t="s">
        <v>937</v>
      </c>
      <c r="BP214" s="559" t="s">
        <v>938</v>
      </c>
      <c r="BQ214" s="559" t="s">
        <v>2342</v>
      </c>
      <c r="BS214" s="559" t="s">
        <v>937</v>
      </c>
      <c r="BU214" s="559" t="s">
        <v>2339</v>
      </c>
      <c r="BV214" s="559" t="s">
        <v>937</v>
      </c>
      <c r="BW214" s="559" t="s">
        <v>937</v>
      </c>
      <c r="BX214" s="559" t="s">
        <v>2768</v>
      </c>
      <c r="BY214" s="559" t="s">
        <v>939</v>
      </c>
      <c r="BZ214" s="559" t="s">
        <v>937</v>
      </c>
      <c r="CA214" s="559" t="s">
        <v>937</v>
      </c>
      <c r="CB214" s="559" t="s">
        <v>937</v>
      </c>
      <c r="CC214" s="559" t="s">
        <v>940</v>
      </c>
      <c r="CE214" s="559" t="s">
        <v>936</v>
      </c>
      <c r="CF214" s="559" t="s">
        <v>936</v>
      </c>
      <c r="CG214" s="559" t="s">
        <v>936</v>
      </c>
      <c r="CH214" s="559" t="s">
        <v>937</v>
      </c>
    </row>
    <row r="215" spans="1:99" s="554" customFormat="1" x14ac:dyDescent="0.3">
      <c r="A215" s="553">
        <v>964</v>
      </c>
      <c r="B215" s="554" t="s">
        <v>942</v>
      </c>
      <c r="D215" s="554" t="s">
        <v>2009</v>
      </c>
      <c r="E215" s="554" t="s">
        <v>2201</v>
      </c>
      <c r="F215" s="554" t="s">
        <v>2059</v>
      </c>
      <c r="G215" s="554" t="s">
        <v>2655</v>
      </c>
      <c r="I215" s="554" t="s">
        <v>2001</v>
      </c>
      <c r="J215" s="554" t="s">
        <v>2656</v>
      </c>
      <c r="K215" s="554" t="s">
        <v>2656</v>
      </c>
      <c r="L215" s="554" t="s">
        <v>2657</v>
      </c>
      <c r="M215" s="554" t="s">
        <v>2016</v>
      </c>
      <c r="N215" s="554" t="s">
        <v>2020</v>
      </c>
      <c r="O215" s="554" t="s">
        <v>2658</v>
      </c>
      <c r="P215" s="554" t="s">
        <v>1614</v>
      </c>
      <c r="Q215" s="554" t="s">
        <v>2001</v>
      </c>
      <c r="R215" s="554" t="s">
        <v>2659</v>
      </c>
      <c r="S215" s="554" t="s">
        <v>2656</v>
      </c>
      <c r="T215" s="554" t="s">
        <v>2660</v>
      </c>
      <c r="U215" s="554" t="s">
        <v>2661</v>
      </c>
      <c r="V215" s="554" t="s">
        <v>2001</v>
      </c>
      <c r="W215" s="554" t="s">
        <v>2010</v>
      </c>
      <c r="X215" s="554" t="s">
        <v>2060</v>
      </c>
      <c r="Y215" s="554" t="s">
        <v>2006</v>
      </c>
      <c r="Z215" s="554" t="s">
        <v>1998</v>
      </c>
      <c r="AA215" s="554" t="s">
        <v>1998</v>
      </c>
      <c r="AB215" s="554" t="s">
        <v>2004</v>
      </c>
      <c r="AD215" s="554" t="s">
        <v>2662</v>
      </c>
      <c r="AE215" s="554" t="s">
        <v>2006</v>
      </c>
      <c r="AF215" s="554" t="s">
        <v>2006</v>
      </c>
      <c r="AG215" s="554" t="s">
        <v>1975</v>
      </c>
      <c r="AH215" s="554" t="s">
        <v>2006</v>
      </c>
      <c r="AI215" s="554" t="s">
        <v>2001</v>
      </c>
      <c r="AJ215" s="554" t="s">
        <v>2663</v>
      </c>
      <c r="AK215" s="554" t="s">
        <v>2061</v>
      </c>
      <c r="AL215" s="554" t="s">
        <v>1921</v>
      </c>
      <c r="AN215" s="554" t="s">
        <v>1998</v>
      </c>
      <c r="AP215" s="554" t="s">
        <v>2014</v>
      </c>
      <c r="AQ215" s="554" t="s">
        <v>2062</v>
      </c>
      <c r="AR215" s="554" t="s">
        <v>2664</v>
      </c>
      <c r="AS215" s="554" t="s">
        <v>1598</v>
      </c>
      <c r="AT215" s="554" t="s">
        <v>2062</v>
      </c>
      <c r="AU215" s="554" t="s">
        <v>2665</v>
      </c>
      <c r="AV215" s="554" t="s">
        <v>2666</v>
      </c>
      <c r="AW215" s="554" t="s">
        <v>2667</v>
      </c>
      <c r="AX215" s="554" t="s">
        <v>2668</v>
      </c>
      <c r="AY215" s="554" t="s">
        <v>2669</v>
      </c>
      <c r="AZ215" s="554" t="s">
        <v>1998</v>
      </c>
      <c r="BA215" s="554" t="s">
        <v>2010</v>
      </c>
      <c r="BB215" s="554" t="s">
        <v>2670</v>
      </c>
      <c r="BC215" s="554" t="s">
        <v>2670</v>
      </c>
      <c r="BD215" s="554" t="s">
        <v>2671</v>
      </c>
      <c r="BE215" s="554" t="s">
        <v>2059</v>
      </c>
      <c r="BF215" s="554" t="s">
        <v>2007</v>
      </c>
      <c r="BG215" s="554" t="s">
        <v>2015</v>
      </c>
      <c r="BH215" s="554" t="s">
        <v>2672</v>
      </c>
      <c r="BI215" s="554" t="s">
        <v>2775</v>
      </c>
      <c r="BJ215" s="554" t="s">
        <v>2673</v>
      </c>
      <c r="BL215" s="554" t="s">
        <v>2674</v>
      </c>
      <c r="BM215" s="554" t="s">
        <v>2009</v>
      </c>
      <c r="BN215" s="554" t="s">
        <v>2015</v>
      </c>
      <c r="BO215" s="554" t="s">
        <v>2012</v>
      </c>
      <c r="BP215" s="554" t="s">
        <v>2675</v>
      </c>
      <c r="BQ215" s="554" t="s">
        <v>2019</v>
      </c>
      <c r="BS215" s="554" t="s">
        <v>2676</v>
      </c>
      <c r="BU215" s="554" t="s">
        <v>2673</v>
      </c>
      <c r="BV215" s="554" t="s">
        <v>1992</v>
      </c>
      <c r="BW215" s="554" t="s">
        <v>1998</v>
      </c>
      <c r="BX215" s="554" t="s">
        <v>2769</v>
      </c>
      <c r="BY215" s="554" t="s">
        <v>2656</v>
      </c>
      <c r="BZ215" s="554" t="s">
        <v>2677</v>
      </c>
      <c r="CA215" s="554" t="s">
        <v>2656</v>
      </c>
      <c r="CB215" s="554" t="s">
        <v>2013</v>
      </c>
      <c r="CC215" s="554" t="s">
        <v>2678</v>
      </c>
      <c r="CE215" s="554" t="s">
        <v>2014</v>
      </c>
      <c r="CF215" s="554" t="s">
        <v>2011</v>
      </c>
      <c r="CG215" s="554" t="s">
        <v>1999</v>
      </c>
      <c r="CH215" s="554" t="s">
        <v>2006</v>
      </c>
    </row>
    <row r="216" spans="1:99" s="559" customFormat="1" x14ac:dyDescent="0.3">
      <c r="A216" s="558">
        <v>966</v>
      </c>
      <c r="B216" s="559" t="s">
        <v>943</v>
      </c>
      <c r="D216" s="559" t="s">
        <v>2376</v>
      </c>
      <c r="E216" s="559" t="s">
        <v>2679</v>
      </c>
      <c r="F216" s="559" t="s">
        <v>2378</v>
      </c>
      <c r="G216" s="559" t="s">
        <v>2379</v>
      </c>
      <c r="I216" s="559" t="s">
        <v>2380</v>
      </c>
      <c r="J216" s="559" t="s">
        <v>2381</v>
      </c>
      <c r="K216" s="559" t="s">
        <v>2382</v>
      </c>
      <c r="L216" s="559" t="s">
        <v>2383</v>
      </c>
      <c r="M216" s="559" t="s">
        <v>2680</v>
      </c>
      <c r="N216" s="559" t="s">
        <v>2385</v>
      </c>
      <c r="O216" s="559" t="s">
        <v>2386</v>
      </c>
      <c r="P216" s="559" t="s">
        <v>2387</v>
      </c>
      <c r="Q216" s="559" t="s">
        <v>2388</v>
      </c>
      <c r="R216" s="559" t="s">
        <v>2389</v>
      </c>
      <c r="S216" s="559" t="s">
        <v>2681</v>
      </c>
      <c r="T216" s="559" t="s">
        <v>2391</v>
      </c>
      <c r="U216" s="559" t="s">
        <v>2392</v>
      </c>
      <c r="V216" s="559" t="s">
        <v>2393</v>
      </c>
      <c r="W216" s="559" t="s">
        <v>2394</v>
      </c>
      <c r="X216" s="559" t="s">
        <v>2395</v>
      </c>
      <c r="Y216" s="559" t="s">
        <v>2682</v>
      </c>
      <c r="Z216" s="559" t="s">
        <v>2397</v>
      </c>
      <c r="AA216" s="559" t="s">
        <v>2398</v>
      </c>
      <c r="AB216" s="559" t="s">
        <v>2399</v>
      </c>
      <c r="AD216" s="559" t="s">
        <v>2400</v>
      </c>
      <c r="AE216" s="559" t="s">
        <v>2401</v>
      </c>
      <c r="AF216" s="559" t="s">
        <v>2402</v>
      </c>
      <c r="AG216" s="559" t="s">
        <v>2403</v>
      </c>
      <c r="AH216" s="559" t="s">
        <v>2404</v>
      </c>
      <c r="AI216" s="559" t="s">
        <v>2405</v>
      </c>
      <c r="AJ216" s="559" t="s">
        <v>2406</v>
      </c>
      <c r="AK216" s="559" t="s">
        <v>2683</v>
      </c>
      <c r="AL216" s="559" t="s">
        <v>2408</v>
      </c>
      <c r="AN216" s="559" t="s">
        <v>2409</v>
      </c>
      <c r="AP216" s="559" t="s">
        <v>2684</v>
      </c>
      <c r="AQ216" s="559" t="s">
        <v>2411</v>
      </c>
      <c r="AR216" s="559" t="s">
        <v>2412</v>
      </c>
      <c r="AS216" s="559" t="s">
        <v>2413</v>
      </c>
      <c r="AT216" s="559" t="s">
        <v>2685</v>
      </c>
      <c r="AU216" s="559" t="s">
        <v>2415</v>
      </c>
      <c r="AV216" s="559" t="s">
        <v>2416</v>
      </c>
      <c r="AW216" s="559" t="s">
        <v>2417</v>
      </c>
      <c r="AX216" s="559" t="s">
        <v>2418</v>
      </c>
      <c r="AY216" s="559" t="s">
        <v>2419</v>
      </c>
      <c r="AZ216" s="559" t="s">
        <v>2420</v>
      </c>
      <c r="BA216" s="559" t="s">
        <v>2686</v>
      </c>
      <c r="BB216" s="559" t="s">
        <v>2687</v>
      </c>
      <c r="BC216" s="559" t="s">
        <v>2688</v>
      </c>
      <c r="BD216" s="559" t="s">
        <v>2424</v>
      </c>
      <c r="BE216" s="559" t="s">
        <v>2425</v>
      </c>
      <c r="BF216" s="559" t="s">
        <v>2426</v>
      </c>
      <c r="BG216" s="559" t="s">
        <v>2427</v>
      </c>
      <c r="BH216" s="559" t="s">
        <v>2428</v>
      </c>
      <c r="BI216" s="559" t="s">
        <v>2429</v>
      </c>
      <c r="BJ216" s="559" t="s">
        <v>2430</v>
      </c>
      <c r="BL216" s="559" t="s">
        <v>2432</v>
      </c>
      <c r="BM216" s="559" t="s">
        <v>2433</v>
      </c>
      <c r="BN216" s="559" t="s">
        <v>2434</v>
      </c>
      <c r="BO216" s="559" t="s">
        <v>2435</v>
      </c>
      <c r="BP216" s="559" t="s">
        <v>2436</v>
      </c>
      <c r="BQ216" s="559" t="s">
        <v>2437</v>
      </c>
      <c r="BS216" s="559" t="s">
        <v>2439</v>
      </c>
      <c r="BU216" s="559" t="s">
        <v>2441</v>
      </c>
      <c r="BV216" s="559" t="s">
        <v>2689</v>
      </c>
      <c r="BW216" s="559" t="s">
        <v>2443</v>
      </c>
      <c r="BX216" s="559" t="s">
        <v>2770</v>
      </c>
      <c r="BY216" s="559" t="s">
        <v>2445</v>
      </c>
      <c r="BZ216" s="559" t="s">
        <v>2446</v>
      </c>
      <c r="CA216" s="559" t="s">
        <v>2447</v>
      </c>
      <c r="CB216" s="559" t="s">
        <v>2448</v>
      </c>
      <c r="CC216" s="559" t="s">
        <v>2449</v>
      </c>
      <c r="CE216" s="559" t="s">
        <v>2450</v>
      </c>
      <c r="CF216" s="559" t="s">
        <v>2451</v>
      </c>
      <c r="CG216" s="559" t="s">
        <v>2690</v>
      </c>
      <c r="CH216" s="559" t="s">
        <v>2453</v>
      </c>
    </row>
    <row r="217" spans="1:99" s="554" customFormat="1" x14ac:dyDescent="0.3">
      <c r="A217" s="553">
        <v>968</v>
      </c>
      <c r="B217" s="554" t="s">
        <v>944</v>
      </c>
      <c r="D217" s="554" t="s">
        <v>2455</v>
      </c>
      <c r="E217" s="554" t="s">
        <v>2691</v>
      </c>
      <c r="F217" s="554" t="s">
        <v>2457</v>
      </c>
      <c r="G217" s="554" t="s">
        <v>2458</v>
      </c>
      <c r="I217" s="554" t="s">
        <v>2459</v>
      </c>
      <c r="J217" s="554" t="s">
        <v>2692</v>
      </c>
      <c r="K217" s="554" t="s">
        <v>2461</v>
      </c>
      <c r="L217" s="554" t="s">
        <v>2693</v>
      </c>
      <c r="M217" s="554" t="s">
        <v>2694</v>
      </c>
      <c r="N217" s="554" t="s">
        <v>2695</v>
      </c>
      <c r="O217" s="554" t="s">
        <v>2696</v>
      </c>
      <c r="P217" s="554" t="s">
        <v>2466</v>
      </c>
      <c r="Q217" s="554" t="s">
        <v>2467</v>
      </c>
      <c r="R217" s="554" t="s">
        <v>2468</v>
      </c>
      <c r="S217" s="554" t="s">
        <v>2697</v>
      </c>
      <c r="T217" s="554" t="s">
        <v>2698</v>
      </c>
      <c r="U217" s="554" t="s">
        <v>2471</v>
      </c>
      <c r="V217" s="554" t="s">
        <v>2472</v>
      </c>
      <c r="W217" s="554" t="s">
        <v>2473</v>
      </c>
      <c r="X217" s="554" t="s">
        <v>2474</v>
      </c>
      <c r="Y217" s="554" t="s">
        <v>2475</v>
      </c>
      <c r="Z217" s="554" t="s">
        <v>2476</v>
      </c>
      <c r="AA217" s="554" t="s">
        <v>2477</v>
      </c>
      <c r="AB217" s="554" t="s">
        <v>2699</v>
      </c>
      <c r="AD217" s="554" t="s">
        <v>2479</v>
      </c>
      <c r="AE217" s="554" t="s">
        <v>2480</v>
      </c>
      <c r="AF217" s="554" t="s">
        <v>2481</v>
      </c>
      <c r="AG217" s="554" t="s">
        <v>2482</v>
      </c>
      <c r="AH217" s="554" t="s">
        <v>2700</v>
      </c>
      <c r="AI217" s="554" t="s">
        <v>2484</v>
      </c>
      <c r="AJ217" s="554" t="s">
        <v>2485</v>
      </c>
      <c r="AK217" s="554" t="s">
        <v>2701</v>
      </c>
      <c r="AL217" s="554" t="s">
        <v>2487</v>
      </c>
      <c r="AN217" s="554" t="s">
        <v>2488</v>
      </c>
      <c r="AP217" s="554" t="s">
        <v>2489</v>
      </c>
      <c r="AQ217" s="554" t="s">
        <v>2490</v>
      </c>
      <c r="AR217" s="554" t="s">
        <v>2491</v>
      </c>
      <c r="AS217" s="554" t="s">
        <v>2702</v>
      </c>
      <c r="AT217" s="554" t="s">
        <v>2493</v>
      </c>
      <c r="AU217" s="554" t="s">
        <v>2703</v>
      </c>
      <c r="AV217" s="554" t="s">
        <v>2704</v>
      </c>
      <c r="AW217" s="554" t="s">
        <v>2496</v>
      </c>
      <c r="AX217" s="554" t="s">
        <v>2497</v>
      </c>
      <c r="AY217" s="554" t="s">
        <v>2705</v>
      </c>
      <c r="AZ217" s="554" t="s">
        <v>2706</v>
      </c>
      <c r="BA217" s="554" t="s">
        <v>2500</v>
      </c>
      <c r="BB217" s="554" t="s">
        <v>2501</v>
      </c>
      <c r="BC217" s="554" t="s">
        <v>2502</v>
      </c>
      <c r="BD217" s="554" t="s">
        <v>2503</v>
      </c>
      <c r="BE217" s="554" t="s">
        <v>2504</v>
      </c>
      <c r="BF217" s="554" t="s">
        <v>2505</v>
      </c>
      <c r="BG217" s="554" t="s">
        <v>2707</v>
      </c>
      <c r="BH217" s="554" t="s">
        <v>2507</v>
      </c>
      <c r="BI217" s="554" t="s">
        <v>2508</v>
      </c>
      <c r="BJ217" s="554" t="s">
        <v>2509</v>
      </c>
      <c r="BL217" s="554" t="s">
        <v>2511</v>
      </c>
      <c r="BM217" s="554" t="s">
        <v>2512</v>
      </c>
      <c r="BN217" s="554" t="s">
        <v>2513</v>
      </c>
      <c r="BO217" s="554" t="s">
        <v>2514</v>
      </c>
      <c r="BP217" s="554" t="s">
        <v>2708</v>
      </c>
      <c r="BQ217" s="554" t="s">
        <v>2516</v>
      </c>
      <c r="BS217" s="554" t="s">
        <v>2518</v>
      </c>
      <c r="BU217" s="554" t="s">
        <v>2520</v>
      </c>
      <c r="BV217" s="554" t="s">
        <v>2709</v>
      </c>
      <c r="BW217" s="554" t="s">
        <v>2522</v>
      </c>
      <c r="BX217" s="554" t="s">
        <v>2771</v>
      </c>
      <c r="BY217" s="554" t="s">
        <v>2524</v>
      </c>
      <c r="BZ217" s="554" t="s">
        <v>2710</v>
      </c>
      <c r="CA217" s="554" t="s">
        <v>2526</v>
      </c>
      <c r="CB217" s="554" t="s">
        <v>2711</v>
      </c>
      <c r="CC217" s="554" t="s">
        <v>2712</v>
      </c>
      <c r="CE217" s="554" t="s">
        <v>2713</v>
      </c>
      <c r="CF217" s="554" t="s">
        <v>2530</v>
      </c>
      <c r="CG217" s="554" t="s">
        <v>2531</v>
      </c>
      <c r="CH217" s="554" t="s">
        <v>2532</v>
      </c>
    </row>
    <row r="218" spans="1:99" x14ac:dyDescent="0.3">
      <c r="A218" s="155">
        <v>973</v>
      </c>
      <c r="B218" s="180" t="s">
        <v>2021</v>
      </c>
      <c r="C218" s="180"/>
      <c r="D218" s="180">
        <v>0</v>
      </c>
      <c r="E218" s="180">
        <v>0</v>
      </c>
      <c r="F218" s="180">
        <v>0</v>
      </c>
      <c r="G218" s="180">
        <v>0</v>
      </c>
      <c r="H218" s="180"/>
      <c r="I218" s="180">
        <v>0</v>
      </c>
      <c r="J218" s="180">
        <v>0</v>
      </c>
      <c r="K218" s="180">
        <v>0</v>
      </c>
      <c r="L218" s="180">
        <v>0</v>
      </c>
      <c r="M218" s="180">
        <v>0</v>
      </c>
      <c r="N218" s="180">
        <v>0</v>
      </c>
      <c r="O218" s="180">
        <v>0</v>
      </c>
      <c r="P218" s="180">
        <v>0</v>
      </c>
      <c r="Q218" s="180">
        <v>0</v>
      </c>
      <c r="R218" s="180">
        <v>0</v>
      </c>
      <c r="S218" s="180">
        <v>0</v>
      </c>
      <c r="T218" s="180">
        <v>0</v>
      </c>
      <c r="U218" s="180">
        <v>0</v>
      </c>
      <c r="V218" s="180">
        <v>0</v>
      </c>
      <c r="W218" s="180">
        <v>0</v>
      </c>
      <c r="X218" s="180">
        <v>0</v>
      </c>
      <c r="Y218" s="180">
        <v>0</v>
      </c>
      <c r="Z218" s="180">
        <v>0</v>
      </c>
      <c r="AA218" s="180">
        <v>0</v>
      </c>
      <c r="AB218" s="180">
        <v>0</v>
      </c>
      <c r="AC218" s="180"/>
      <c r="AD218" s="180">
        <v>0</v>
      </c>
      <c r="AE218" s="180">
        <v>0</v>
      </c>
      <c r="AF218" s="180">
        <v>0</v>
      </c>
      <c r="AG218" s="180">
        <v>0</v>
      </c>
      <c r="AH218" s="180">
        <v>0</v>
      </c>
      <c r="AI218" s="180">
        <v>0</v>
      </c>
      <c r="AJ218" s="180">
        <v>0</v>
      </c>
      <c r="AK218" s="180">
        <v>0</v>
      </c>
      <c r="AL218" s="180">
        <v>0</v>
      </c>
      <c r="AM218" s="180"/>
      <c r="AN218" s="180">
        <v>0</v>
      </c>
      <c r="AO218" s="180"/>
      <c r="AP218" s="180">
        <v>0</v>
      </c>
      <c r="AQ218" s="180">
        <v>0</v>
      </c>
      <c r="AR218" s="180">
        <v>1</v>
      </c>
      <c r="AS218" s="180">
        <v>0</v>
      </c>
      <c r="AT218" s="180">
        <v>0</v>
      </c>
      <c r="AU218" s="180">
        <v>0</v>
      </c>
      <c r="AV218" s="180">
        <v>0</v>
      </c>
      <c r="AW218" s="180">
        <v>0</v>
      </c>
      <c r="AX218" s="180">
        <v>0</v>
      </c>
      <c r="AY218" s="180">
        <v>0</v>
      </c>
      <c r="AZ218" s="180">
        <v>0</v>
      </c>
      <c r="BA218" s="180">
        <v>1</v>
      </c>
      <c r="BB218" s="180">
        <v>0</v>
      </c>
      <c r="BC218" s="180">
        <v>0</v>
      </c>
      <c r="BD218" s="180">
        <v>0</v>
      </c>
      <c r="BE218" s="180">
        <v>0</v>
      </c>
      <c r="BF218" s="180">
        <v>0</v>
      </c>
      <c r="BG218" s="180">
        <v>0</v>
      </c>
      <c r="BH218" s="180">
        <v>1</v>
      </c>
      <c r="BI218" s="180">
        <v>0</v>
      </c>
      <c r="BJ218" s="180">
        <v>0</v>
      </c>
      <c r="BK218" s="180"/>
      <c r="BL218" s="180">
        <v>0</v>
      </c>
      <c r="BM218" s="180">
        <v>0</v>
      </c>
      <c r="BN218" s="180">
        <v>0</v>
      </c>
      <c r="BO218" s="180">
        <v>0</v>
      </c>
      <c r="BP218" s="180">
        <v>0</v>
      </c>
      <c r="BQ218" s="180">
        <v>0</v>
      </c>
      <c r="BR218" s="180"/>
      <c r="BS218" s="180">
        <v>0</v>
      </c>
      <c r="BT218" s="180"/>
      <c r="BU218" s="180">
        <v>0</v>
      </c>
      <c r="BV218" s="180">
        <v>0</v>
      </c>
      <c r="BW218" s="180">
        <v>0</v>
      </c>
      <c r="BX218" s="180">
        <v>1</v>
      </c>
      <c r="BY218" s="180">
        <v>0</v>
      </c>
      <c r="BZ218" s="180">
        <v>0</v>
      </c>
      <c r="CA218" s="180">
        <v>0</v>
      </c>
      <c r="CB218" s="180">
        <v>0</v>
      </c>
      <c r="CC218" s="180">
        <v>1</v>
      </c>
      <c r="CD218" s="180"/>
      <c r="CE218" s="180">
        <v>0</v>
      </c>
      <c r="CF218" s="180">
        <v>0</v>
      </c>
      <c r="CG218" s="180">
        <v>0</v>
      </c>
      <c r="CH218" s="180">
        <v>0</v>
      </c>
      <c r="CI218" s="180"/>
      <c r="CJ218" s="180"/>
      <c r="CK218" s="180"/>
      <c r="CL218" s="180"/>
      <c r="CM218" s="180"/>
      <c r="CN218" s="180"/>
      <c r="CO218" s="180"/>
      <c r="CP218" s="180"/>
      <c r="CQ218" s="180"/>
      <c r="CR218" s="180"/>
      <c r="CS218" s="180"/>
      <c r="CT218" s="180"/>
      <c r="CU218" s="180"/>
    </row>
    <row r="219" spans="1:99" x14ac:dyDescent="0.3">
      <c r="A219" s="155">
        <v>974</v>
      </c>
      <c r="B219" s="180" t="s">
        <v>945</v>
      </c>
      <c r="C219" s="180"/>
      <c r="D219" s="180">
        <v>2</v>
      </c>
      <c r="E219" s="180">
        <v>2</v>
      </c>
      <c r="F219" s="180">
        <v>3</v>
      </c>
      <c r="G219" s="180">
        <v>2</v>
      </c>
      <c r="H219" s="180"/>
      <c r="I219" s="180">
        <v>2</v>
      </c>
      <c r="J219" s="180">
        <v>2</v>
      </c>
      <c r="K219" s="180">
        <v>2</v>
      </c>
      <c r="L219" s="180">
        <v>3</v>
      </c>
      <c r="M219" s="180">
        <v>2</v>
      </c>
      <c r="N219" s="180">
        <v>3</v>
      </c>
      <c r="O219" s="180">
        <v>2</v>
      </c>
      <c r="P219" s="180">
        <v>3</v>
      </c>
      <c r="Q219" s="180">
        <v>3</v>
      </c>
      <c r="R219" s="180">
        <v>3</v>
      </c>
      <c r="S219" s="180">
        <v>3</v>
      </c>
      <c r="T219" s="180">
        <v>2</v>
      </c>
      <c r="U219" s="180">
        <v>2</v>
      </c>
      <c r="V219" s="180">
        <v>3</v>
      </c>
      <c r="W219" s="180">
        <v>2</v>
      </c>
      <c r="X219" s="180">
        <v>2</v>
      </c>
      <c r="Y219" s="180">
        <v>2</v>
      </c>
      <c r="Z219" s="180">
        <v>2</v>
      </c>
      <c r="AA219" s="180">
        <v>2</v>
      </c>
      <c r="AB219" s="180">
        <v>2</v>
      </c>
      <c r="AC219" s="180"/>
      <c r="AD219" s="180">
        <v>2</v>
      </c>
      <c r="AE219" s="180">
        <v>3</v>
      </c>
      <c r="AF219" s="180">
        <v>2</v>
      </c>
      <c r="AG219" s="180">
        <v>3</v>
      </c>
      <c r="AH219" s="180">
        <v>3</v>
      </c>
      <c r="AI219" s="180">
        <v>2</v>
      </c>
      <c r="AJ219" s="180">
        <v>2</v>
      </c>
      <c r="AK219" s="180">
        <v>2</v>
      </c>
      <c r="AL219" s="180">
        <v>2</v>
      </c>
      <c r="AM219" s="180"/>
      <c r="AN219" s="180">
        <v>2</v>
      </c>
      <c r="AO219" s="180"/>
      <c r="AP219" s="180">
        <v>2</v>
      </c>
      <c r="AQ219" s="180">
        <v>2</v>
      </c>
      <c r="AR219" s="180">
        <v>3</v>
      </c>
      <c r="AS219" s="180">
        <v>2</v>
      </c>
      <c r="AT219" s="180">
        <v>2</v>
      </c>
      <c r="AU219" s="180">
        <v>1</v>
      </c>
      <c r="AV219" s="180">
        <v>3</v>
      </c>
      <c r="AW219" s="180">
        <v>2</v>
      </c>
      <c r="AX219" s="180">
        <v>2</v>
      </c>
      <c r="AY219" s="180">
        <v>2</v>
      </c>
      <c r="AZ219" s="180">
        <v>3</v>
      </c>
      <c r="BA219" s="180">
        <v>2</v>
      </c>
      <c r="BB219" s="180">
        <v>2</v>
      </c>
      <c r="BC219" s="180">
        <v>2</v>
      </c>
      <c r="BD219" s="180">
        <v>3</v>
      </c>
      <c r="BE219" s="180">
        <v>2</v>
      </c>
      <c r="BF219" s="180">
        <v>2</v>
      </c>
      <c r="BG219" s="180">
        <v>3</v>
      </c>
      <c r="BH219" s="180">
        <v>3</v>
      </c>
      <c r="BI219" s="180">
        <v>2</v>
      </c>
      <c r="BJ219" s="180">
        <v>3</v>
      </c>
      <c r="BK219" s="180"/>
      <c r="BL219" s="180">
        <v>2</v>
      </c>
      <c r="BM219" s="180">
        <v>3</v>
      </c>
      <c r="BN219" s="180">
        <v>2</v>
      </c>
      <c r="BO219" s="180">
        <v>2</v>
      </c>
      <c r="BP219" s="180">
        <v>2</v>
      </c>
      <c r="BQ219" s="180">
        <v>3</v>
      </c>
      <c r="BR219" s="180"/>
      <c r="BS219" s="180">
        <v>2</v>
      </c>
      <c r="BT219" s="180"/>
      <c r="BU219" s="180">
        <v>3</v>
      </c>
      <c r="BV219" s="180">
        <v>2</v>
      </c>
      <c r="BW219" s="180">
        <v>2</v>
      </c>
      <c r="BX219" s="180">
        <v>3</v>
      </c>
      <c r="BY219" s="180">
        <v>2</v>
      </c>
      <c r="BZ219" s="180">
        <v>2</v>
      </c>
      <c r="CA219" s="180">
        <v>2</v>
      </c>
      <c r="CB219" s="180">
        <v>3</v>
      </c>
      <c r="CC219" s="180">
        <v>2</v>
      </c>
      <c r="CD219" s="180"/>
      <c r="CE219" s="180">
        <v>2</v>
      </c>
      <c r="CF219" s="180">
        <v>2</v>
      </c>
      <c r="CG219" s="180">
        <v>2</v>
      </c>
      <c r="CH219" s="180">
        <v>3</v>
      </c>
      <c r="CI219" s="180"/>
      <c r="CJ219" s="180"/>
      <c r="CK219" s="180"/>
      <c r="CL219" s="180"/>
      <c r="CM219" s="180"/>
      <c r="CN219" s="180"/>
      <c r="CO219" s="180"/>
      <c r="CP219" s="180"/>
      <c r="CQ219" s="180"/>
      <c r="CR219" s="180"/>
      <c r="CS219" s="180"/>
      <c r="CT219" s="180"/>
      <c r="CU219" s="180"/>
    </row>
    <row r="220" spans="1:99" x14ac:dyDescent="0.3">
      <c r="A220" s="155">
        <v>975</v>
      </c>
      <c r="B220" s="180" t="s">
        <v>1889</v>
      </c>
      <c r="C220" s="180"/>
      <c r="D220" s="180">
        <v>1</v>
      </c>
      <c r="E220" s="180">
        <v>2</v>
      </c>
      <c r="F220" s="180">
        <v>1</v>
      </c>
      <c r="G220" s="180">
        <v>1</v>
      </c>
      <c r="H220" s="180"/>
      <c r="I220" s="180">
        <v>1</v>
      </c>
      <c r="J220" s="180">
        <v>1</v>
      </c>
      <c r="K220" s="180">
        <v>2</v>
      </c>
      <c r="L220" s="180">
        <v>1</v>
      </c>
      <c r="M220" s="180">
        <v>1</v>
      </c>
      <c r="N220" s="180">
        <v>1</v>
      </c>
      <c r="O220" s="180">
        <v>2</v>
      </c>
      <c r="P220" s="180">
        <v>1</v>
      </c>
      <c r="Q220" s="180">
        <v>2</v>
      </c>
      <c r="R220" s="180">
        <v>1</v>
      </c>
      <c r="S220" s="180">
        <v>2</v>
      </c>
      <c r="T220" s="180">
        <v>1</v>
      </c>
      <c r="U220" s="180">
        <v>1</v>
      </c>
      <c r="V220" s="180">
        <v>1</v>
      </c>
      <c r="W220" s="180">
        <v>1</v>
      </c>
      <c r="X220" s="180">
        <v>2</v>
      </c>
      <c r="Y220" s="180">
        <v>2</v>
      </c>
      <c r="Z220" s="180">
        <v>2</v>
      </c>
      <c r="AA220" s="180">
        <v>1</v>
      </c>
      <c r="AB220" s="180">
        <v>2</v>
      </c>
      <c r="AC220" s="180"/>
      <c r="AD220" s="180">
        <v>1</v>
      </c>
      <c r="AE220" s="180">
        <v>2</v>
      </c>
      <c r="AF220" s="180">
        <v>2</v>
      </c>
      <c r="AG220" s="180">
        <v>1</v>
      </c>
      <c r="AH220" s="180">
        <v>1</v>
      </c>
      <c r="AI220" s="180">
        <v>1</v>
      </c>
      <c r="AJ220" s="180">
        <v>2</v>
      </c>
      <c r="AK220" s="180">
        <v>1</v>
      </c>
      <c r="AL220" s="180">
        <v>1</v>
      </c>
      <c r="AM220" s="180"/>
      <c r="AN220" s="180">
        <v>2</v>
      </c>
      <c r="AO220" s="180"/>
      <c r="AP220" s="180">
        <v>2</v>
      </c>
      <c r="AQ220" s="180">
        <v>1</v>
      </c>
      <c r="AR220" s="180">
        <v>1</v>
      </c>
      <c r="AS220" s="180">
        <v>1</v>
      </c>
      <c r="AT220" s="180">
        <v>2</v>
      </c>
      <c r="AU220" s="180">
        <v>1</v>
      </c>
      <c r="AV220" s="1042">
        <v>1</v>
      </c>
      <c r="AW220" s="180">
        <v>2</v>
      </c>
      <c r="AX220" s="180">
        <v>1</v>
      </c>
      <c r="AY220" s="180">
        <v>1</v>
      </c>
      <c r="AZ220" s="180">
        <v>2</v>
      </c>
      <c r="BA220" s="180">
        <v>1</v>
      </c>
      <c r="BB220" s="180">
        <v>2</v>
      </c>
      <c r="BC220" s="180">
        <v>1</v>
      </c>
      <c r="BD220" s="180">
        <v>2</v>
      </c>
      <c r="BE220" s="180">
        <v>2</v>
      </c>
      <c r="BF220" s="180">
        <v>2</v>
      </c>
      <c r="BG220" s="180">
        <v>1</v>
      </c>
      <c r="BH220" s="180">
        <v>1</v>
      </c>
      <c r="BI220" s="180">
        <v>1</v>
      </c>
      <c r="BJ220" s="180">
        <v>2</v>
      </c>
      <c r="BK220" s="180"/>
      <c r="BL220" s="180">
        <v>1</v>
      </c>
      <c r="BM220" s="180">
        <v>1</v>
      </c>
      <c r="BN220" s="180">
        <v>2</v>
      </c>
      <c r="BO220" s="180">
        <v>1</v>
      </c>
      <c r="BP220" s="180">
        <v>1</v>
      </c>
      <c r="BQ220" s="180">
        <v>1</v>
      </c>
      <c r="BR220" s="180"/>
      <c r="BS220" s="180">
        <v>1</v>
      </c>
      <c r="BT220" s="180"/>
      <c r="BU220" s="180">
        <v>1</v>
      </c>
      <c r="BV220" s="180">
        <v>1</v>
      </c>
      <c r="BW220" s="180">
        <v>1</v>
      </c>
      <c r="BX220" s="180">
        <v>1</v>
      </c>
      <c r="BY220" s="180">
        <v>1</v>
      </c>
      <c r="BZ220" s="180">
        <v>1</v>
      </c>
      <c r="CA220" s="180">
        <v>2</v>
      </c>
      <c r="CB220" s="180">
        <v>1</v>
      </c>
      <c r="CC220" s="180">
        <v>1</v>
      </c>
      <c r="CD220" s="180"/>
      <c r="CE220" s="180">
        <v>2</v>
      </c>
      <c r="CF220" s="180">
        <v>1</v>
      </c>
      <c r="CG220" s="180">
        <v>1</v>
      </c>
      <c r="CH220" s="180">
        <v>2</v>
      </c>
      <c r="CI220" s="180"/>
      <c r="CJ220" s="180"/>
      <c r="CK220" s="180"/>
      <c r="CL220" s="180"/>
      <c r="CM220" s="180"/>
      <c r="CN220" s="180"/>
      <c r="CO220" s="180"/>
      <c r="CP220" s="180"/>
      <c r="CQ220" s="180"/>
      <c r="CR220" s="180"/>
      <c r="CS220" s="180"/>
      <c r="CT220" s="180"/>
      <c r="CU220" s="180"/>
    </row>
    <row r="221" spans="1:99" x14ac:dyDescent="0.3">
      <c r="A221" s="155">
        <v>980</v>
      </c>
      <c r="B221" s="180" t="s">
        <v>583</v>
      </c>
      <c r="C221" s="180"/>
      <c r="D221" s="180" t="s">
        <v>1981</v>
      </c>
      <c r="E221" s="180" t="s">
        <v>2027</v>
      </c>
      <c r="F221" s="180" t="s">
        <v>2714</v>
      </c>
      <c r="G221" s="180" t="s">
        <v>2009</v>
      </c>
      <c r="H221" s="180"/>
      <c r="I221" s="180" t="s">
        <v>2064</v>
      </c>
      <c r="J221" s="180" t="s">
        <v>2012</v>
      </c>
      <c r="K221" s="180" t="s">
        <v>2027</v>
      </c>
      <c r="L221" s="180" t="s">
        <v>2668</v>
      </c>
      <c r="M221" s="180" t="s">
        <v>2029</v>
      </c>
      <c r="N221" s="180" t="s">
        <v>2715</v>
      </c>
      <c r="O221" s="180" t="s">
        <v>2027</v>
      </c>
      <c r="P221" s="180" t="s">
        <v>2716</v>
      </c>
      <c r="Q221" s="180" t="s">
        <v>2027</v>
      </c>
      <c r="R221" s="180" t="s">
        <v>2022</v>
      </c>
      <c r="S221" s="180" t="s">
        <v>2027</v>
      </c>
      <c r="T221" s="180" t="s">
        <v>1921</v>
      </c>
      <c r="U221" s="180" t="s">
        <v>2717</v>
      </c>
      <c r="V221" s="180" t="s">
        <v>2025</v>
      </c>
      <c r="W221" s="180" t="s">
        <v>1992</v>
      </c>
      <c r="X221" s="180" t="s">
        <v>2027</v>
      </c>
      <c r="Y221" s="180" t="s">
        <v>2006</v>
      </c>
      <c r="Z221" s="180" t="s">
        <v>2026</v>
      </c>
      <c r="AA221" s="180" t="s">
        <v>2015</v>
      </c>
      <c r="AB221" s="180" t="s">
        <v>2025</v>
      </c>
      <c r="AC221" s="180"/>
      <c r="AD221" s="180" t="s">
        <v>2018</v>
      </c>
      <c r="AE221" s="180" t="s">
        <v>2027</v>
      </c>
      <c r="AF221" s="180" t="s">
        <v>2027</v>
      </c>
      <c r="AG221" s="180" t="s">
        <v>2668</v>
      </c>
      <c r="AH221" s="180" t="s">
        <v>2718</v>
      </c>
      <c r="AI221" s="180" t="s">
        <v>2719</v>
      </c>
      <c r="AJ221" s="180" t="s">
        <v>2027</v>
      </c>
      <c r="AK221" s="180" t="s">
        <v>2011</v>
      </c>
      <c r="AL221" s="180" t="s">
        <v>2720</v>
      </c>
      <c r="AM221" s="180"/>
      <c r="AN221" s="180" t="s">
        <v>2027</v>
      </c>
      <c r="AO221" s="180"/>
      <c r="AP221" s="180" t="s">
        <v>2031</v>
      </c>
      <c r="AQ221" s="180" t="s">
        <v>2064</v>
      </c>
      <c r="AR221" s="180" t="s">
        <v>2721</v>
      </c>
      <c r="AS221" s="180" t="s">
        <v>2060</v>
      </c>
      <c r="AT221" s="180" t="s">
        <v>1981</v>
      </c>
      <c r="AU221" s="180" t="s">
        <v>2722</v>
      </c>
      <c r="AV221" s="180" t="s">
        <v>1978</v>
      </c>
      <c r="AW221" s="180" t="s">
        <v>2027</v>
      </c>
      <c r="AX221" s="180" t="s">
        <v>1973</v>
      </c>
      <c r="AY221" s="180" t="s">
        <v>2535</v>
      </c>
      <c r="AZ221" s="180" t="s">
        <v>2016</v>
      </c>
      <c r="BA221" s="180" t="s">
        <v>2010</v>
      </c>
      <c r="BB221" s="180" t="s">
        <v>2027</v>
      </c>
      <c r="BC221" s="180" t="s">
        <v>1992</v>
      </c>
      <c r="BD221" s="180" t="s">
        <v>2014</v>
      </c>
      <c r="BE221" s="180" t="s">
        <v>2031</v>
      </c>
      <c r="BF221" s="180" t="s">
        <v>1921</v>
      </c>
      <c r="BG221" s="180" t="s">
        <v>2012</v>
      </c>
      <c r="BH221" s="180" t="s">
        <v>2028</v>
      </c>
      <c r="BI221" s="180" t="s">
        <v>2776</v>
      </c>
      <c r="BJ221" s="180" t="s">
        <v>2027</v>
      </c>
      <c r="BK221" s="180"/>
      <c r="BL221" s="180" t="s">
        <v>2674</v>
      </c>
      <c r="BM221" s="180" t="s">
        <v>2026</v>
      </c>
      <c r="BN221" s="180" t="s">
        <v>2720</v>
      </c>
      <c r="BO221" s="180" t="s">
        <v>2029</v>
      </c>
      <c r="BP221" s="180" t="s">
        <v>2723</v>
      </c>
      <c r="BQ221" s="180" t="s">
        <v>2724</v>
      </c>
      <c r="BR221" s="180"/>
      <c r="BS221" s="180" t="s">
        <v>1973</v>
      </c>
      <c r="BT221" s="180"/>
      <c r="BU221" s="180" t="s">
        <v>2026</v>
      </c>
      <c r="BV221" s="180" t="s">
        <v>1997</v>
      </c>
      <c r="BW221" s="180" t="s">
        <v>2026</v>
      </c>
      <c r="BX221" s="180" t="s">
        <v>2772</v>
      </c>
      <c r="BY221" s="180" t="s">
        <v>1981</v>
      </c>
      <c r="BZ221" s="180" t="s">
        <v>2667</v>
      </c>
      <c r="CA221" s="180" t="s">
        <v>1921</v>
      </c>
      <c r="CB221" s="180" t="s">
        <v>2032</v>
      </c>
      <c r="CC221" s="180" t="s">
        <v>2725</v>
      </c>
      <c r="CD221" s="180"/>
      <c r="CE221" s="180" t="s">
        <v>2023</v>
      </c>
      <c r="CF221" s="180" t="s">
        <v>2029</v>
      </c>
      <c r="CG221" s="180" t="s">
        <v>2023</v>
      </c>
      <c r="CH221" s="180" t="s">
        <v>2027</v>
      </c>
      <c r="CI221" s="180"/>
      <c r="CJ221" s="180"/>
      <c r="CK221" s="180"/>
      <c r="CL221" s="180"/>
      <c r="CM221" s="180"/>
      <c r="CN221" s="180"/>
      <c r="CO221" s="180"/>
      <c r="CP221" s="180"/>
      <c r="CQ221" s="180"/>
      <c r="CR221" s="180"/>
      <c r="CS221" s="180"/>
      <c r="CT221" s="180"/>
      <c r="CU221" s="180"/>
    </row>
    <row r="222" spans="1:99" x14ac:dyDescent="0.3">
      <c r="A222" s="155">
        <v>984</v>
      </c>
      <c r="B222" s="180" t="s">
        <v>947</v>
      </c>
      <c r="C222" s="180"/>
      <c r="D222" s="180">
        <v>0</v>
      </c>
      <c r="E222" s="180">
        <v>322903</v>
      </c>
      <c r="F222" s="180">
        <v>84072</v>
      </c>
      <c r="G222" s="180">
        <v>118371</v>
      </c>
      <c r="H222" s="180"/>
      <c r="I222" s="180">
        <v>3782473</v>
      </c>
      <c r="J222" s="180">
        <v>963923</v>
      </c>
      <c r="K222" s="180">
        <v>6547958</v>
      </c>
      <c r="L222" s="180">
        <v>678609</v>
      </c>
      <c r="M222" s="180">
        <v>15777404</v>
      </c>
      <c r="N222" s="180">
        <v>1818422</v>
      </c>
      <c r="O222" s="180">
        <v>120044303</v>
      </c>
      <c r="P222" s="180">
        <v>8231</v>
      </c>
      <c r="Q222" s="180">
        <v>37885</v>
      </c>
      <c r="R222" s="180">
        <v>919600</v>
      </c>
      <c r="S222" s="180">
        <v>524076</v>
      </c>
      <c r="T222" s="180">
        <v>650436</v>
      </c>
      <c r="U222" s="180">
        <v>111231</v>
      </c>
      <c r="V222" s="180">
        <v>21415</v>
      </c>
      <c r="W222" s="180">
        <v>549570</v>
      </c>
      <c r="X222" s="180">
        <v>35562611</v>
      </c>
      <c r="Y222" s="180">
        <v>426942000</v>
      </c>
      <c r="Z222" s="180">
        <v>2524829</v>
      </c>
      <c r="AA222" s="180">
        <v>83758</v>
      </c>
      <c r="AB222" s="180">
        <v>2055641</v>
      </c>
      <c r="AC222" s="180"/>
      <c r="AD222" s="180">
        <v>2859825</v>
      </c>
      <c r="AE222" s="180">
        <v>431746</v>
      </c>
      <c r="AF222" s="180">
        <v>18968732</v>
      </c>
      <c r="AG222" s="180">
        <v>4068895</v>
      </c>
      <c r="AH222" s="180">
        <v>659351</v>
      </c>
      <c r="AI222" s="180">
        <v>3446707</v>
      </c>
      <c r="AJ222" s="180">
        <v>469081</v>
      </c>
      <c r="AK222" s="180">
        <v>766956</v>
      </c>
      <c r="AL222" s="180">
        <v>160687</v>
      </c>
      <c r="AM222" s="180"/>
      <c r="AN222" s="180">
        <v>366724</v>
      </c>
      <c r="AO222" s="180"/>
      <c r="AP222" s="180">
        <v>16247</v>
      </c>
      <c r="AQ222" s="180">
        <v>74470823</v>
      </c>
      <c r="AR222" s="180">
        <v>44733</v>
      </c>
      <c r="AS222" s="180">
        <v>63322</v>
      </c>
      <c r="AT222" s="180">
        <v>6698262</v>
      </c>
      <c r="AU222" s="180">
        <v>198307</v>
      </c>
      <c r="AV222" s="180">
        <v>178535</v>
      </c>
      <c r="AW222" s="180">
        <v>18397146</v>
      </c>
      <c r="AX222" s="180">
        <v>57013</v>
      </c>
      <c r="AY222" s="180">
        <v>3669661</v>
      </c>
      <c r="AZ222" s="180">
        <v>2277101</v>
      </c>
      <c r="BA222" s="180">
        <v>121346</v>
      </c>
      <c r="BB222" s="180">
        <v>42654</v>
      </c>
      <c r="BC222" s="180">
        <v>1552010</v>
      </c>
      <c r="BD222" s="180">
        <v>36169</v>
      </c>
      <c r="BE222" s="180">
        <v>9859208</v>
      </c>
      <c r="BF222" s="180">
        <v>927745</v>
      </c>
      <c r="BG222" s="180">
        <v>135282</v>
      </c>
      <c r="BH222" s="180">
        <v>130777</v>
      </c>
      <c r="BI222" s="180">
        <v>880384</v>
      </c>
      <c r="BJ222" s="180">
        <v>0</v>
      </c>
      <c r="BK222" s="180"/>
      <c r="BL222" s="180">
        <v>418309</v>
      </c>
      <c r="BM222" s="180">
        <v>92174</v>
      </c>
      <c r="BN222" s="180">
        <v>5162383</v>
      </c>
      <c r="BO222" s="180">
        <v>5639676</v>
      </c>
      <c r="BP222" s="180">
        <v>128093189</v>
      </c>
      <c r="BQ222" s="180">
        <v>21754</v>
      </c>
      <c r="BR222" s="180"/>
      <c r="BS222" s="180">
        <v>221378</v>
      </c>
      <c r="BT222" s="180"/>
      <c r="BU222" s="180">
        <v>754755</v>
      </c>
      <c r="BV222" s="180">
        <v>6551129</v>
      </c>
      <c r="BW222" s="180">
        <v>2852351</v>
      </c>
      <c r="BX222" s="180">
        <v>10413430</v>
      </c>
      <c r="BY222" s="180">
        <v>2020823</v>
      </c>
      <c r="BZ222" s="180">
        <v>94186</v>
      </c>
      <c r="CA222" s="180">
        <v>2999085</v>
      </c>
      <c r="CB222" s="180">
        <v>81054</v>
      </c>
      <c r="CC222" s="180">
        <v>287840</v>
      </c>
      <c r="CD222" s="180"/>
      <c r="CE222" s="180">
        <v>3057429</v>
      </c>
      <c r="CF222" s="180">
        <v>5231942</v>
      </c>
      <c r="CG222" s="180">
        <v>659997</v>
      </c>
      <c r="CH222" s="180">
        <v>1757248</v>
      </c>
      <c r="CI222" s="180"/>
      <c r="CJ222" s="180"/>
      <c r="CK222" s="180"/>
      <c r="CL222" s="180"/>
      <c r="CM222" s="180"/>
      <c r="CN222" s="180"/>
      <c r="CO222" s="180"/>
      <c r="CP222" s="180"/>
      <c r="CQ222" s="180"/>
      <c r="CR222" s="180"/>
      <c r="CS222" s="180"/>
      <c r="CT222" s="180"/>
      <c r="CU222" s="180"/>
    </row>
    <row r="223" spans="1:99" s="554" customFormat="1" x14ac:dyDescent="0.3">
      <c r="A223" s="553">
        <v>985</v>
      </c>
      <c r="B223" s="554" t="s">
        <v>948</v>
      </c>
      <c r="D223" s="554">
        <v>0</v>
      </c>
      <c r="E223" s="554">
        <v>313900</v>
      </c>
      <c r="F223" s="554">
        <v>76700</v>
      </c>
      <c r="G223" s="554">
        <v>124375</v>
      </c>
      <c r="I223" s="554">
        <v>3430000</v>
      </c>
      <c r="J223" s="554">
        <v>969913</v>
      </c>
      <c r="K223" s="554">
        <v>6492270</v>
      </c>
      <c r="L223" s="554">
        <v>628800</v>
      </c>
      <c r="M223" s="554">
        <v>15340000</v>
      </c>
      <c r="N223" s="554">
        <v>1844966</v>
      </c>
      <c r="O223" s="554">
        <v>119373834</v>
      </c>
      <c r="P223" s="554">
        <v>7695</v>
      </c>
      <c r="Q223" s="554">
        <v>33000</v>
      </c>
      <c r="R223" s="554">
        <v>900610</v>
      </c>
      <c r="S223" s="554">
        <v>493906</v>
      </c>
      <c r="T223" s="554">
        <v>654374</v>
      </c>
      <c r="U223" s="554">
        <v>107829</v>
      </c>
      <c r="V223" s="554">
        <v>20560</v>
      </c>
      <c r="W223" s="554">
        <v>507300</v>
      </c>
      <c r="X223" s="554">
        <v>35828500</v>
      </c>
      <c r="Y223" s="554">
        <v>424005000</v>
      </c>
      <c r="Z223" s="554">
        <v>2478000</v>
      </c>
      <c r="AA223" s="554">
        <v>80600</v>
      </c>
      <c r="AB223" s="554">
        <v>2015000</v>
      </c>
      <c r="AD223" s="554">
        <v>2714450</v>
      </c>
      <c r="AE223" s="554">
        <v>353200</v>
      </c>
      <c r="AF223" s="554">
        <v>18552199</v>
      </c>
      <c r="AG223" s="554">
        <v>4021310</v>
      </c>
      <c r="AH223" s="554">
        <v>672405</v>
      </c>
      <c r="AI223" s="554">
        <v>3388400</v>
      </c>
      <c r="AJ223" s="554">
        <v>442500</v>
      </c>
      <c r="AK223" s="554">
        <v>752619</v>
      </c>
      <c r="AL223" s="554">
        <v>146500</v>
      </c>
      <c r="AN223" s="554">
        <v>314182</v>
      </c>
      <c r="AP223" s="554">
        <v>17300</v>
      </c>
      <c r="AQ223" s="554">
        <v>72422504</v>
      </c>
      <c r="AR223" s="554">
        <v>43699</v>
      </c>
      <c r="AS223" s="554">
        <v>66889</v>
      </c>
      <c r="AT223" s="554">
        <v>6519000</v>
      </c>
      <c r="AU223" s="554">
        <v>247150</v>
      </c>
      <c r="AV223" s="554">
        <v>150700</v>
      </c>
      <c r="AW223" s="554">
        <v>17773063</v>
      </c>
      <c r="AX223" s="554">
        <v>59900</v>
      </c>
      <c r="AY223" s="554">
        <v>3629329</v>
      </c>
      <c r="AZ223" s="554">
        <v>2255822</v>
      </c>
      <c r="BA223" s="554">
        <v>102616</v>
      </c>
      <c r="BB223" s="554">
        <v>29100</v>
      </c>
      <c r="BC223" s="554">
        <v>1547848</v>
      </c>
      <c r="BD223" s="554">
        <v>34700</v>
      </c>
      <c r="BE223" s="554">
        <v>9705122</v>
      </c>
      <c r="BF223" s="554">
        <v>88000</v>
      </c>
      <c r="BG223" s="554">
        <v>133562</v>
      </c>
      <c r="BH223" s="554">
        <v>158600</v>
      </c>
      <c r="BI223" s="554">
        <v>861745</v>
      </c>
      <c r="BJ223" s="554">
        <v>0</v>
      </c>
      <c r="BL223" s="554">
        <v>421545</v>
      </c>
      <c r="BM223" s="554">
        <v>92256</v>
      </c>
      <c r="BN223" s="554">
        <v>5100112</v>
      </c>
      <c r="BO223" s="554">
        <v>5383600</v>
      </c>
      <c r="BP223" s="554">
        <v>126332305</v>
      </c>
      <c r="BQ223" s="554">
        <v>19000</v>
      </c>
      <c r="BS223" s="554">
        <v>209365</v>
      </c>
      <c r="BU223" s="554">
        <v>682000</v>
      </c>
      <c r="BV223" s="554">
        <v>6498800</v>
      </c>
      <c r="BW223" s="554">
        <v>2555273</v>
      </c>
      <c r="BX223" s="554">
        <v>10241061</v>
      </c>
      <c r="BY223" s="554">
        <v>1964484</v>
      </c>
      <c r="BZ223" s="554">
        <v>89350</v>
      </c>
      <c r="CA223" s="554">
        <v>2820807</v>
      </c>
      <c r="CB223" s="554">
        <v>72300</v>
      </c>
      <c r="CC223" s="554">
        <v>292000</v>
      </c>
      <c r="CE223" s="554">
        <v>2837658</v>
      </c>
      <c r="CF223" s="554">
        <v>5166698</v>
      </c>
      <c r="CG223" s="554">
        <v>728150</v>
      </c>
      <c r="CH223" s="554">
        <v>1705667</v>
      </c>
    </row>
    <row r="224" spans="1:99" s="554" customFormat="1" x14ac:dyDescent="0.3">
      <c r="A224" s="553">
        <v>986</v>
      </c>
      <c r="B224" s="554" t="s">
        <v>584</v>
      </c>
      <c r="D224" s="554">
        <v>0</v>
      </c>
      <c r="E224" s="554">
        <v>0</v>
      </c>
      <c r="F224" s="554">
        <v>0</v>
      </c>
      <c r="G224" s="554">
        <v>0</v>
      </c>
      <c r="I224" s="554">
        <v>0</v>
      </c>
      <c r="J224" s="554">
        <v>0</v>
      </c>
      <c r="K224" s="554">
        <v>0</v>
      </c>
      <c r="L224" s="554">
        <v>0</v>
      </c>
      <c r="M224" s="554">
        <v>0</v>
      </c>
      <c r="N224" s="554">
        <v>0</v>
      </c>
      <c r="O224" s="554">
        <v>70000</v>
      </c>
      <c r="P224" s="554">
        <v>0</v>
      </c>
      <c r="Q224" s="554">
        <v>0</v>
      </c>
      <c r="R224" s="554">
        <v>0</v>
      </c>
      <c r="S224" s="554">
        <v>0</v>
      </c>
      <c r="T224" s="554">
        <v>0</v>
      </c>
      <c r="U224" s="554">
        <v>0</v>
      </c>
      <c r="V224" s="554">
        <v>0</v>
      </c>
      <c r="W224" s="554">
        <v>0</v>
      </c>
      <c r="X224" s="554">
        <v>0</v>
      </c>
      <c r="Y224" s="554">
        <v>0</v>
      </c>
      <c r="Z224" s="554">
        <v>0</v>
      </c>
      <c r="AA224" s="554">
        <v>0</v>
      </c>
      <c r="AB224" s="554">
        <v>0</v>
      </c>
      <c r="AD224" s="554">
        <v>0</v>
      </c>
      <c r="AE224" s="554">
        <v>0</v>
      </c>
      <c r="AF224" s="554">
        <v>0</v>
      </c>
      <c r="AG224" s="554">
        <v>0</v>
      </c>
      <c r="AH224" s="554">
        <v>0</v>
      </c>
      <c r="AI224" s="554">
        <v>0</v>
      </c>
      <c r="AJ224" s="554">
        <v>0</v>
      </c>
      <c r="AK224" s="554">
        <v>0</v>
      </c>
      <c r="AL224" s="554">
        <v>79855</v>
      </c>
      <c r="AN224" s="554">
        <v>0</v>
      </c>
      <c r="AP224" s="554">
        <v>0</v>
      </c>
      <c r="AQ224" s="554">
        <v>0</v>
      </c>
      <c r="AR224" s="554">
        <v>0</v>
      </c>
      <c r="AS224" s="554">
        <v>0</v>
      </c>
      <c r="AT224" s="554">
        <v>0</v>
      </c>
      <c r="AU224" s="554">
        <v>0</v>
      </c>
      <c r="AV224" s="554">
        <v>0</v>
      </c>
      <c r="AW224" s="554">
        <v>0</v>
      </c>
      <c r="AX224" s="554">
        <v>0</v>
      </c>
      <c r="AY224" s="554">
        <v>0</v>
      </c>
      <c r="AZ224" s="554">
        <v>0</v>
      </c>
      <c r="BA224" s="554">
        <v>0</v>
      </c>
      <c r="BB224" s="554">
        <v>0</v>
      </c>
      <c r="BC224" s="554">
        <v>0</v>
      </c>
      <c r="BD224" s="554">
        <v>0</v>
      </c>
      <c r="BE224" s="554">
        <v>0</v>
      </c>
      <c r="BF224" s="554">
        <v>0</v>
      </c>
      <c r="BG224" s="554">
        <v>0</v>
      </c>
      <c r="BH224" s="554">
        <v>0</v>
      </c>
      <c r="BI224" s="554">
        <v>0</v>
      </c>
      <c r="BJ224" s="554">
        <v>0</v>
      </c>
      <c r="BL224" s="554">
        <v>0</v>
      </c>
      <c r="BM224" s="554">
        <v>0</v>
      </c>
      <c r="BN224" s="554">
        <v>0</v>
      </c>
      <c r="BO224" s="554">
        <v>0</v>
      </c>
      <c r="BP224" s="554">
        <v>0</v>
      </c>
      <c r="BQ224" s="554">
        <v>0</v>
      </c>
      <c r="BS224" s="554">
        <v>0</v>
      </c>
      <c r="BU224" s="554">
        <v>0</v>
      </c>
      <c r="BV224" s="554">
        <v>501107</v>
      </c>
      <c r="BW224" s="554">
        <v>0</v>
      </c>
      <c r="BX224" s="554">
        <v>0</v>
      </c>
      <c r="BY224" s="554">
        <v>0</v>
      </c>
      <c r="BZ224" s="554">
        <v>35375</v>
      </c>
      <c r="CA224" s="554">
        <v>0</v>
      </c>
      <c r="CB224" s="554">
        <v>0</v>
      </c>
      <c r="CC224" s="554">
        <v>0</v>
      </c>
      <c r="CE224" s="554">
        <v>0</v>
      </c>
      <c r="CF224" s="554">
        <v>0</v>
      </c>
      <c r="CG224" s="554">
        <v>0</v>
      </c>
      <c r="CH224" s="554">
        <v>0</v>
      </c>
    </row>
    <row r="225" spans="1:99" s="554" customFormat="1" x14ac:dyDescent="0.3">
      <c r="A225" s="553">
        <v>987</v>
      </c>
      <c r="B225" s="554" t="s">
        <v>949</v>
      </c>
      <c r="D225" s="554">
        <v>0</v>
      </c>
      <c r="E225" s="554">
        <v>0</v>
      </c>
      <c r="F225" s="554">
        <v>0</v>
      </c>
      <c r="G225" s="554">
        <v>0</v>
      </c>
      <c r="I225" s="554">
        <v>0</v>
      </c>
      <c r="J225" s="554">
        <v>0</v>
      </c>
      <c r="K225" s="554">
        <v>0</v>
      </c>
      <c r="L225" s="554">
        <v>0</v>
      </c>
      <c r="M225" s="554">
        <v>0</v>
      </c>
      <c r="N225" s="554">
        <v>0</v>
      </c>
      <c r="O225" s="554">
        <v>0</v>
      </c>
      <c r="P225" s="554">
        <v>0</v>
      </c>
      <c r="Q225" s="554">
        <v>0</v>
      </c>
      <c r="R225" s="554">
        <v>0</v>
      </c>
      <c r="S225" s="554">
        <v>0</v>
      </c>
      <c r="T225" s="554">
        <v>0</v>
      </c>
      <c r="U225" s="554">
        <v>0</v>
      </c>
      <c r="V225" s="554">
        <v>0</v>
      </c>
      <c r="W225" s="554">
        <v>0</v>
      </c>
      <c r="X225" s="554">
        <v>0</v>
      </c>
      <c r="Y225" s="554">
        <v>0</v>
      </c>
      <c r="Z225" s="554">
        <v>0</v>
      </c>
      <c r="AA225" s="554">
        <v>0</v>
      </c>
      <c r="AB225" s="554">
        <v>0</v>
      </c>
      <c r="AD225" s="554">
        <v>0</v>
      </c>
      <c r="AE225" s="554">
        <v>0</v>
      </c>
      <c r="AF225" s="554">
        <v>0</v>
      </c>
      <c r="AG225" s="554">
        <v>0</v>
      </c>
      <c r="AH225" s="554">
        <v>0</v>
      </c>
      <c r="AI225" s="554">
        <v>0</v>
      </c>
      <c r="AJ225" s="554">
        <v>0</v>
      </c>
      <c r="AK225" s="554">
        <v>0</v>
      </c>
      <c r="AL225" s="554">
        <v>0</v>
      </c>
      <c r="AN225" s="554">
        <v>0</v>
      </c>
      <c r="AP225" s="554">
        <v>0</v>
      </c>
      <c r="AQ225" s="554">
        <v>0</v>
      </c>
      <c r="AR225" s="554">
        <v>0</v>
      </c>
      <c r="AS225" s="554">
        <v>0</v>
      </c>
      <c r="AT225" s="554">
        <v>0</v>
      </c>
      <c r="AU225" s="554">
        <v>0</v>
      </c>
      <c r="AV225" s="554">
        <v>0</v>
      </c>
      <c r="AW225" s="554">
        <v>0</v>
      </c>
      <c r="AX225" s="554">
        <v>0</v>
      </c>
      <c r="AY225" s="554">
        <v>0</v>
      </c>
      <c r="AZ225" s="554">
        <v>0</v>
      </c>
      <c r="BA225" s="554">
        <v>0</v>
      </c>
      <c r="BB225" s="554">
        <v>0</v>
      </c>
      <c r="BC225" s="554">
        <v>0</v>
      </c>
      <c r="BD225" s="554">
        <v>0</v>
      </c>
      <c r="BE225" s="554">
        <v>0</v>
      </c>
      <c r="BF225" s="554">
        <v>0</v>
      </c>
      <c r="BG225" s="554">
        <v>0</v>
      </c>
      <c r="BH225" s="554">
        <v>0</v>
      </c>
      <c r="BI225" s="554">
        <v>0</v>
      </c>
      <c r="BJ225" s="554">
        <v>0</v>
      </c>
      <c r="BL225" s="554">
        <v>0</v>
      </c>
      <c r="BM225" s="554">
        <v>0</v>
      </c>
      <c r="BN225" s="554">
        <v>0</v>
      </c>
      <c r="BO225" s="554">
        <v>0</v>
      </c>
      <c r="BP225" s="554">
        <v>0</v>
      </c>
      <c r="BQ225" s="554">
        <v>0</v>
      </c>
      <c r="BS225" s="554">
        <v>0</v>
      </c>
      <c r="BU225" s="554">
        <v>0</v>
      </c>
      <c r="BV225" s="554">
        <v>0</v>
      </c>
      <c r="BW225" s="554">
        <v>0</v>
      </c>
      <c r="BX225" s="554">
        <v>0</v>
      </c>
      <c r="BY225" s="554">
        <v>0</v>
      </c>
      <c r="BZ225" s="554">
        <v>0</v>
      </c>
      <c r="CA225" s="554">
        <v>0</v>
      </c>
      <c r="CB225" s="554">
        <v>0</v>
      </c>
      <c r="CC225" s="554">
        <v>0</v>
      </c>
      <c r="CE225" s="554">
        <v>0</v>
      </c>
      <c r="CF225" s="554">
        <v>0</v>
      </c>
      <c r="CG225" s="554">
        <v>0</v>
      </c>
      <c r="CH225" s="554">
        <v>0</v>
      </c>
    </row>
    <row r="226" spans="1:99" s="554" customFormat="1" x14ac:dyDescent="0.3">
      <c r="A226" s="553">
        <v>988</v>
      </c>
      <c r="B226" s="554" t="s">
        <v>950</v>
      </c>
      <c r="D226" s="554">
        <v>2</v>
      </c>
      <c r="E226" s="554">
        <v>2</v>
      </c>
      <c r="F226" s="554">
        <v>2</v>
      </c>
      <c r="G226" s="554">
        <v>2</v>
      </c>
      <c r="I226" s="554">
        <v>2</v>
      </c>
      <c r="J226" s="554">
        <v>2</v>
      </c>
      <c r="K226" s="554">
        <v>2</v>
      </c>
      <c r="L226" s="554">
        <v>2</v>
      </c>
      <c r="M226" s="554">
        <v>2</v>
      </c>
      <c r="N226" s="554">
        <v>2</v>
      </c>
      <c r="O226" s="554">
        <v>2</v>
      </c>
      <c r="P226" s="554">
        <v>2</v>
      </c>
      <c r="Q226" s="554">
        <v>2</v>
      </c>
      <c r="R226" s="554">
        <v>2</v>
      </c>
      <c r="S226" s="554">
        <v>2</v>
      </c>
      <c r="T226" s="554">
        <v>2</v>
      </c>
      <c r="U226" s="554">
        <v>2</v>
      </c>
      <c r="V226" s="554">
        <v>2</v>
      </c>
      <c r="W226" s="554">
        <v>2</v>
      </c>
      <c r="X226" s="554">
        <v>2</v>
      </c>
      <c r="Y226" s="554">
        <v>2</v>
      </c>
      <c r="Z226" s="554">
        <v>2</v>
      </c>
      <c r="AA226" s="554">
        <v>2</v>
      </c>
      <c r="AB226" s="554">
        <v>0</v>
      </c>
      <c r="AD226" s="554">
        <v>2</v>
      </c>
      <c r="AE226" s="554">
        <v>2</v>
      </c>
      <c r="AF226" s="554">
        <v>2</v>
      </c>
      <c r="AG226" s="554">
        <v>2</v>
      </c>
      <c r="AH226" s="554">
        <v>2</v>
      </c>
      <c r="AI226" s="554">
        <v>2</v>
      </c>
      <c r="AJ226" s="554">
        <v>2</v>
      </c>
      <c r="AK226" s="554">
        <v>2</v>
      </c>
      <c r="AL226" s="554">
        <v>2</v>
      </c>
      <c r="AN226" s="554">
        <v>2</v>
      </c>
      <c r="AP226" s="554">
        <v>2</v>
      </c>
      <c r="AQ226" s="554">
        <v>2</v>
      </c>
      <c r="AR226" s="554">
        <v>2</v>
      </c>
      <c r="AS226" s="554">
        <v>2</v>
      </c>
      <c r="AT226" s="554">
        <v>2</v>
      </c>
      <c r="AU226" s="554">
        <v>2</v>
      </c>
      <c r="AV226" s="554">
        <v>2</v>
      </c>
      <c r="AW226" s="554">
        <v>2</v>
      </c>
      <c r="AX226" s="554">
        <v>2</v>
      </c>
      <c r="AY226" s="554">
        <v>2</v>
      </c>
      <c r="AZ226" s="554">
        <v>2</v>
      </c>
      <c r="BA226" s="554">
        <v>2</v>
      </c>
      <c r="BB226" s="554">
        <v>2</v>
      </c>
      <c r="BC226" s="554">
        <v>2</v>
      </c>
      <c r="BD226" s="554">
        <v>2</v>
      </c>
      <c r="BE226" s="554">
        <v>2</v>
      </c>
      <c r="BF226" s="554">
        <v>2</v>
      </c>
      <c r="BG226" s="554">
        <v>2</v>
      </c>
      <c r="BH226" s="554">
        <v>2</v>
      </c>
      <c r="BI226" s="554">
        <v>2</v>
      </c>
      <c r="BJ226" s="554">
        <v>0</v>
      </c>
      <c r="BL226" s="554">
        <v>2</v>
      </c>
      <c r="BM226" s="554">
        <v>2</v>
      </c>
      <c r="BN226" s="554">
        <v>2</v>
      </c>
      <c r="BO226" s="554">
        <v>2</v>
      </c>
      <c r="BP226" s="554">
        <v>2</v>
      </c>
      <c r="BQ226" s="554">
        <v>2</v>
      </c>
      <c r="BS226" s="554">
        <v>2</v>
      </c>
      <c r="BU226" s="554">
        <v>2</v>
      </c>
      <c r="BV226" s="554">
        <v>0</v>
      </c>
      <c r="BW226" s="554">
        <v>2</v>
      </c>
      <c r="BX226" s="554">
        <v>2</v>
      </c>
      <c r="BY226" s="554">
        <v>2</v>
      </c>
      <c r="BZ226" s="554">
        <v>2</v>
      </c>
      <c r="CA226" s="554">
        <v>2</v>
      </c>
      <c r="CB226" s="554">
        <v>2</v>
      </c>
      <c r="CC226" s="554">
        <v>2</v>
      </c>
      <c r="CE226" s="554">
        <v>2</v>
      </c>
      <c r="CF226" s="554">
        <v>2</v>
      </c>
      <c r="CG226" s="554">
        <v>2</v>
      </c>
      <c r="CH226" s="554">
        <v>2</v>
      </c>
    </row>
    <row r="227" spans="1:99" x14ac:dyDescent="0.3">
      <c r="A227" s="155">
        <v>989</v>
      </c>
      <c r="B227" s="180" t="s">
        <v>951</v>
      </c>
      <c r="C227" s="180"/>
      <c r="D227" s="180">
        <v>3</v>
      </c>
      <c r="E227" s="180">
        <v>3</v>
      </c>
      <c r="F227" s="180">
        <v>3</v>
      </c>
      <c r="G227" s="180">
        <v>3</v>
      </c>
      <c r="H227" s="180"/>
      <c r="I227" s="180">
        <v>3</v>
      </c>
      <c r="J227" s="180">
        <v>3</v>
      </c>
      <c r="K227" s="180">
        <v>3</v>
      </c>
      <c r="L227" s="180">
        <v>3</v>
      </c>
      <c r="M227" s="180">
        <v>3</v>
      </c>
      <c r="N227" s="180">
        <v>3</v>
      </c>
      <c r="O227" s="180">
        <v>3</v>
      </c>
      <c r="P227" s="180">
        <v>3</v>
      </c>
      <c r="Q227" s="180">
        <v>3</v>
      </c>
      <c r="R227" s="180">
        <v>3</v>
      </c>
      <c r="S227" s="180">
        <v>3</v>
      </c>
      <c r="T227" s="180">
        <v>3</v>
      </c>
      <c r="U227" s="180">
        <v>3</v>
      </c>
      <c r="V227" s="180">
        <v>3</v>
      </c>
      <c r="W227" s="180">
        <v>3</v>
      </c>
      <c r="X227" s="180">
        <v>3</v>
      </c>
      <c r="Y227" s="180">
        <v>3</v>
      </c>
      <c r="Z227" s="180">
        <v>3</v>
      </c>
      <c r="AA227" s="180">
        <v>3</v>
      </c>
      <c r="AB227" s="180">
        <v>0</v>
      </c>
      <c r="AC227" s="180"/>
      <c r="AD227" s="180">
        <v>3</v>
      </c>
      <c r="AE227" s="180">
        <v>3</v>
      </c>
      <c r="AF227" s="180">
        <v>3</v>
      </c>
      <c r="AG227" s="180">
        <v>3</v>
      </c>
      <c r="AH227" s="180">
        <v>3</v>
      </c>
      <c r="AI227" s="180">
        <v>3</v>
      </c>
      <c r="AJ227" s="180">
        <v>3</v>
      </c>
      <c r="AK227" s="180">
        <v>3</v>
      </c>
      <c r="AL227" s="180">
        <v>3</v>
      </c>
      <c r="AM227" s="180"/>
      <c r="AN227" s="180">
        <v>2</v>
      </c>
      <c r="AO227" s="180"/>
      <c r="AP227" s="180">
        <v>0</v>
      </c>
      <c r="AQ227" s="180">
        <v>3</v>
      </c>
      <c r="AR227" s="180">
        <v>3</v>
      </c>
      <c r="AS227" s="180">
        <v>3</v>
      </c>
      <c r="AT227" s="180">
        <v>3</v>
      </c>
      <c r="AU227" s="180">
        <v>3</v>
      </c>
      <c r="AV227" s="1042">
        <v>3</v>
      </c>
      <c r="AW227" s="180">
        <v>3</v>
      </c>
      <c r="AX227" s="180">
        <v>3</v>
      </c>
      <c r="AY227" s="180">
        <v>3</v>
      </c>
      <c r="AZ227" s="180">
        <v>0</v>
      </c>
      <c r="BA227" s="180">
        <v>3</v>
      </c>
      <c r="BB227" s="180">
        <v>3</v>
      </c>
      <c r="BC227" s="180">
        <v>3</v>
      </c>
      <c r="BD227" s="180">
        <v>3</v>
      </c>
      <c r="BE227" s="180">
        <v>3</v>
      </c>
      <c r="BF227" s="180">
        <v>3</v>
      </c>
      <c r="BG227" s="180">
        <v>3</v>
      </c>
      <c r="BH227" s="180">
        <v>3</v>
      </c>
      <c r="BI227" s="180">
        <v>3</v>
      </c>
      <c r="BJ227" s="180">
        <v>0</v>
      </c>
      <c r="BK227" s="180"/>
      <c r="BL227" s="180">
        <v>3</v>
      </c>
      <c r="BM227" s="180">
        <v>3</v>
      </c>
      <c r="BN227" s="180">
        <v>3</v>
      </c>
      <c r="BO227" s="180">
        <v>3</v>
      </c>
      <c r="BP227" s="180">
        <v>3</v>
      </c>
      <c r="BQ227" s="180">
        <v>0</v>
      </c>
      <c r="BR227" s="180"/>
      <c r="BS227" s="180">
        <v>3</v>
      </c>
      <c r="BT227" s="180"/>
      <c r="BU227" s="180">
        <v>3</v>
      </c>
      <c r="BV227" s="180">
        <v>0</v>
      </c>
      <c r="BW227" s="180">
        <v>3</v>
      </c>
      <c r="BX227" s="180">
        <v>3</v>
      </c>
      <c r="BY227" s="180">
        <v>3</v>
      </c>
      <c r="BZ227" s="180">
        <v>3</v>
      </c>
      <c r="CA227" s="180">
        <v>3</v>
      </c>
      <c r="CB227" s="180">
        <v>3</v>
      </c>
      <c r="CC227" s="180">
        <v>3</v>
      </c>
      <c r="CD227" s="180"/>
      <c r="CE227" s="180">
        <v>3</v>
      </c>
      <c r="CF227" s="180">
        <v>3</v>
      </c>
      <c r="CG227" s="180">
        <v>3</v>
      </c>
      <c r="CH227" s="180">
        <v>3</v>
      </c>
      <c r="CI227" s="180"/>
      <c r="CJ227" s="180"/>
      <c r="CK227" s="180"/>
      <c r="CL227" s="180"/>
      <c r="CM227" s="180"/>
      <c r="CN227" s="180"/>
      <c r="CO227" s="180"/>
      <c r="CP227" s="180"/>
      <c r="CQ227" s="180"/>
      <c r="CR227" s="180"/>
      <c r="CS227" s="180"/>
      <c r="CT227" s="180"/>
      <c r="CU227" s="180"/>
    </row>
    <row r="228" spans="1:99" x14ac:dyDescent="0.3">
      <c r="A228" s="155">
        <v>990</v>
      </c>
      <c r="B228" s="180" t="s">
        <v>575</v>
      </c>
      <c r="C228" s="180"/>
      <c r="D228" s="180">
        <v>0</v>
      </c>
      <c r="E228" s="180">
        <v>0</v>
      </c>
      <c r="F228" s="180">
        <v>0</v>
      </c>
      <c r="G228" s="180">
        <v>0</v>
      </c>
      <c r="H228" s="180"/>
      <c r="I228" s="180">
        <v>0</v>
      </c>
      <c r="J228" s="180">
        <v>0</v>
      </c>
      <c r="K228" s="180">
        <v>0</v>
      </c>
      <c r="L228" s="180">
        <v>0</v>
      </c>
      <c r="M228" s="180">
        <v>0</v>
      </c>
      <c r="N228" s="180">
        <v>0</v>
      </c>
      <c r="O228" s="180">
        <v>0</v>
      </c>
      <c r="P228" s="180">
        <v>0</v>
      </c>
      <c r="Q228" s="180">
        <v>0</v>
      </c>
      <c r="R228" s="180">
        <v>0</v>
      </c>
      <c r="S228" s="180">
        <v>0</v>
      </c>
      <c r="T228" s="180">
        <v>0</v>
      </c>
      <c r="U228" s="180">
        <v>0</v>
      </c>
      <c r="V228" s="180">
        <v>0</v>
      </c>
      <c r="W228" s="180">
        <v>0</v>
      </c>
      <c r="X228" s="180">
        <v>0</v>
      </c>
      <c r="Y228" s="180">
        <v>0</v>
      </c>
      <c r="Z228" s="180">
        <v>0</v>
      </c>
      <c r="AA228" s="180">
        <v>0</v>
      </c>
      <c r="AB228" s="180">
        <v>0</v>
      </c>
      <c r="AC228" s="180"/>
      <c r="AD228" s="180">
        <v>0</v>
      </c>
      <c r="AE228" s="180">
        <v>0</v>
      </c>
      <c r="AF228" s="180">
        <v>0</v>
      </c>
      <c r="AG228" s="180">
        <v>0</v>
      </c>
      <c r="AH228" s="180">
        <v>0</v>
      </c>
      <c r="AI228" s="180">
        <v>0</v>
      </c>
      <c r="AJ228" s="180">
        <v>0</v>
      </c>
      <c r="AK228" s="180">
        <v>0</v>
      </c>
      <c r="AL228" s="180">
        <v>0</v>
      </c>
      <c r="AM228" s="180"/>
      <c r="AN228" s="180">
        <v>0</v>
      </c>
      <c r="AO228" s="180"/>
      <c r="AP228" s="180">
        <v>0</v>
      </c>
      <c r="AQ228" s="180">
        <v>650377</v>
      </c>
      <c r="AR228" s="180">
        <v>0</v>
      </c>
      <c r="AS228" s="180">
        <v>0</v>
      </c>
      <c r="AT228" s="180">
        <v>0</v>
      </c>
      <c r="AU228" s="180">
        <v>0</v>
      </c>
      <c r="AV228" s="570">
        <v>0</v>
      </c>
      <c r="AW228" s="180">
        <v>0</v>
      </c>
      <c r="AX228" s="180">
        <v>0</v>
      </c>
      <c r="AY228" s="180">
        <v>0</v>
      </c>
      <c r="AZ228" s="180">
        <v>0</v>
      </c>
      <c r="BA228" s="180">
        <v>0</v>
      </c>
      <c r="BB228" s="180">
        <v>0</v>
      </c>
      <c r="BC228" s="180">
        <v>735733</v>
      </c>
      <c r="BD228" s="180">
        <v>0</v>
      </c>
      <c r="BE228" s="180">
        <v>0</v>
      </c>
      <c r="BF228" s="180">
        <v>0</v>
      </c>
      <c r="BG228" s="180">
        <v>0</v>
      </c>
      <c r="BH228" s="180">
        <v>0</v>
      </c>
      <c r="BI228" s="180">
        <v>0</v>
      </c>
      <c r="BJ228" s="180">
        <v>0</v>
      </c>
      <c r="BK228" s="180"/>
      <c r="BL228" s="180">
        <v>0</v>
      </c>
      <c r="BM228" s="180">
        <v>0</v>
      </c>
      <c r="BN228" s="180">
        <v>0</v>
      </c>
      <c r="BO228" s="180">
        <v>0</v>
      </c>
      <c r="BP228" s="180">
        <v>0</v>
      </c>
      <c r="BQ228" s="180">
        <v>0</v>
      </c>
      <c r="BR228" s="180"/>
      <c r="BS228" s="180">
        <v>0</v>
      </c>
      <c r="BT228" s="180"/>
      <c r="BU228" s="180">
        <v>0</v>
      </c>
      <c r="BV228" s="180">
        <v>0</v>
      </c>
      <c r="BW228" s="180">
        <v>0</v>
      </c>
      <c r="BX228" s="180">
        <v>925000</v>
      </c>
      <c r="BY228" s="180">
        <v>0</v>
      </c>
      <c r="BZ228" s="180">
        <v>0</v>
      </c>
      <c r="CA228" s="180">
        <v>0</v>
      </c>
      <c r="CB228" s="180">
        <v>0</v>
      </c>
      <c r="CC228" s="180">
        <v>0</v>
      </c>
      <c r="CD228" s="180"/>
      <c r="CE228" s="180">
        <v>0</v>
      </c>
      <c r="CF228" s="180">
        <v>0</v>
      </c>
      <c r="CG228" s="180">
        <v>0</v>
      </c>
      <c r="CH228" s="180">
        <v>0</v>
      </c>
      <c r="CI228" s="180"/>
      <c r="CJ228" s="180"/>
      <c r="CK228" s="180"/>
      <c r="CL228" s="180"/>
      <c r="CM228" s="180"/>
      <c r="CN228" s="180"/>
      <c r="CO228" s="180"/>
      <c r="CP228" s="180"/>
      <c r="CQ228" s="180"/>
      <c r="CR228" s="180"/>
      <c r="CS228" s="180"/>
      <c r="CT228" s="180"/>
      <c r="CU228" s="180"/>
    </row>
    <row r="229" spans="1:99" x14ac:dyDescent="0.3">
      <c r="A229" s="155">
        <v>991</v>
      </c>
      <c r="B229" s="180" t="s">
        <v>952</v>
      </c>
      <c r="C229" s="180"/>
      <c r="D229" s="180">
        <v>0</v>
      </c>
      <c r="E229" s="180">
        <v>23</v>
      </c>
      <c r="F229" s="180">
        <v>23</v>
      </c>
      <c r="G229" s="180">
        <v>23</v>
      </c>
      <c r="H229" s="180"/>
      <c r="I229" s="180">
        <v>22</v>
      </c>
      <c r="J229" s="180">
        <v>22</v>
      </c>
      <c r="K229" s="180">
        <v>23</v>
      </c>
      <c r="L229" s="180">
        <v>23</v>
      </c>
      <c r="M229" s="180">
        <v>23</v>
      </c>
      <c r="N229" s="180">
        <v>23</v>
      </c>
      <c r="O229" s="180">
        <v>20</v>
      </c>
      <c r="P229" s="180">
        <v>23</v>
      </c>
      <c r="Q229" s="180">
        <v>22</v>
      </c>
      <c r="R229" s="180">
        <v>23</v>
      </c>
      <c r="S229" s="180">
        <v>23</v>
      </c>
      <c r="T229" s="180">
        <v>23</v>
      </c>
      <c r="U229" s="180">
        <v>23</v>
      </c>
      <c r="V229" s="180">
        <v>23</v>
      </c>
      <c r="W229" s="180">
        <v>23</v>
      </c>
      <c r="X229" s="180">
        <v>0</v>
      </c>
      <c r="Y229" s="180">
        <v>23</v>
      </c>
      <c r="Z229" s="180">
        <v>23</v>
      </c>
      <c r="AA229" s="180">
        <v>23</v>
      </c>
      <c r="AB229" s="180">
        <v>23</v>
      </c>
      <c r="AC229" s="180"/>
      <c r="AD229" s="180">
        <v>23</v>
      </c>
      <c r="AE229" s="180">
        <v>23</v>
      </c>
      <c r="AF229" s="180">
        <v>23</v>
      </c>
      <c r="AG229" s="180">
        <v>23</v>
      </c>
      <c r="AH229" s="180">
        <v>23</v>
      </c>
      <c r="AI229" s="180">
        <v>23</v>
      </c>
      <c r="AJ229" s="180">
        <v>0</v>
      </c>
      <c r="AK229" s="180">
        <v>23</v>
      </c>
      <c r="AL229" s="180">
        <v>23</v>
      </c>
      <c r="AM229" s="180"/>
      <c r="AN229" s="180">
        <v>0</v>
      </c>
      <c r="AO229" s="180"/>
      <c r="AP229" s="180">
        <v>0</v>
      </c>
      <c r="AQ229" s="180">
        <v>20</v>
      </c>
      <c r="AR229" s="180">
        <v>20</v>
      </c>
      <c r="AS229" s="180">
        <v>23</v>
      </c>
      <c r="AT229" s="180">
        <v>23</v>
      </c>
      <c r="AU229" s="180">
        <v>20</v>
      </c>
      <c r="AV229" s="570">
        <v>23</v>
      </c>
      <c r="AW229" s="180">
        <v>23</v>
      </c>
      <c r="AX229" s="180">
        <v>23</v>
      </c>
      <c r="AY229" s="180">
        <v>23</v>
      </c>
      <c r="AZ229" s="180">
        <v>20</v>
      </c>
      <c r="BA229" s="180">
        <v>23</v>
      </c>
      <c r="BB229" s="180">
        <v>22</v>
      </c>
      <c r="BC229" s="180">
        <v>23</v>
      </c>
      <c r="BD229" s="180">
        <v>22</v>
      </c>
      <c r="BE229" s="180">
        <v>23</v>
      </c>
      <c r="BF229" s="180">
        <v>23</v>
      </c>
      <c r="BG229" s="180">
        <v>0</v>
      </c>
      <c r="BH229" s="180">
        <v>20</v>
      </c>
      <c r="BI229" s="180">
        <v>23</v>
      </c>
      <c r="BJ229" s="180">
        <v>23</v>
      </c>
      <c r="BK229" s="180"/>
      <c r="BL229" s="180">
        <v>0</v>
      </c>
      <c r="BM229" s="180">
        <v>23</v>
      </c>
      <c r="BN229" s="180">
        <v>23</v>
      </c>
      <c r="BO229" s="180">
        <v>23</v>
      </c>
      <c r="BP229" s="180">
        <v>23</v>
      </c>
      <c r="BQ229" s="180">
        <v>23</v>
      </c>
      <c r="BR229" s="180"/>
      <c r="BS229" s="180">
        <v>23</v>
      </c>
      <c r="BT229" s="180"/>
      <c r="BU229" s="180">
        <v>23</v>
      </c>
      <c r="BV229" s="180">
        <v>20</v>
      </c>
      <c r="BW229" s="180">
        <v>23</v>
      </c>
      <c r="BX229" s="180">
        <v>23</v>
      </c>
      <c r="BY229" s="180">
        <v>23</v>
      </c>
      <c r="BZ229" s="180">
        <v>22</v>
      </c>
      <c r="CA229" s="180">
        <v>23</v>
      </c>
      <c r="CB229" s="180">
        <v>23</v>
      </c>
      <c r="CC229" s="180">
        <v>20</v>
      </c>
      <c r="CD229" s="180"/>
      <c r="CE229" s="180">
        <v>23</v>
      </c>
      <c r="CF229" s="180">
        <v>20</v>
      </c>
      <c r="CG229" s="180">
        <v>22</v>
      </c>
      <c r="CH229" s="180">
        <v>23</v>
      </c>
      <c r="CI229" s="180"/>
      <c r="CJ229" s="180"/>
      <c r="CK229" s="180"/>
      <c r="CL229" s="180"/>
      <c r="CM229" s="180"/>
      <c r="CN229" s="180"/>
      <c r="CO229" s="180"/>
      <c r="CP229" s="180"/>
      <c r="CQ229" s="180"/>
      <c r="CR229" s="180"/>
      <c r="CS229" s="180"/>
      <c r="CT229" s="180"/>
      <c r="CU229" s="180"/>
    </row>
    <row r="230" spans="1:99" x14ac:dyDescent="0.3">
      <c r="A230" s="155">
        <v>995</v>
      </c>
      <c r="B230" s="180" t="s">
        <v>275</v>
      </c>
      <c r="C230" s="180"/>
      <c r="D230" s="180">
        <v>0</v>
      </c>
      <c r="E230" s="180">
        <v>0</v>
      </c>
      <c r="F230" s="180">
        <v>0</v>
      </c>
      <c r="G230" s="180">
        <v>0</v>
      </c>
      <c r="H230" s="180">
        <v>0</v>
      </c>
      <c r="I230" s="180">
        <v>0</v>
      </c>
      <c r="J230" s="180">
        <v>0</v>
      </c>
      <c r="K230" s="180">
        <v>0</v>
      </c>
      <c r="L230" s="180">
        <v>0</v>
      </c>
      <c r="M230" s="180">
        <v>0</v>
      </c>
      <c r="N230" s="180">
        <v>0</v>
      </c>
      <c r="O230" s="180">
        <v>0</v>
      </c>
      <c r="P230" s="180">
        <v>0</v>
      </c>
      <c r="Q230" s="180">
        <v>0</v>
      </c>
      <c r="R230" s="180">
        <v>0</v>
      </c>
      <c r="S230" s="180">
        <v>0</v>
      </c>
      <c r="T230" s="180">
        <v>0</v>
      </c>
      <c r="U230" s="180">
        <v>0</v>
      </c>
      <c r="V230" s="180">
        <v>0</v>
      </c>
      <c r="W230" s="180">
        <v>0</v>
      </c>
      <c r="X230" s="180">
        <v>0</v>
      </c>
      <c r="Y230" s="180">
        <v>0</v>
      </c>
      <c r="Z230" s="180">
        <v>7.0000000000000007E-2</v>
      </c>
      <c r="AA230" s="180">
        <v>0</v>
      </c>
      <c r="AB230" s="180">
        <v>0</v>
      </c>
      <c r="AC230" s="180">
        <v>0</v>
      </c>
      <c r="AD230" s="180">
        <v>0</v>
      </c>
      <c r="AE230" s="180">
        <v>0</v>
      </c>
      <c r="AF230" s="180">
        <v>0.08</v>
      </c>
      <c r="AG230" s="180">
        <v>0</v>
      </c>
      <c r="AH230" s="180">
        <v>0</v>
      </c>
      <c r="AI230" s="180">
        <v>0</v>
      </c>
      <c r="AJ230" s="180">
        <v>0</v>
      </c>
      <c r="AK230" s="180">
        <v>0</v>
      </c>
      <c r="AL230" s="180">
        <v>0</v>
      </c>
      <c r="AM230" s="180">
        <v>0</v>
      </c>
      <c r="AN230" s="180">
        <v>0</v>
      </c>
      <c r="AO230" s="180">
        <v>0</v>
      </c>
      <c r="AP230" s="180">
        <v>0</v>
      </c>
      <c r="AQ230" s="180">
        <v>0.09</v>
      </c>
      <c r="AR230" s="180">
        <v>0</v>
      </c>
      <c r="AS230" s="180">
        <v>0</v>
      </c>
      <c r="AT230" s="180">
        <v>0</v>
      </c>
      <c r="AU230" s="180">
        <v>0</v>
      </c>
      <c r="AV230" s="180">
        <v>0</v>
      </c>
      <c r="AW230" s="180">
        <v>7.0000000000000007E-2</v>
      </c>
      <c r="AX230" s="180">
        <v>0</v>
      </c>
      <c r="AY230" s="180">
        <v>0</v>
      </c>
      <c r="AZ230" s="180">
        <v>0</v>
      </c>
      <c r="BA230" s="180">
        <v>0</v>
      </c>
      <c r="BB230" s="180">
        <v>0</v>
      </c>
      <c r="BC230" s="180">
        <v>0.09</v>
      </c>
      <c r="BD230" s="180">
        <v>0</v>
      </c>
      <c r="BE230" s="180">
        <v>0</v>
      </c>
      <c r="BF230" s="180">
        <v>0</v>
      </c>
      <c r="BG230" s="180">
        <v>0</v>
      </c>
      <c r="BH230" s="180">
        <v>0</v>
      </c>
      <c r="BI230" s="180">
        <v>0</v>
      </c>
      <c r="BJ230" s="180">
        <v>0</v>
      </c>
      <c r="BK230" s="180">
        <v>0</v>
      </c>
      <c r="BL230" s="180">
        <v>7.0000000000000007E-2</v>
      </c>
      <c r="BM230" s="180">
        <v>0</v>
      </c>
      <c r="BN230" s="180">
        <v>0</v>
      </c>
      <c r="BO230" s="180">
        <v>0</v>
      </c>
      <c r="BP230" s="180">
        <v>0</v>
      </c>
      <c r="BQ230" s="180">
        <v>0</v>
      </c>
      <c r="BR230" s="180">
        <v>0</v>
      </c>
      <c r="BS230" s="180">
        <v>0</v>
      </c>
      <c r="BT230" s="180">
        <v>0</v>
      </c>
      <c r="BU230" s="180">
        <v>0</v>
      </c>
      <c r="BV230" s="180">
        <v>0</v>
      </c>
      <c r="BW230" s="180">
        <v>0.08</v>
      </c>
      <c r="BX230" s="180">
        <v>0.08</v>
      </c>
      <c r="BY230" s="180">
        <v>0</v>
      </c>
      <c r="BZ230" s="180">
        <v>0</v>
      </c>
      <c r="CA230" s="180">
        <v>0</v>
      </c>
      <c r="CB230" s="180">
        <v>0</v>
      </c>
      <c r="CC230" s="180">
        <v>0</v>
      </c>
      <c r="CD230" s="180">
        <v>0</v>
      </c>
      <c r="CE230" s="180">
        <v>0</v>
      </c>
      <c r="CF230" s="180">
        <v>0</v>
      </c>
      <c r="CG230" s="180">
        <v>0.09</v>
      </c>
      <c r="CH230" s="180">
        <v>0</v>
      </c>
      <c r="CI230" s="180">
        <v>0</v>
      </c>
      <c r="CJ230" s="180">
        <v>0</v>
      </c>
      <c r="CK230" s="180"/>
      <c r="CL230" s="180"/>
      <c r="CM230" s="180"/>
      <c r="CN230" s="180"/>
      <c r="CO230" s="180"/>
      <c r="CP230" s="180"/>
      <c r="CQ230" s="180"/>
      <c r="CR230" s="180"/>
      <c r="CS230" s="180"/>
      <c r="CT230" s="180"/>
      <c r="CU230" s="180"/>
    </row>
    <row r="231" spans="1:99" x14ac:dyDescent="0.3">
      <c r="A231" s="155">
        <v>996</v>
      </c>
      <c r="B231" s="180" t="s">
        <v>276</v>
      </c>
      <c r="C231" s="180"/>
      <c r="D231" s="180">
        <v>0.01</v>
      </c>
      <c r="E231" s="180">
        <v>0</v>
      </c>
      <c r="F231" s="180">
        <v>0.01</v>
      </c>
      <c r="G231" s="180">
        <v>0.01</v>
      </c>
      <c r="H231" s="180">
        <v>0.01</v>
      </c>
      <c r="I231" s="180">
        <v>0.01</v>
      </c>
      <c r="J231" s="180">
        <v>0</v>
      </c>
      <c r="K231" s="180">
        <v>0.01</v>
      </c>
      <c r="L231" s="180">
        <v>0</v>
      </c>
      <c r="M231" s="180">
        <v>0</v>
      </c>
      <c r="N231" s="180">
        <v>0.01</v>
      </c>
      <c r="O231" s="180">
        <v>0.01</v>
      </c>
      <c r="P231" s="180">
        <v>0</v>
      </c>
      <c r="Q231" s="180">
        <v>0</v>
      </c>
      <c r="R231" s="180">
        <v>0</v>
      </c>
      <c r="S231" s="180">
        <v>0</v>
      </c>
      <c r="T231" s="180">
        <v>0</v>
      </c>
      <c r="U231" s="180">
        <v>0</v>
      </c>
      <c r="V231" s="180">
        <v>0.01</v>
      </c>
      <c r="W231" s="180">
        <v>0.01</v>
      </c>
      <c r="X231" s="180">
        <v>0</v>
      </c>
      <c r="Y231" s="180">
        <v>0.01</v>
      </c>
      <c r="Z231" s="180">
        <v>0.01</v>
      </c>
      <c r="AA231" s="180">
        <v>0.01</v>
      </c>
      <c r="AB231" s="180">
        <v>0</v>
      </c>
      <c r="AC231" s="180">
        <v>0.01</v>
      </c>
      <c r="AD231" s="180">
        <v>0.01</v>
      </c>
      <c r="AE231" s="180">
        <v>0.01</v>
      </c>
      <c r="AF231" s="180">
        <v>0.01</v>
      </c>
      <c r="AG231" s="180">
        <v>0</v>
      </c>
      <c r="AH231" s="180">
        <v>0.01</v>
      </c>
      <c r="AI231" s="180">
        <v>0.01</v>
      </c>
      <c r="AJ231" s="180">
        <v>0.01</v>
      </c>
      <c r="AK231" s="180">
        <v>0.01</v>
      </c>
      <c r="AL231" s="180">
        <v>0.01</v>
      </c>
      <c r="AM231" s="180">
        <v>0.01</v>
      </c>
      <c r="AN231" s="180">
        <v>0.01</v>
      </c>
      <c r="AO231" s="180">
        <v>0.01</v>
      </c>
      <c r="AP231" s="180">
        <v>0</v>
      </c>
      <c r="AQ231" s="180">
        <v>0.01</v>
      </c>
      <c r="AR231" s="180">
        <v>0</v>
      </c>
      <c r="AS231" s="180">
        <v>0.01</v>
      </c>
      <c r="AT231" s="180">
        <v>0.01</v>
      </c>
      <c r="AU231" s="180">
        <v>0.01</v>
      </c>
      <c r="AV231" s="180">
        <v>0</v>
      </c>
      <c r="AW231" s="180">
        <v>0</v>
      </c>
      <c r="AX231" s="180">
        <v>0.01</v>
      </c>
      <c r="AY231" s="180">
        <v>0</v>
      </c>
      <c r="AZ231" s="180">
        <v>0</v>
      </c>
      <c r="BA231" s="180">
        <v>0.01</v>
      </c>
      <c r="BB231" s="180">
        <v>0.01</v>
      </c>
      <c r="BC231" s="180">
        <v>0.01</v>
      </c>
      <c r="BD231" s="180">
        <v>0</v>
      </c>
      <c r="BE231" s="180">
        <v>0</v>
      </c>
      <c r="BF231" s="180">
        <v>0.01</v>
      </c>
      <c r="BG231" s="180">
        <v>0</v>
      </c>
      <c r="BH231" s="180">
        <v>0</v>
      </c>
      <c r="BI231" s="180">
        <v>0.01</v>
      </c>
      <c r="BJ231" s="180">
        <v>0</v>
      </c>
      <c r="BK231" s="180">
        <v>0.01</v>
      </c>
      <c r="BL231" s="180">
        <v>0.01</v>
      </c>
      <c r="BM231" s="180">
        <v>0.01</v>
      </c>
      <c r="BN231" s="180">
        <v>0</v>
      </c>
      <c r="BO231" s="180">
        <v>0.01</v>
      </c>
      <c r="BP231" s="180">
        <v>0.01</v>
      </c>
      <c r="BQ231" s="180">
        <v>0</v>
      </c>
      <c r="BR231" s="180">
        <v>0.01</v>
      </c>
      <c r="BS231" s="180">
        <v>0.01</v>
      </c>
      <c r="BT231" s="180">
        <v>0.01</v>
      </c>
      <c r="BU231" s="180">
        <v>0</v>
      </c>
      <c r="BV231" s="180">
        <v>0.01</v>
      </c>
      <c r="BW231" s="180">
        <v>0.01</v>
      </c>
      <c r="BX231" s="180">
        <v>0.01</v>
      </c>
      <c r="BY231" s="180">
        <v>0.01</v>
      </c>
      <c r="BZ231" s="180">
        <v>0.01</v>
      </c>
      <c r="CA231" s="180">
        <v>0.01</v>
      </c>
      <c r="CB231" s="180">
        <v>0.01</v>
      </c>
      <c r="CC231" s="180">
        <v>0.01</v>
      </c>
      <c r="CD231" s="180">
        <v>0.01</v>
      </c>
      <c r="CE231" s="180">
        <v>0.01</v>
      </c>
      <c r="CF231" s="180">
        <v>0</v>
      </c>
      <c r="CG231" s="180">
        <v>0.01</v>
      </c>
      <c r="CH231" s="180">
        <v>0</v>
      </c>
      <c r="CI231" s="180">
        <v>0.01</v>
      </c>
      <c r="CJ231" s="180">
        <v>0.01</v>
      </c>
      <c r="CK231" s="180"/>
      <c r="CL231" s="180"/>
      <c r="CM231" s="180"/>
      <c r="CN231" s="180"/>
      <c r="CO231" s="180"/>
      <c r="CP231" s="180"/>
      <c r="CQ231" s="180"/>
      <c r="CR231" s="180"/>
      <c r="CS231" s="180"/>
      <c r="CT231" s="180"/>
      <c r="CU231" s="180"/>
    </row>
    <row r="232" spans="1:99" x14ac:dyDescent="0.3">
      <c r="A232" s="155">
        <v>998</v>
      </c>
      <c r="B232" s="180" t="s">
        <v>277</v>
      </c>
      <c r="C232" s="180"/>
      <c r="D232" s="180">
        <v>50</v>
      </c>
      <c r="E232" s="180">
        <v>50</v>
      </c>
      <c r="F232" s="180">
        <v>50</v>
      </c>
      <c r="G232" s="180">
        <v>50</v>
      </c>
      <c r="H232" s="180">
        <v>50</v>
      </c>
      <c r="I232" s="180">
        <v>50</v>
      </c>
      <c r="J232" s="180">
        <v>50</v>
      </c>
      <c r="K232" s="180">
        <v>50</v>
      </c>
      <c r="L232" s="180">
        <v>50</v>
      </c>
      <c r="M232" s="180">
        <v>50</v>
      </c>
      <c r="N232" s="180">
        <v>50</v>
      </c>
      <c r="O232" s="180">
        <v>50</v>
      </c>
      <c r="P232" s="180">
        <v>50</v>
      </c>
      <c r="Q232" s="180">
        <v>50</v>
      </c>
      <c r="R232" s="180">
        <v>50</v>
      </c>
      <c r="S232" s="180">
        <v>50</v>
      </c>
      <c r="T232" s="180">
        <v>50</v>
      </c>
      <c r="U232" s="180">
        <v>50</v>
      </c>
      <c r="V232" s="180">
        <v>50</v>
      </c>
      <c r="W232" s="180">
        <v>50</v>
      </c>
      <c r="X232" s="180">
        <v>50</v>
      </c>
      <c r="Y232" s="180">
        <v>50</v>
      </c>
      <c r="Z232" s="180">
        <v>50</v>
      </c>
      <c r="AA232" s="180">
        <v>50</v>
      </c>
      <c r="AB232" s="180">
        <v>50</v>
      </c>
      <c r="AC232" s="180">
        <v>50</v>
      </c>
      <c r="AD232" s="180">
        <v>50</v>
      </c>
      <c r="AE232" s="180">
        <v>50</v>
      </c>
      <c r="AF232" s="180">
        <v>50</v>
      </c>
      <c r="AG232" s="180">
        <v>50</v>
      </c>
      <c r="AH232" s="180">
        <v>50</v>
      </c>
      <c r="AI232" s="180">
        <v>50</v>
      </c>
      <c r="AJ232" s="180">
        <v>50</v>
      </c>
      <c r="AK232" s="180">
        <v>50</v>
      </c>
      <c r="AL232" s="180">
        <v>50</v>
      </c>
      <c r="AM232" s="180">
        <v>50</v>
      </c>
      <c r="AN232" s="180">
        <v>50</v>
      </c>
      <c r="AO232" s="180">
        <v>50</v>
      </c>
      <c r="AP232" s="180">
        <v>50</v>
      </c>
      <c r="AQ232" s="180">
        <v>50</v>
      </c>
      <c r="AR232" s="180">
        <v>50</v>
      </c>
      <c r="AS232" s="180">
        <v>50</v>
      </c>
      <c r="AT232" s="180">
        <v>50</v>
      </c>
      <c r="AU232" s="180">
        <v>50</v>
      </c>
      <c r="AV232" s="180">
        <v>50</v>
      </c>
      <c r="AW232" s="180">
        <v>50</v>
      </c>
      <c r="AX232" s="180">
        <v>50</v>
      </c>
      <c r="AY232" s="180">
        <v>50</v>
      </c>
      <c r="AZ232" s="180">
        <v>50</v>
      </c>
      <c r="BA232" s="180">
        <v>50</v>
      </c>
      <c r="BB232" s="180">
        <v>50</v>
      </c>
      <c r="BC232" s="180">
        <v>50</v>
      </c>
      <c r="BD232" s="180">
        <v>50</v>
      </c>
      <c r="BE232" s="180">
        <v>50</v>
      </c>
      <c r="BF232" s="180">
        <v>50</v>
      </c>
      <c r="BG232" s="180">
        <v>50</v>
      </c>
      <c r="BH232" s="180">
        <v>50</v>
      </c>
      <c r="BI232" s="180">
        <v>50</v>
      </c>
      <c r="BJ232" s="180">
        <v>50</v>
      </c>
      <c r="BK232" s="180">
        <v>50</v>
      </c>
      <c r="BL232" s="180">
        <v>50</v>
      </c>
      <c r="BM232" s="180">
        <v>50</v>
      </c>
      <c r="BN232" s="180">
        <v>50</v>
      </c>
      <c r="BO232" s="180">
        <v>50</v>
      </c>
      <c r="BP232" s="180">
        <v>50</v>
      </c>
      <c r="BQ232" s="180">
        <v>50</v>
      </c>
      <c r="BR232" s="180">
        <v>50</v>
      </c>
      <c r="BS232" s="180">
        <v>50</v>
      </c>
      <c r="BT232" s="180">
        <v>50</v>
      </c>
      <c r="BU232" s="180">
        <v>50</v>
      </c>
      <c r="BV232" s="180">
        <v>50</v>
      </c>
      <c r="BW232" s="180">
        <v>50</v>
      </c>
      <c r="BX232" s="180">
        <v>50</v>
      </c>
      <c r="BY232" s="180">
        <v>50</v>
      </c>
      <c r="BZ232" s="180">
        <v>50</v>
      </c>
      <c r="CA232" s="180">
        <v>50</v>
      </c>
      <c r="CB232" s="180">
        <v>50</v>
      </c>
      <c r="CC232" s="180">
        <v>50</v>
      </c>
      <c r="CD232" s="180">
        <v>50</v>
      </c>
      <c r="CE232" s="180">
        <v>50</v>
      </c>
      <c r="CF232" s="180">
        <v>50</v>
      </c>
      <c r="CG232" s="180">
        <v>50</v>
      </c>
      <c r="CH232" s="180">
        <v>50</v>
      </c>
      <c r="CI232" s="180">
        <v>50</v>
      </c>
      <c r="CJ232" s="180">
        <v>50</v>
      </c>
      <c r="CK232" s="180"/>
      <c r="CL232" s="180"/>
      <c r="CM232" s="180"/>
      <c r="CN232" s="180"/>
      <c r="CO232" s="180"/>
      <c r="CP232" s="180"/>
      <c r="CQ232" s="180"/>
      <c r="CR232" s="180"/>
      <c r="CS232" s="180"/>
      <c r="CT232" s="180"/>
      <c r="CU232" s="180"/>
    </row>
    <row r="233" spans="1:99" x14ac:dyDescent="0.3">
      <c r="A233" s="155">
        <v>999</v>
      </c>
      <c r="B233" s="180" t="s">
        <v>278</v>
      </c>
      <c r="C233" s="180"/>
      <c r="D233" s="180">
        <v>50508</v>
      </c>
      <c r="E233" s="180">
        <v>50465</v>
      </c>
      <c r="F233" s="180">
        <v>50060</v>
      </c>
      <c r="G233" s="180">
        <v>50061</v>
      </c>
      <c r="H233" s="180">
        <v>50062</v>
      </c>
      <c r="I233" s="180">
        <v>50063</v>
      </c>
      <c r="J233" s="180">
        <v>50064</v>
      </c>
      <c r="K233" s="180">
        <v>50065</v>
      </c>
      <c r="L233" s="180">
        <v>50551</v>
      </c>
      <c r="M233" s="180">
        <v>50066</v>
      </c>
      <c r="N233" s="180">
        <v>50067</v>
      </c>
      <c r="O233" s="180">
        <v>50068</v>
      </c>
      <c r="P233" s="180">
        <v>50466</v>
      </c>
      <c r="Q233" s="180">
        <v>50069</v>
      </c>
      <c r="R233" s="180">
        <v>50450</v>
      </c>
      <c r="S233" s="180">
        <v>50070</v>
      </c>
      <c r="T233" s="180">
        <v>50509</v>
      </c>
      <c r="U233" s="180">
        <v>50539</v>
      </c>
      <c r="V233" s="180">
        <v>50467</v>
      </c>
      <c r="W233" s="180">
        <v>50072</v>
      </c>
      <c r="X233" s="180">
        <v>50074</v>
      </c>
      <c r="Y233" s="180">
        <v>50075</v>
      </c>
      <c r="Z233" s="180">
        <v>50076</v>
      </c>
      <c r="AA233" s="180">
        <v>50510</v>
      </c>
      <c r="AB233" s="180">
        <v>50077</v>
      </c>
      <c r="AC233" s="180">
        <v>50078</v>
      </c>
      <c r="AD233" s="180">
        <v>50079</v>
      </c>
      <c r="AE233" s="180">
        <v>50080</v>
      </c>
      <c r="AF233" s="180">
        <v>50081</v>
      </c>
      <c r="AG233" s="180">
        <v>50502</v>
      </c>
      <c r="AH233" s="180">
        <v>50082</v>
      </c>
      <c r="AI233" s="180">
        <v>50083</v>
      </c>
      <c r="AJ233" s="180">
        <v>50084</v>
      </c>
      <c r="AK233" s="180">
        <v>50085</v>
      </c>
      <c r="AL233" s="180">
        <v>50468</v>
      </c>
      <c r="AM233" s="180">
        <v>50086</v>
      </c>
      <c r="AN233" s="180">
        <v>50087</v>
      </c>
      <c r="AO233" s="180">
        <v>50088</v>
      </c>
      <c r="AP233" s="180">
        <v>50089</v>
      </c>
      <c r="AQ233" s="180">
        <v>50090</v>
      </c>
      <c r="AR233" s="180">
        <v>50091</v>
      </c>
      <c r="AS233" s="180">
        <v>50511</v>
      </c>
      <c r="AT233" s="180">
        <v>50092</v>
      </c>
      <c r="AU233" s="180">
        <v>50093</v>
      </c>
      <c r="AV233" s="180">
        <v>50512</v>
      </c>
      <c r="AW233" s="180">
        <v>50094</v>
      </c>
      <c r="AX233" s="180">
        <v>50095</v>
      </c>
      <c r="AY233" s="180">
        <v>50096</v>
      </c>
      <c r="AZ233" s="180">
        <v>50097</v>
      </c>
      <c r="BA233" s="180">
        <v>50098</v>
      </c>
      <c r="BB233" s="180">
        <v>50099</v>
      </c>
      <c r="BC233" s="180">
        <v>50100</v>
      </c>
      <c r="BD233" s="180">
        <v>50101</v>
      </c>
      <c r="BE233" s="180">
        <v>50102</v>
      </c>
      <c r="BF233" s="180">
        <v>50103</v>
      </c>
      <c r="BG233" s="180">
        <v>50104</v>
      </c>
      <c r="BH233" s="180">
        <v>50513</v>
      </c>
      <c r="BI233" s="180">
        <v>50105</v>
      </c>
      <c r="BJ233" s="180">
        <v>50460</v>
      </c>
      <c r="BK233" s="180">
        <v>50106</v>
      </c>
      <c r="BL233" s="180">
        <v>50107</v>
      </c>
      <c r="BM233" s="180">
        <v>50108</v>
      </c>
      <c r="BN233" s="180">
        <v>50559</v>
      </c>
      <c r="BO233" s="180">
        <v>50109</v>
      </c>
      <c r="BP233" s="180">
        <v>50110</v>
      </c>
      <c r="BQ233" s="180">
        <v>50472</v>
      </c>
      <c r="BR233" s="180">
        <v>50461</v>
      </c>
      <c r="BS233" s="180">
        <v>50111</v>
      </c>
      <c r="BT233" s="180">
        <v>50113</v>
      </c>
      <c r="BU233" s="180">
        <v>50568</v>
      </c>
      <c r="BV233" s="180">
        <v>50114</v>
      </c>
      <c r="BW233" s="180">
        <v>50115</v>
      </c>
      <c r="BX233" s="180">
        <v>50116</v>
      </c>
      <c r="BY233" s="180">
        <v>50117</v>
      </c>
      <c r="BZ233" s="180">
        <v>50119</v>
      </c>
      <c r="CA233" s="180">
        <v>50118</v>
      </c>
      <c r="CB233" s="180">
        <v>50120</v>
      </c>
      <c r="CC233" s="180">
        <v>50121</v>
      </c>
      <c r="CD233" s="180">
        <v>50122</v>
      </c>
      <c r="CE233" s="180">
        <v>50123</v>
      </c>
      <c r="CF233" s="180">
        <v>50124</v>
      </c>
      <c r="CG233" s="180">
        <v>50125</v>
      </c>
      <c r="CH233" s="180">
        <v>50126</v>
      </c>
      <c r="CI233" s="180">
        <v>50127</v>
      </c>
      <c r="CJ233" s="180">
        <v>50128</v>
      </c>
      <c r="CK233" s="180"/>
      <c r="CL233" s="180"/>
      <c r="CM233" s="180"/>
      <c r="CN233" s="180"/>
      <c r="CO233" s="180"/>
      <c r="CP233" s="180"/>
      <c r="CQ233" s="180"/>
      <c r="CR233" s="180"/>
      <c r="CS233" s="180"/>
      <c r="CT233" s="180"/>
      <c r="CU233" s="180"/>
    </row>
    <row r="234" spans="1:99" x14ac:dyDescent="0.3">
      <c r="A234" s="155">
        <v>1050</v>
      </c>
      <c r="B234" s="180" t="s">
        <v>1437</v>
      </c>
      <c r="C234" s="180"/>
      <c r="D234" s="180">
        <v>0</v>
      </c>
      <c r="E234" s="180">
        <v>69035</v>
      </c>
      <c r="F234" s="180">
        <v>0</v>
      </c>
      <c r="G234" s="180">
        <v>5595</v>
      </c>
      <c r="H234" s="180"/>
      <c r="I234" s="180">
        <v>74528</v>
      </c>
      <c r="J234" s="180">
        <v>99065</v>
      </c>
      <c r="K234" s="180">
        <v>748406</v>
      </c>
      <c r="L234" s="180">
        <v>39381</v>
      </c>
      <c r="M234" s="180">
        <v>261764</v>
      </c>
      <c r="N234" s="180">
        <v>31625</v>
      </c>
      <c r="O234" s="180">
        <v>6116981</v>
      </c>
      <c r="P234" s="180">
        <v>0</v>
      </c>
      <c r="Q234" s="180">
        <v>2433</v>
      </c>
      <c r="R234" s="180">
        <v>8957</v>
      </c>
      <c r="S234" s="180">
        <v>22634</v>
      </c>
      <c r="T234" s="180">
        <v>360</v>
      </c>
      <c r="U234" s="180">
        <v>0</v>
      </c>
      <c r="V234" s="180">
        <v>650</v>
      </c>
      <c r="W234" s="180">
        <v>41446</v>
      </c>
      <c r="X234" s="180">
        <v>1619630</v>
      </c>
      <c r="Y234" s="180">
        <v>0</v>
      </c>
      <c r="Z234" s="180">
        <v>0</v>
      </c>
      <c r="AA234" s="180">
        <v>0</v>
      </c>
      <c r="AB234" s="180">
        <v>188772</v>
      </c>
      <c r="AC234" s="180"/>
      <c r="AD234" s="180">
        <v>80000</v>
      </c>
      <c r="AE234" s="180">
        <v>28007</v>
      </c>
      <c r="AF234" s="180">
        <v>0</v>
      </c>
      <c r="AG234" s="180">
        <v>421421</v>
      </c>
      <c r="AH234" s="180">
        <v>0</v>
      </c>
      <c r="AI234" s="180">
        <v>405036</v>
      </c>
      <c r="AJ234" s="180">
        <v>86000</v>
      </c>
      <c r="AK234" s="180">
        <v>96699</v>
      </c>
      <c r="AL234" s="180">
        <v>8462</v>
      </c>
      <c r="AM234" s="180"/>
      <c r="AN234" s="180">
        <v>19987</v>
      </c>
      <c r="AO234" s="180"/>
      <c r="AP234" s="180">
        <v>0</v>
      </c>
      <c r="AQ234" s="180">
        <v>1970639</v>
      </c>
      <c r="AR234" s="180">
        <v>641</v>
      </c>
      <c r="AS234" s="180">
        <v>37960</v>
      </c>
      <c r="AT234" s="180">
        <v>224419</v>
      </c>
      <c r="AU234" s="180">
        <v>23285</v>
      </c>
      <c r="AV234" s="180">
        <v>6718</v>
      </c>
      <c r="AW234" s="180">
        <v>1147862</v>
      </c>
      <c r="AX234" s="180">
        <v>43409</v>
      </c>
      <c r="AY234" s="180">
        <v>100173</v>
      </c>
      <c r="AZ234" s="180">
        <v>0</v>
      </c>
      <c r="BA234" s="180">
        <v>0</v>
      </c>
      <c r="BB234" s="180">
        <v>1770</v>
      </c>
      <c r="BC234" s="180">
        <v>102461</v>
      </c>
      <c r="BD234" s="180">
        <v>0</v>
      </c>
      <c r="BE234" s="180">
        <v>414200</v>
      </c>
      <c r="BF234" s="180">
        <v>0</v>
      </c>
      <c r="BG234" s="180">
        <v>4150</v>
      </c>
      <c r="BH234" s="180">
        <v>29574</v>
      </c>
      <c r="BI234" s="180">
        <v>12678</v>
      </c>
      <c r="BJ234" s="180">
        <v>0</v>
      </c>
      <c r="BK234" s="180"/>
      <c r="BL234" s="180">
        <v>144182</v>
      </c>
      <c r="BM234" s="180">
        <v>39929</v>
      </c>
      <c r="BN234" s="180">
        <v>0</v>
      </c>
      <c r="BO234" s="180">
        <v>827404</v>
      </c>
      <c r="BP234" s="180">
        <v>7549750</v>
      </c>
      <c r="BQ234" s="180">
        <v>4163</v>
      </c>
      <c r="BR234" s="180"/>
      <c r="BS234" s="180">
        <v>19400</v>
      </c>
      <c r="BT234" s="180"/>
      <c r="BU234" s="180">
        <v>0</v>
      </c>
      <c r="BV234" s="180">
        <v>212145</v>
      </c>
      <c r="BW234" s="180">
        <v>246814</v>
      </c>
      <c r="BX234" s="180">
        <v>181574</v>
      </c>
      <c r="BY234" s="180">
        <v>34907</v>
      </c>
      <c r="BZ234" s="180">
        <v>1022</v>
      </c>
      <c r="CA234" s="180">
        <v>0</v>
      </c>
      <c r="CB234" s="180">
        <v>43500</v>
      </c>
      <c r="CC234" s="180">
        <v>31309</v>
      </c>
      <c r="CD234" s="180"/>
      <c r="CE234" s="180">
        <v>173047</v>
      </c>
      <c r="CF234" s="180">
        <v>176818</v>
      </c>
      <c r="CG234" s="180">
        <v>100702</v>
      </c>
      <c r="CH234" s="180">
        <v>170890</v>
      </c>
      <c r="CI234" s="180"/>
      <c r="CJ234" s="180"/>
      <c r="CK234" s="180"/>
      <c r="CL234" s="180"/>
      <c r="CM234" s="180"/>
      <c r="CN234" s="180"/>
      <c r="CO234" s="180"/>
      <c r="CP234" s="180"/>
      <c r="CQ234" s="180"/>
      <c r="CR234" s="180"/>
      <c r="CS234" s="180"/>
      <c r="CT234" s="180"/>
      <c r="CU234" s="180"/>
    </row>
    <row r="235" spans="1:99" x14ac:dyDescent="0.3">
      <c r="A235" s="155">
        <v>1051</v>
      </c>
      <c r="B235" s="180" t="s">
        <v>1639</v>
      </c>
      <c r="C235" s="180"/>
      <c r="D235" s="180">
        <v>0</v>
      </c>
      <c r="E235" s="180">
        <v>0</v>
      </c>
      <c r="F235" s="180">
        <v>0</v>
      </c>
      <c r="G235" s="180">
        <v>0</v>
      </c>
      <c r="H235" s="180"/>
      <c r="I235" s="180">
        <v>0</v>
      </c>
      <c r="J235" s="180">
        <v>0</v>
      </c>
      <c r="K235" s="180">
        <v>0</v>
      </c>
      <c r="L235" s="180">
        <v>0</v>
      </c>
      <c r="M235" s="180">
        <v>0</v>
      </c>
      <c r="N235" s="180">
        <v>0</v>
      </c>
      <c r="O235" s="180">
        <v>0</v>
      </c>
      <c r="P235" s="180">
        <v>0</v>
      </c>
      <c r="Q235" s="180">
        <v>0</v>
      </c>
      <c r="R235" s="180">
        <v>0</v>
      </c>
      <c r="S235" s="180">
        <v>0</v>
      </c>
      <c r="T235" s="180">
        <v>0</v>
      </c>
      <c r="U235" s="180">
        <v>0</v>
      </c>
      <c r="V235" s="180">
        <v>0</v>
      </c>
      <c r="W235" s="180">
        <v>0</v>
      </c>
      <c r="X235" s="180">
        <v>0</v>
      </c>
      <c r="Y235" s="180">
        <v>0</v>
      </c>
      <c r="Z235" s="180">
        <v>0</v>
      </c>
      <c r="AA235" s="180">
        <v>0</v>
      </c>
      <c r="AB235" s="180">
        <v>0</v>
      </c>
      <c r="AC235" s="180"/>
      <c r="AD235" s="180">
        <v>0</v>
      </c>
      <c r="AE235" s="180">
        <v>0</v>
      </c>
      <c r="AF235" s="180">
        <v>0</v>
      </c>
      <c r="AG235" s="180">
        <v>0</v>
      </c>
      <c r="AH235" s="180">
        <v>0</v>
      </c>
      <c r="AI235" s="180">
        <v>0</v>
      </c>
      <c r="AJ235" s="180">
        <v>0</v>
      </c>
      <c r="AK235" s="180">
        <v>0</v>
      </c>
      <c r="AL235" s="180">
        <v>0</v>
      </c>
      <c r="AM235" s="180"/>
      <c r="AN235" s="180">
        <v>0</v>
      </c>
      <c r="AO235" s="180"/>
      <c r="AP235" s="180">
        <v>0</v>
      </c>
      <c r="AQ235" s="180">
        <v>3365401</v>
      </c>
      <c r="AR235" s="180">
        <v>0</v>
      </c>
      <c r="AS235" s="180">
        <v>0</v>
      </c>
      <c r="AT235" s="180">
        <v>0</v>
      </c>
      <c r="AU235" s="180">
        <v>0</v>
      </c>
      <c r="AV235" s="180">
        <v>0</v>
      </c>
      <c r="AW235" s="180">
        <v>0</v>
      </c>
      <c r="AX235" s="180">
        <v>0</v>
      </c>
      <c r="AY235" s="180">
        <v>0</v>
      </c>
      <c r="AZ235" s="180">
        <v>0</v>
      </c>
      <c r="BA235" s="180">
        <v>0</v>
      </c>
      <c r="BB235" s="180">
        <v>0</v>
      </c>
      <c r="BC235" s="180">
        <v>0</v>
      </c>
      <c r="BD235" s="180">
        <v>0</v>
      </c>
      <c r="BE235" s="180">
        <v>0</v>
      </c>
      <c r="BF235" s="180">
        <v>0</v>
      </c>
      <c r="BG235" s="180">
        <v>0</v>
      </c>
      <c r="BH235" s="180">
        <v>0</v>
      </c>
      <c r="BI235" s="180">
        <v>0</v>
      </c>
      <c r="BJ235" s="180">
        <v>0</v>
      </c>
      <c r="BK235" s="180"/>
      <c r="BL235" s="180">
        <v>0</v>
      </c>
      <c r="BM235" s="180">
        <v>0</v>
      </c>
      <c r="BN235" s="180">
        <v>0</v>
      </c>
      <c r="BO235" s="180">
        <v>0</v>
      </c>
      <c r="BP235" s="180">
        <v>0</v>
      </c>
      <c r="BQ235" s="180">
        <v>0</v>
      </c>
      <c r="BR235" s="180"/>
      <c r="BS235" s="180">
        <v>0</v>
      </c>
      <c r="BT235" s="180"/>
      <c r="BU235" s="180">
        <v>0</v>
      </c>
      <c r="BV235" s="180">
        <v>0</v>
      </c>
      <c r="BW235" s="180">
        <v>0</v>
      </c>
      <c r="BX235" s="180">
        <v>0</v>
      </c>
      <c r="BY235" s="180">
        <v>0</v>
      </c>
      <c r="BZ235" s="180">
        <v>0</v>
      </c>
      <c r="CA235" s="180">
        <v>0</v>
      </c>
      <c r="CB235" s="180">
        <v>0</v>
      </c>
      <c r="CC235" s="180">
        <v>0</v>
      </c>
      <c r="CD235" s="180"/>
      <c r="CE235" s="180">
        <v>0</v>
      </c>
      <c r="CF235" s="180">
        <v>0</v>
      </c>
      <c r="CG235" s="180">
        <v>0</v>
      </c>
      <c r="CH235" s="180">
        <v>0</v>
      </c>
      <c r="CI235" s="180"/>
      <c r="CJ235" s="180"/>
      <c r="CK235" s="180"/>
      <c r="CL235" s="180"/>
      <c r="CM235" s="180"/>
      <c r="CN235" s="180"/>
      <c r="CO235" s="180"/>
      <c r="CP235" s="180"/>
      <c r="CQ235" s="180"/>
      <c r="CR235" s="180"/>
      <c r="CS235" s="180"/>
      <c r="CT235" s="180"/>
      <c r="CU235" s="180"/>
    </row>
    <row r="236" spans="1:99" x14ac:dyDescent="0.3">
      <c r="A236" s="155">
        <v>1052</v>
      </c>
      <c r="B236" s="180" t="s">
        <v>1640</v>
      </c>
      <c r="C236" s="180"/>
      <c r="D236" s="180">
        <v>0</v>
      </c>
      <c r="E236" s="180">
        <v>0</v>
      </c>
      <c r="F236" s="180">
        <v>0</v>
      </c>
      <c r="G236" s="180">
        <v>0</v>
      </c>
      <c r="H236" s="180"/>
      <c r="I236" s="180">
        <v>0</v>
      </c>
      <c r="J236" s="180">
        <v>0</v>
      </c>
      <c r="K236" s="180">
        <v>0</v>
      </c>
      <c r="L236" s="180">
        <v>0</v>
      </c>
      <c r="M236" s="180">
        <v>0</v>
      </c>
      <c r="N236" s="180">
        <v>0</v>
      </c>
      <c r="O236" s="180">
        <v>-477819</v>
      </c>
      <c r="P236" s="180">
        <v>0</v>
      </c>
      <c r="Q236" s="180">
        <v>0</v>
      </c>
      <c r="R236" s="180">
        <v>0</v>
      </c>
      <c r="S236" s="180">
        <v>0</v>
      </c>
      <c r="T236" s="180">
        <v>0</v>
      </c>
      <c r="U236" s="180">
        <v>0</v>
      </c>
      <c r="V236" s="180">
        <v>0</v>
      </c>
      <c r="W236" s="180">
        <v>0</v>
      </c>
      <c r="X236" s="180">
        <v>0</v>
      </c>
      <c r="Y236" s="180">
        <v>0</v>
      </c>
      <c r="Z236" s="180">
        <v>0</v>
      </c>
      <c r="AA236" s="180">
        <v>0</v>
      </c>
      <c r="AB236" s="180">
        <v>0</v>
      </c>
      <c r="AC236" s="180"/>
      <c r="AD236" s="180">
        <v>0</v>
      </c>
      <c r="AE236" s="180">
        <v>0</v>
      </c>
      <c r="AF236" s="180">
        <v>0</v>
      </c>
      <c r="AG236" s="180">
        <v>0</v>
      </c>
      <c r="AH236" s="180">
        <v>0</v>
      </c>
      <c r="AI236" s="180">
        <v>0</v>
      </c>
      <c r="AJ236" s="180">
        <v>0</v>
      </c>
      <c r="AK236" s="180">
        <v>0</v>
      </c>
      <c r="AL236" s="180">
        <v>0</v>
      </c>
      <c r="AM236" s="180"/>
      <c r="AN236" s="180">
        <v>0</v>
      </c>
      <c r="AO236" s="180"/>
      <c r="AP236" s="180">
        <v>0</v>
      </c>
      <c r="AQ236" s="180">
        <v>-4351758</v>
      </c>
      <c r="AR236" s="180">
        <v>0</v>
      </c>
      <c r="AS236" s="180">
        <v>0</v>
      </c>
      <c r="AT236" s="180">
        <v>0</v>
      </c>
      <c r="AU236" s="180">
        <v>0</v>
      </c>
      <c r="AV236" s="180">
        <v>0</v>
      </c>
      <c r="AW236" s="180">
        <v>0</v>
      </c>
      <c r="AX236" s="180">
        <v>0</v>
      </c>
      <c r="AY236" s="180">
        <v>0</v>
      </c>
      <c r="AZ236" s="180">
        <v>0</v>
      </c>
      <c r="BA236" s="180">
        <v>0</v>
      </c>
      <c r="BB236" s="180">
        <v>0</v>
      </c>
      <c r="BC236" s="180">
        <v>0</v>
      </c>
      <c r="BD236" s="180">
        <v>0</v>
      </c>
      <c r="BE236" s="180">
        <v>0</v>
      </c>
      <c r="BF236" s="180">
        <v>0</v>
      </c>
      <c r="BG236" s="180">
        <v>0</v>
      </c>
      <c r="BH236" s="180">
        <v>0</v>
      </c>
      <c r="BI236" s="180">
        <v>0</v>
      </c>
      <c r="BJ236" s="180">
        <v>0</v>
      </c>
      <c r="BK236" s="180"/>
      <c r="BL236" s="180">
        <v>0</v>
      </c>
      <c r="BM236" s="180">
        <v>0</v>
      </c>
      <c r="BN236" s="180">
        <v>0</v>
      </c>
      <c r="BO236" s="180">
        <v>0</v>
      </c>
      <c r="BP236" s="180">
        <v>0</v>
      </c>
      <c r="BQ236" s="180">
        <v>0</v>
      </c>
      <c r="BR236" s="180"/>
      <c r="BS236" s="180">
        <v>0</v>
      </c>
      <c r="BT236" s="180"/>
      <c r="BU236" s="180">
        <v>0</v>
      </c>
      <c r="BV236" s="180">
        <v>0</v>
      </c>
      <c r="BW236" s="180">
        <v>0</v>
      </c>
      <c r="BX236" s="180">
        <v>0</v>
      </c>
      <c r="BY236" s="180">
        <v>0</v>
      </c>
      <c r="BZ236" s="180">
        <v>0</v>
      </c>
      <c r="CA236" s="180">
        <v>0</v>
      </c>
      <c r="CB236" s="180">
        <v>0</v>
      </c>
      <c r="CC236" s="180">
        <v>0</v>
      </c>
      <c r="CD236" s="180"/>
      <c r="CE236" s="180">
        <v>0</v>
      </c>
      <c r="CF236" s="180">
        <v>0</v>
      </c>
      <c r="CG236" s="180">
        <v>0</v>
      </c>
      <c r="CH236" s="180">
        <v>0</v>
      </c>
      <c r="CI236" s="180"/>
      <c r="CJ236" s="180"/>
      <c r="CK236" s="180"/>
      <c r="CL236" s="180"/>
      <c r="CM236" s="180"/>
      <c r="CN236" s="180"/>
      <c r="CO236" s="180"/>
      <c r="CP236" s="180"/>
      <c r="CQ236" s="180"/>
      <c r="CR236" s="180"/>
      <c r="CS236" s="180"/>
      <c r="CT236" s="180"/>
      <c r="CU236" s="180"/>
    </row>
    <row r="237" spans="1:99" x14ac:dyDescent="0.3">
      <c r="A237" s="155">
        <v>1053</v>
      </c>
      <c r="B237" s="180" t="s">
        <v>1641</v>
      </c>
      <c r="C237" s="180"/>
      <c r="D237" s="180">
        <v>0</v>
      </c>
      <c r="E237" s="180">
        <v>0</v>
      </c>
      <c r="F237" s="180">
        <v>0</v>
      </c>
      <c r="G237" s="180">
        <v>0</v>
      </c>
      <c r="H237" s="180"/>
      <c r="I237" s="180">
        <v>0</v>
      </c>
      <c r="J237" s="180">
        <v>0</v>
      </c>
      <c r="K237" s="180">
        <v>0</v>
      </c>
      <c r="L237" s="180">
        <v>0</v>
      </c>
      <c r="M237" s="180">
        <v>0</v>
      </c>
      <c r="N237" s="180">
        <v>0</v>
      </c>
      <c r="O237" s="180">
        <v>-1424954</v>
      </c>
      <c r="P237" s="180">
        <v>0</v>
      </c>
      <c r="Q237" s="180">
        <v>0</v>
      </c>
      <c r="R237" s="180">
        <v>0</v>
      </c>
      <c r="S237" s="180">
        <v>0</v>
      </c>
      <c r="T237" s="180">
        <v>0</v>
      </c>
      <c r="U237" s="180">
        <v>0</v>
      </c>
      <c r="V237" s="180">
        <v>0</v>
      </c>
      <c r="W237" s="180">
        <v>0</v>
      </c>
      <c r="X237" s="180">
        <v>0</v>
      </c>
      <c r="Y237" s="180">
        <v>0</v>
      </c>
      <c r="Z237" s="180">
        <v>0</v>
      </c>
      <c r="AA237" s="180">
        <v>0</v>
      </c>
      <c r="AB237" s="180">
        <v>0</v>
      </c>
      <c r="AC237" s="180"/>
      <c r="AD237" s="180">
        <v>0</v>
      </c>
      <c r="AE237" s="180">
        <v>0</v>
      </c>
      <c r="AF237" s="180">
        <v>0</v>
      </c>
      <c r="AG237" s="180">
        <v>0</v>
      </c>
      <c r="AH237" s="180">
        <v>0</v>
      </c>
      <c r="AI237" s="180">
        <v>0</v>
      </c>
      <c r="AJ237" s="180">
        <v>0</v>
      </c>
      <c r="AK237" s="180">
        <v>0</v>
      </c>
      <c r="AL237" s="180">
        <v>0</v>
      </c>
      <c r="AM237" s="180"/>
      <c r="AN237" s="180">
        <v>0</v>
      </c>
      <c r="AO237" s="180"/>
      <c r="AP237" s="180">
        <v>0</v>
      </c>
      <c r="AQ237" s="180">
        <v>-4610957</v>
      </c>
      <c r="AR237" s="180">
        <v>0</v>
      </c>
      <c r="AS237" s="180">
        <v>0</v>
      </c>
      <c r="AT237" s="180">
        <v>0</v>
      </c>
      <c r="AU237" s="180">
        <v>0</v>
      </c>
      <c r="AV237" s="180">
        <v>0</v>
      </c>
      <c r="AW237" s="180">
        <v>0</v>
      </c>
      <c r="AX237" s="180">
        <v>0</v>
      </c>
      <c r="AY237" s="180">
        <v>0</v>
      </c>
      <c r="AZ237" s="180">
        <v>0</v>
      </c>
      <c r="BA237" s="180">
        <v>0</v>
      </c>
      <c r="BB237" s="180">
        <v>0</v>
      </c>
      <c r="BC237" s="180">
        <v>0</v>
      </c>
      <c r="BD237" s="180">
        <v>0</v>
      </c>
      <c r="BE237" s="180">
        <v>0</v>
      </c>
      <c r="BF237" s="180">
        <v>0</v>
      </c>
      <c r="BG237" s="180">
        <v>0</v>
      </c>
      <c r="BH237" s="180">
        <v>0</v>
      </c>
      <c r="BI237" s="180">
        <v>0</v>
      </c>
      <c r="BJ237" s="180">
        <v>0</v>
      </c>
      <c r="BK237" s="180"/>
      <c r="BL237" s="180">
        <v>0</v>
      </c>
      <c r="BM237" s="180">
        <v>0</v>
      </c>
      <c r="BN237" s="180">
        <v>0</v>
      </c>
      <c r="BO237" s="180">
        <v>0</v>
      </c>
      <c r="BP237" s="180">
        <v>0</v>
      </c>
      <c r="BQ237" s="180">
        <v>0</v>
      </c>
      <c r="BR237" s="180"/>
      <c r="BS237" s="180">
        <v>0</v>
      </c>
      <c r="BT237" s="180"/>
      <c r="BU237" s="180">
        <v>0</v>
      </c>
      <c r="BV237" s="180">
        <v>0</v>
      </c>
      <c r="BW237" s="180">
        <v>0</v>
      </c>
      <c r="BX237" s="180">
        <v>0</v>
      </c>
      <c r="BY237" s="180">
        <v>0</v>
      </c>
      <c r="BZ237" s="180">
        <v>0</v>
      </c>
      <c r="CA237" s="180">
        <v>0</v>
      </c>
      <c r="CB237" s="180">
        <v>0</v>
      </c>
      <c r="CC237" s="180">
        <v>0</v>
      </c>
      <c r="CD237" s="180"/>
      <c r="CE237" s="180">
        <v>0</v>
      </c>
      <c r="CF237" s="180">
        <v>0</v>
      </c>
      <c r="CG237" s="180">
        <v>0</v>
      </c>
      <c r="CH237" s="180">
        <v>0</v>
      </c>
      <c r="CI237" s="180"/>
      <c r="CJ237" s="180"/>
      <c r="CK237" s="180"/>
      <c r="CL237" s="180"/>
      <c r="CM237" s="180"/>
      <c r="CN237" s="180"/>
      <c r="CO237" s="180"/>
      <c r="CP237" s="180"/>
      <c r="CQ237" s="180"/>
      <c r="CR237" s="180"/>
      <c r="CS237" s="180"/>
      <c r="CT237" s="180"/>
      <c r="CU237" s="180"/>
    </row>
    <row r="238" spans="1:99" x14ac:dyDescent="0.3">
      <c r="A238" s="155">
        <v>1054</v>
      </c>
      <c r="B238" s="180" t="s">
        <v>1642</v>
      </c>
      <c r="C238" s="180"/>
      <c r="D238" s="180">
        <v>0</v>
      </c>
      <c r="E238" s="180">
        <v>0</v>
      </c>
      <c r="F238" s="180">
        <v>0</v>
      </c>
      <c r="G238" s="180">
        <v>0</v>
      </c>
      <c r="H238" s="180"/>
      <c r="I238" s="180">
        <v>0</v>
      </c>
      <c r="J238" s="180">
        <v>0</v>
      </c>
      <c r="K238" s="180">
        <v>0</v>
      </c>
      <c r="L238" s="180">
        <v>0</v>
      </c>
      <c r="M238" s="180">
        <v>0</v>
      </c>
      <c r="N238" s="180">
        <v>0</v>
      </c>
      <c r="O238" s="180">
        <v>0</v>
      </c>
      <c r="P238" s="180">
        <v>0</v>
      </c>
      <c r="Q238" s="180">
        <v>0</v>
      </c>
      <c r="R238" s="180">
        <v>0</v>
      </c>
      <c r="S238" s="180">
        <v>0</v>
      </c>
      <c r="T238" s="180">
        <v>0</v>
      </c>
      <c r="U238" s="180">
        <v>0</v>
      </c>
      <c r="V238" s="180">
        <v>0</v>
      </c>
      <c r="W238" s="180">
        <v>0</v>
      </c>
      <c r="X238" s="180">
        <v>0</v>
      </c>
      <c r="Y238" s="180">
        <v>0</v>
      </c>
      <c r="Z238" s="180">
        <v>0</v>
      </c>
      <c r="AA238" s="180">
        <v>0</v>
      </c>
      <c r="AB238" s="180">
        <v>0</v>
      </c>
      <c r="AC238" s="180"/>
      <c r="AD238" s="180">
        <v>0</v>
      </c>
      <c r="AE238" s="180">
        <v>0</v>
      </c>
      <c r="AF238" s="180">
        <v>0</v>
      </c>
      <c r="AG238" s="180">
        <v>0</v>
      </c>
      <c r="AH238" s="180">
        <v>0</v>
      </c>
      <c r="AI238" s="180">
        <v>0</v>
      </c>
      <c r="AJ238" s="180">
        <v>0</v>
      </c>
      <c r="AK238" s="180">
        <v>0</v>
      </c>
      <c r="AL238" s="180">
        <v>0</v>
      </c>
      <c r="AM238" s="180"/>
      <c r="AN238" s="180">
        <v>0</v>
      </c>
      <c r="AO238" s="180"/>
      <c r="AP238" s="180">
        <v>0</v>
      </c>
      <c r="AQ238" s="180">
        <v>-4208026</v>
      </c>
      <c r="AR238" s="180">
        <v>0</v>
      </c>
      <c r="AS238" s="180">
        <v>0</v>
      </c>
      <c r="AT238" s="180">
        <v>0</v>
      </c>
      <c r="AU238" s="180">
        <v>0</v>
      </c>
      <c r="AV238" s="180">
        <v>0</v>
      </c>
      <c r="AW238" s="180">
        <v>0</v>
      </c>
      <c r="AX238" s="180">
        <v>0</v>
      </c>
      <c r="AY238" s="180">
        <v>0</v>
      </c>
      <c r="AZ238" s="180">
        <v>0</v>
      </c>
      <c r="BA238" s="180">
        <v>0</v>
      </c>
      <c r="BB238" s="180">
        <v>0</v>
      </c>
      <c r="BC238" s="180">
        <v>0</v>
      </c>
      <c r="BD238" s="180">
        <v>0</v>
      </c>
      <c r="BE238" s="180">
        <v>0</v>
      </c>
      <c r="BF238" s="180">
        <v>0</v>
      </c>
      <c r="BG238" s="180">
        <v>0</v>
      </c>
      <c r="BH238" s="180">
        <v>0</v>
      </c>
      <c r="BI238" s="180">
        <v>0</v>
      </c>
      <c r="BJ238" s="180">
        <v>0</v>
      </c>
      <c r="BK238" s="180"/>
      <c r="BL238" s="180">
        <v>0</v>
      </c>
      <c r="BM238" s="180">
        <v>0</v>
      </c>
      <c r="BN238" s="180">
        <v>0</v>
      </c>
      <c r="BO238" s="180">
        <v>0</v>
      </c>
      <c r="BP238" s="180">
        <v>0</v>
      </c>
      <c r="BQ238" s="180">
        <v>0</v>
      </c>
      <c r="BR238" s="180"/>
      <c r="BS238" s="180">
        <v>0</v>
      </c>
      <c r="BT238" s="180"/>
      <c r="BU238" s="180">
        <v>0</v>
      </c>
      <c r="BV238" s="180">
        <v>0</v>
      </c>
      <c r="BW238" s="180">
        <v>0</v>
      </c>
      <c r="BX238" s="180">
        <v>0</v>
      </c>
      <c r="BY238" s="180">
        <v>0</v>
      </c>
      <c r="BZ238" s="180">
        <v>0</v>
      </c>
      <c r="CA238" s="180">
        <v>0</v>
      </c>
      <c r="CB238" s="180">
        <v>0</v>
      </c>
      <c r="CC238" s="180">
        <v>0</v>
      </c>
      <c r="CD238" s="180"/>
      <c r="CE238" s="180">
        <v>0</v>
      </c>
      <c r="CF238" s="180">
        <v>0</v>
      </c>
      <c r="CG238" s="180">
        <v>0</v>
      </c>
      <c r="CH238" s="180">
        <v>0</v>
      </c>
      <c r="CI238" s="180"/>
      <c r="CJ238" s="180"/>
      <c r="CK238" s="180"/>
      <c r="CL238" s="180"/>
      <c r="CM238" s="180"/>
      <c r="CN238" s="180"/>
      <c r="CO238" s="180"/>
      <c r="CP238" s="180"/>
      <c r="CQ238" s="180"/>
      <c r="CR238" s="180"/>
      <c r="CS238" s="180"/>
      <c r="CT238" s="180"/>
      <c r="CU238" s="180"/>
    </row>
    <row r="239" spans="1:99" x14ac:dyDescent="0.3">
      <c r="A239" s="155">
        <v>1055</v>
      </c>
      <c r="B239" s="180" t="s">
        <v>1643</v>
      </c>
      <c r="C239" s="180"/>
      <c r="D239" s="180">
        <v>2</v>
      </c>
      <c r="E239" s="180">
        <v>2</v>
      </c>
      <c r="F239" s="180">
        <v>2</v>
      </c>
      <c r="G239" s="180">
        <v>2</v>
      </c>
      <c r="H239" s="180"/>
      <c r="I239" s="180">
        <v>2</v>
      </c>
      <c r="J239" s="180">
        <v>2</v>
      </c>
      <c r="K239" s="180">
        <v>2</v>
      </c>
      <c r="L239" s="180">
        <v>2</v>
      </c>
      <c r="M239" s="180">
        <v>2</v>
      </c>
      <c r="N239" s="180">
        <v>1</v>
      </c>
      <c r="O239" s="180">
        <v>2</v>
      </c>
      <c r="P239" s="180">
        <v>2</v>
      </c>
      <c r="Q239" s="180">
        <v>2</v>
      </c>
      <c r="R239" s="180">
        <v>2</v>
      </c>
      <c r="S239" s="180">
        <v>2</v>
      </c>
      <c r="T239" s="180">
        <v>2</v>
      </c>
      <c r="U239" s="180">
        <v>2</v>
      </c>
      <c r="V239" s="180">
        <v>2</v>
      </c>
      <c r="W239" s="180">
        <v>2</v>
      </c>
      <c r="X239" s="180">
        <v>2</v>
      </c>
      <c r="Y239" s="180">
        <v>2</v>
      </c>
      <c r="Z239" s="180">
        <v>2</v>
      </c>
      <c r="AA239" s="180">
        <v>2</v>
      </c>
      <c r="AB239" s="180">
        <v>2</v>
      </c>
      <c r="AC239" s="180"/>
      <c r="AD239" s="180">
        <v>2</v>
      </c>
      <c r="AE239" s="180">
        <v>2</v>
      </c>
      <c r="AF239" s="180">
        <v>2</v>
      </c>
      <c r="AG239" s="180">
        <v>2</v>
      </c>
      <c r="AH239" s="180">
        <v>2</v>
      </c>
      <c r="AI239" s="180">
        <v>2</v>
      </c>
      <c r="AJ239" s="180">
        <v>2</v>
      </c>
      <c r="AK239" s="180">
        <v>2</v>
      </c>
      <c r="AL239" s="180">
        <v>1</v>
      </c>
      <c r="AM239" s="180"/>
      <c r="AN239" s="180">
        <v>2</v>
      </c>
      <c r="AO239" s="180"/>
      <c r="AP239" s="180">
        <v>2</v>
      </c>
      <c r="AQ239" s="180">
        <v>2</v>
      </c>
      <c r="AR239" s="180">
        <v>2</v>
      </c>
      <c r="AS239" s="180">
        <v>2</v>
      </c>
      <c r="AT239" s="180">
        <v>2</v>
      </c>
      <c r="AU239" s="180">
        <v>2</v>
      </c>
      <c r="AV239" s="570">
        <v>2</v>
      </c>
      <c r="AW239" s="180">
        <v>2</v>
      </c>
      <c r="AX239" s="180">
        <v>1</v>
      </c>
      <c r="AY239" s="180">
        <v>1</v>
      </c>
      <c r="AZ239" s="180">
        <v>2</v>
      </c>
      <c r="BA239" s="180">
        <v>2</v>
      </c>
      <c r="BB239" s="180">
        <v>2</v>
      </c>
      <c r="BC239" s="180">
        <v>2</v>
      </c>
      <c r="BD239" s="180">
        <v>2</v>
      </c>
      <c r="BE239" s="180">
        <v>2</v>
      </c>
      <c r="BF239" s="180">
        <v>2</v>
      </c>
      <c r="BG239" s="180">
        <v>2</v>
      </c>
      <c r="BH239" s="180">
        <v>2</v>
      </c>
      <c r="BI239" s="180">
        <v>2</v>
      </c>
      <c r="BJ239" s="180">
        <v>2</v>
      </c>
      <c r="BK239" s="180"/>
      <c r="BL239" s="180">
        <v>2</v>
      </c>
      <c r="BM239" s="180">
        <v>2</v>
      </c>
      <c r="BN239" s="180">
        <v>2</v>
      </c>
      <c r="BO239" s="180">
        <v>2</v>
      </c>
      <c r="BP239" s="180">
        <v>2</v>
      </c>
      <c r="BQ239" s="180">
        <v>2</v>
      </c>
      <c r="BR239" s="180"/>
      <c r="BS239" s="180">
        <v>2</v>
      </c>
      <c r="BT239" s="180"/>
      <c r="BU239" s="180">
        <v>2</v>
      </c>
      <c r="BV239" s="180">
        <v>2</v>
      </c>
      <c r="BW239" s="180">
        <v>2</v>
      </c>
      <c r="BX239" s="180">
        <v>2</v>
      </c>
      <c r="BY239" s="180">
        <v>2</v>
      </c>
      <c r="BZ239" s="180">
        <v>2</v>
      </c>
      <c r="CA239" s="180">
        <v>2</v>
      </c>
      <c r="CB239" s="180">
        <v>2</v>
      </c>
      <c r="CC239" s="180">
        <v>1</v>
      </c>
      <c r="CD239" s="180"/>
      <c r="CE239" s="180">
        <v>2</v>
      </c>
      <c r="CF239" s="180">
        <v>2</v>
      </c>
      <c r="CG239" s="180">
        <v>2</v>
      </c>
      <c r="CH239" s="180">
        <v>2</v>
      </c>
      <c r="CI239" s="180"/>
      <c r="CJ239" s="180"/>
      <c r="CK239" s="180"/>
      <c r="CL239" s="180"/>
      <c r="CM239" s="180"/>
      <c r="CN239" s="180"/>
      <c r="CO239" s="180"/>
      <c r="CP239" s="180"/>
      <c r="CQ239" s="180"/>
      <c r="CR239" s="180"/>
      <c r="CS239" s="180"/>
      <c r="CT239" s="180"/>
      <c r="CU239" s="180"/>
    </row>
    <row r="240" spans="1:99" x14ac:dyDescent="0.3">
      <c r="A240" s="155">
        <v>1056</v>
      </c>
      <c r="B240" s="180" t="s">
        <v>1644</v>
      </c>
      <c r="C240" s="180"/>
      <c r="D240" s="180">
        <v>2</v>
      </c>
      <c r="E240" s="180">
        <v>2</v>
      </c>
      <c r="F240" s="180">
        <v>2</v>
      </c>
      <c r="G240" s="180">
        <v>2</v>
      </c>
      <c r="H240" s="180"/>
      <c r="I240" s="180">
        <v>2</v>
      </c>
      <c r="J240" s="180">
        <v>2</v>
      </c>
      <c r="K240" s="180">
        <v>2</v>
      </c>
      <c r="L240" s="180">
        <v>2</v>
      </c>
      <c r="M240" s="180">
        <v>2</v>
      </c>
      <c r="N240" s="180">
        <v>1</v>
      </c>
      <c r="O240" s="180">
        <v>2</v>
      </c>
      <c r="P240" s="180">
        <v>2</v>
      </c>
      <c r="Q240" s="180">
        <v>2</v>
      </c>
      <c r="R240" s="180">
        <v>2</v>
      </c>
      <c r="S240" s="180">
        <v>2</v>
      </c>
      <c r="T240" s="180">
        <v>2</v>
      </c>
      <c r="U240" s="180">
        <v>2</v>
      </c>
      <c r="V240" s="180">
        <v>2</v>
      </c>
      <c r="W240" s="180">
        <v>2</v>
      </c>
      <c r="X240" s="180">
        <v>2</v>
      </c>
      <c r="Y240" s="180">
        <v>2</v>
      </c>
      <c r="Z240" s="180">
        <v>2</v>
      </c>
      <c r="AA240" s="180">
        <v>2</v>
      </c>
      <c r="AB240" s="180">
        <v>2</v>
      </c>
      <c r="AC240" s="180"/>
      <c r="AD240" s="180">
        <v>2</v>
      </c>
      <c r="AE240" s="180">
        <v>2</v>
      </c>
      <c r="AF240" s="180">
        <v>2</v>
      </c>
      <c r="AG240" s="180">
        <v>2</v>
      </c>
      <c r="AH240" s="180">
        <v>2</v>
      </c>
      <c r="AI240" s="180">
        <v>2</v>
      </c>
      <c r="AJ240" s="180">
        <v>2</v>
      </c>
      <c r="AK240" s="180">
        <v>2</v>
      </c>
      <c r="AL240" s="180">
        <v>1</v>
      </c>
      <c r="AM240" s="180"/>
      <c r="AN240" s="180">
        <v>2</v>
      </c>
      <c r="AO240" s="180"/>
      <c r="AP240" s="180">
        <v>2</v>
      </c>
      <c r="AQ240" s="180">
        <v>2</v>
      </c>
      <c r="AR240" s="180">
        <v>1</v>
      </c>
      <c r="AS240" s="180">
        <v>2</v>
      </c>
      <c r="AT240" s="180">
        <v>2</v>
      </c>
      <c r="AU240" s="180">
        <v>1</v>
      </c>
      <c r="AV240" s="570">
        <v>1</v>
      </c>
      <c r="AW240" s="180">
        <v>2</v>
      </c>
      <c r="AX240" s="180">
        <v>1</v>
      </c>
      <c r="AY240" s="180">
        <v>1</v>
      </c>
      <c r="AZ240" s="180">
        <v>2</v>
      </c>
      <c r="BA240" s="180">
        <v>2</v>
      </c>
      <c r="BB240" s="180">
        <v>2</v>
      </c>
      <c r="BC240" s="180">
        <v>2</v>
      </c>
      <c r="BD240" s="180">
        <v>2</v>
      </c>
      <c r="BE240" s="180">
        <v>2</v>
      </c>
      <c r="BF240" s="180">
        <v>2</v>
      </c>
      <c r="BG240" s="180">
        <v>2</v>
      </c>
      <c r="BH240" s="180">
        <v>1</v>
      </c>
      <c r="BI240" s="180">
        <v>2</v>
      </c>
      <c r="BJ240" s="180">
        <v>2</v>
      </c>
      <c r="BK240" s="180"/>
      <c r="BL240" s="180">
        <v>1</v>
      </c>
      <c r="BM240" s="180">
        <v>2</v>
      </c>
      <c r="BN240" s="180">
        <v>2</v>
      </c>
      <c r="BO240" s="180">
        <v>2</v>
      </c>
      <c r="BP240" s="180">
        <v>2</v>
      </c>
      <c r="BQ240" s="180">
        <v>2</v>
      </c>
      <c r="BR240" s="180"/>
      <c r="BS240" s="180">
        <v>2</v>
      </c>
      <c r="BT240" s="180"/>
      <c r="BU240" s="180">
        <v>2</v>
      </c>
      <c r="BV240" s="180">
        <v>2</v>
      </c>
      <c r="BW240" s="180">
        <v>2</v>
      </c>
      <c r="BX240" s="180">
        <v>2</v>
      </c>
      <c r="BY240" s="180">
        <v>2</v>
      </c>
      <c r="BZ240" s="180">
        <v>2</v>
      </c>
      <c r="CA240" s="180">
        <v>2</v>
      </c>
      <c r="CB240" s="180">
        <v>2</v>
      </c>
      <c r="CC240" s="180">
        <v>1</v>
      </c>
      <c r="CD240" s="180"/>
      <c r="CE240" s="180">
        <v>2</v>
      </c>
      <c r="CF240" s="180">
        <v>2</v>
      </c>
      <c r="CG240" s="180">
        <v>2</v>
      </c>
      <c r="CH240" s="180">
        <v>2</v>
      </c>
      <c r="CI240" s="180"/>
      <c r="CJ240" s="180"/>
      <c r="CK240" s="180"/>
      <c r="CL240" s="180"/>
      <c r="CM240" s="180"/>
      <c r="CN240" s="180"/>
      <c r="CO240" s="180"/>
      <c r="CP240" s="180"/>
      <c r="CQ240" s="180"/>
      <c r="CR240" s="180"/>
      <c r="CS240" s="180"/>
      <c r="CT240" s="180"/>
      <c r="CU240" s="180"/>
    </row>
    <row r="241" spans="1:99" x14ac:dyDescent="0.3">
      <c r="A241" s="155">
        <v>1057</v>
      </c>
      <c r="B241" s="180" t="s">
        <v>1886</v>
      </c>
      <c r="C241" s="180"/>
      <c r="D241" s="180">
        <v>2</v>
      </c>
      <c r="E241" s="180">
        <v>2</v>
      </c>
      <c r="F241" s="180">
        <v>2</v>
      </c>
      <c r="G241" s="180">
        <v>2</v>
      </c>
      <c r="H241" s="180"/>
      <c r="I241" s="180">
        <v>1</v>
      </c>
      <c r="J241" s="180">
        <v>2</v>
      </c>
      <c r="K241" s="180">
        <v>2</v>
      </c>
      <c r="L241" s="180">
        <v>2</v>
      </c>
      <c r="M241" s="180">
        <v>1</v>
      </c>
      <c r="N241" s="180">
        <v>1</v>
      </c>
      <c r="O241" s="180">
        <v>2</v>
      </c>
      <c r="P241" s="180">
        <v>2</v>
      </c>
      <c r="Q241" s="180">
        <v>2</v>
      </c>
      <c r="R241" s="180">
        <v>1</v>
      </c>
      <c r="S241" s="180">
        <v>2</v>
      </c>
      <c r="T241" s="180">
        <v>1</v>
      </c>
      <c r="U241" s="180">
        <v>2</v>
      </c>
      <c r="V241" s="180">
        <v>1</v>
      </c>
      <c r="W241" s="180">
        <v>1</v>
      </c>
      <c r="X241" s="180">
        <v>2</v>
      </c>
      <c r="Y241" s="180">
        <v>2</v>
      </c>
      <c r="Z241" s="180">
        <v>2</v>
      </c>
      <c r="AA241" s="180">
        <v>1</v>
      </c>
      <c r="AB241" s="180">
        <v>2</v>
      </c>
      <c r="AC241" s="180"/>
      <c r="AD241" s="180">
        <v>2</v>
      </c>
      <c r="AE241" s="180">
        <v>2</v>
      </c>
      <c r="AF241" s="180">
        <v>2</v>
      </c>
      <c r="AG241" s="180">
        <v>2</v>
      </c>
      <c r="AH241" s="180">
        <v>2</v>
      </c>
      <c r="AI241" s="180">
        <v>2</v>
      </c>
      <c r="AJ241" s="180">
        <v>2</v>
      </c>
      <c r="AK241" s="180">
        <v>2</v>
      </c>
      <c r="AL241" s="180">
        <v>2</v>
      </c>
      <c r="AM241" s="180"/>
      <c r="AN241" s="180">
        <v>2</v>
      </c>
      <c r="AO241" s="180"/>
      <c r="AP241" s="180">
        <v>2</v>
      </c>
      <c r="AQ241" s="180">
        <v>1</v>
      </c>
      <c r="AR241" s="180">
        <v>1</v>
      </c>
      <c r="AS241" s="180">
        <v>2</v>
      </c>
      <c r="AT241" s="180">
        <v>2</v>
      </c>
      <c r="AU241" s="180">
        <v>1</v>
      </c>
      <c r="AV241" s="180">
        <v>1</v>
      </c>
      <c r="AW241" s="180">
        <v>2</v>
      </c>
      <c r="AX241" s="180">
        <v>1</v>
      </c>
      <c r="AY241" s="180">
        <v>1</v>
      </c>
      <c r="AZ241" s="180">
        <v>2</v>
      </c>
      <c r="BA241" s="180">
        <v>1</v>
      </c>
      <c r="BB241" s="180">
        <v>2</v>
      </c>
      <c r="BC241" s="180">
        <v>2</v>
      </c>
      <c r="BD241" s="180">
        <v>2</v>
      </c>
      <c r="BE241" s="180">
        <v>2</v>
      </c>
      <c r="BF241" s="180">
        <v>2</v>
      </c>
      <c r="BG241" s="180">
        <v>1</v>
      </c>
      <c r="BH241" s="180">
        <v>2</v>
      </c>
      <c r="BI241" s="180">
        <v>1</v>
      </c>
      <c r="BJ241" s="180">
        <v>2</v>
      </c>
      <c r="BK241" s="180"/>
      <c r="BL241" s="180">
        <v>2</v>
      </c>
      <c r="BM241" s="180">
        <v>2</v>
      </c>
      <c r="BN241" s="180">
        <v>2</v>
      </c>
      <c r="BO241" s="180">
        <v>2</v>
      </c>
      <c r="BP241" s="180">
        <v>2</v>
      </c>
      <c r="BQ241" s="180">
        <v>1</v>
      </c>
      <c r="BR241" s="180"/>
      <c r="BS241" s="180">
        <v>2</v>
      </c>
      <c r="BT241" s="180"/>
      <c r="BU241" s="180">
        <v>2</v>
      </c>
      <c r="BV241" s="180">
        <v>2</v>
      </c>
      <c r="BW241" s="180">
        <v>2</v>
      </c>
      <c r="BX241" s="180">
        <v>1</v>
      </c>
      <c r="BY241" s="180">
        <v>2</v>
      </c>
      <c r="BZ241" s="180">
        <v>2</v>
      </c>
      <c r="CA241" s="180">
        <v>2</v>
      </c>
      <c r="CB241" s="180">
        <v>2</v>
      </c>
      <c r="CC241" s="180">
        <v>2</v>
      </c>
      <c r="CD241" s="180"/>
      <c r="CE241" s="180">
        <v>2</v>
      </c>
      <c r="CF241" s="180">
        <v>2</v>
      </c>
      <c r="CG241" s="180">
        <v>2</v>
      </c>
      <c r="CH241" s="180">
        <v>2</v>
      </c>
      <c r="CI241" s="180"/>
      <c r="CJ241" s="180"/>
      <c r="CK241" s="180"/>
      <c r="CL241" s="180"/>
      <c r="CM241" s="180"/>
      <c r="CN241" s="180"/>
      <c r="CO241" s="180"/>
      <c r="CP241" s="180"/>
      <c r="CQ241" s="180"/>
      <c r="CR241" s="180"/>
      <c r="CS241" s="180"/>
      <c r="CT241" s="180"/>
      <c r="CU241" s="180"/>
    </row>
    <row r="242" spans="1:99" x14ac:dyDescent="0.3">
      <c r="A242" s="155">
        <v>1058</v>
      </c>
      <c r="B242" s="180" t="s">
        <v>1445</v>
      </c>
      <c r="C242" s="180"/>
      <c r="D242" s="180">
        <v>2</v>
      </c>
      <c r="E242" s="180">
        <v>2</v>
      </c>
      <c r="F242" s="180">
        <v>2</v>
      </c>
      <c r="G242" s="180">
        <v>2</v>
      </c>
      <c r="H242" s="180"/>
      <c r="I242" s="180">
        <v>1</v>
      </c>
      <c r="J242" s="180">
        <v>2</v>
      </c>
      <c r="K242" s="180">
        <v>2</v>
      </c>
      <c r="L242" s="180">
        <v>2</v>
      </c>
      <c r="M242" s="180">
        <v>2</v>
      </c>
      <c r="N242" s="180">
        <v>1</v>
      </c>
      <c r="O242" s="180">
        <v>2</v>
      </c>
      <c r="P242" s="180">
        <v>2</v>
      </c>
      <c r="Q242" s="180">
        <v>2</v>
      </c>
      <c r="R242" s="180">
        <v>2</v>
      </c>
      <c r="S242" s="180">
        <v>2</v>
      </c>
      <c r="T242" s="180">
        <v>2</v>
      </c>
      <c r="U242" s="180">
        <v>2</v>
      </c>
      <c r="V242" s="180">
        <v>2</v>
      </c>
      <c r="W242" s="180">
        <v>1</v>
      </c>
      <c r="X242" s="180">
        <v>2</v>
      </c>
      <c r="Y242" s="180">
        <v>2</v>
      </c>
      <c r="Z242" s="180">
        <v>2</v>
      </c>
      <c r="AA242" s="180">
        <v>2</v>
      </c>
      <c r="AB242" s="180">
        <v>2</v>
      </c>
      <c r="AC242" s="180"/>
      <c r="AD242" s="180">
        <v>2</v>
      </c>
      <c r="AE242" s="180">
        <v>2</v>
      </c>
      <c r="AF242" s="180">
        <v>2</v>
      </c>
      <c r="AG242" s="180">
        <v>2</v>
      </c>
      <c r="AH242" s="180">
        <v>2</v>
      </c>
      <c r="AI242" s="180">
        <v>2</v>
      </c>
      <c r="AJ242" s="180">
        <v>2</v>
      </c>
      <c r="AK242" s="180">
        <v>2</v>
      </c>
      <c r="AL242" s="180">
        <v>2</v>
      </c>
      <c r="AM242" s="180"/>
      <c r="AN242" s="180">
        <v>2</v>
      </c>
      <c r="AO242" s="180"/>
      <c r="AP242" s="180">
        <v>2</v>
      </c>
      <c r="AQ242" s="180">
        <v>2</v>
      </c>
      <c r="AR242" s="180">
        <v>1</v>
      </c>
      <c r="AS242" s="180">
        <v>2</v>
      </c>
      <c r="AT242" s="180">
        <v>2</v>
      </c>
      <c r="AU242" s="180">
        <v>2</v>
      </c>
      <c r="AV242" s="180">
        <v>1</v>
      </c>
      <c r="AW242" s="180">
        <v>2</v>
      </c>
      <c r="AX242" s="180">
        <v>2</v>
      </c>
      <c r="AY242" s="180">
        <v>1</v>
      </c>
      <c r="AZ242" s="180">
        <v>2</v>
      </c>
      <c r="BA242" s="180">
        <v>2</v>
      </c>
      <c r="BB242" s="180">
        <v>2</v>
      </c>
      <c r="BC242" s="180">
        <v>2</v>
      </c>
      <c r="BD242" s="180">
        <v>2</v>
      </c>
      <c r="BE242" s="180">
        <v>2</v>
      </c>
      <c r="BF242" s="180">
        <v>2</v>
      </c>
      <c r="BG242" s="180">
        <v>2</v>
      </c>
      <c r="BH242" s="180">
        <v>1</v>
      </c>
      <c r="BI242" s="180">
        <v>2</v>
      </c>
      <c r="BJ242" s="180">
        <v>2</v>
      </c>
      <c r="BK242" s="180"/>
      <c r="BL242" s="180">
        <v>2</v>
      </c>
      <c r="BM242" s="180">
        <v>2</v>
      </c>
      <c r="BN242" s="180">
        <v>2</v>
      </c>
      <c r="BO242" s="180">
        <v>2</v>
      </c>
      <c r="BP242" s="180">
        <v>2</v>
      </c>
      <c r="BQ242" s="180">
        <v>2</v>
      </c>
      <c r="BR242" s="180"/>
      <c r="BS242" s="180">
        <v>2</v>
      </c>
      <c r="BT242" s="180"/>
      <c r="BU242" s="180">
        <v>2</v>
      </c>
      <c r="BV242" s="180">
        <v>2</v>
      </c>
      <c r="BW242" s="180">
        <v>2</v>
      </c>
      <c r="BX242" s="180">
        <v>1</v>
      </c>
      <c r="BY242" s="180">
        <v>2</v>
      </c>
      <c r="BZ242" s="180">
        <v>2</v>
      </c>
      <c r="CA242" s="180">
        <v>2</v>
      </c>
      <c r="CB242" s="180">
        <v>2</v>
      </c>
      <c r="CC242" s="180">
        <v>2</v>
      </c>
      <c r="CD242" s="180"/>
      <c r="CE242" s="180">
        <v>2</v>
      </c>
      <c r="CF242" s="180">
        <v>2</v>
      </c>
      <c r="CG242" s="180">
        <v>2</v>
      </c>
      <c r="CH242" s="180">
        <v>2</v>
      </c>
      <c r="CI242" s="180"/>
      <c r="CJ242" s="180"/>
      <c r="CK242" s="180"/>
      <c r="CL242" s="180"/>
      <c r="CM242" s="180"/>
      <c r="CN242" s="180"/>
      <c r="CO242" s="180"/>
      <c r="CP242" s="180"/>
      <c r="CQ242" s="180"/>
      <c r="CR242" s="180"/>
      <c r="CS242" s="180"/>
      <c r="CT242" s="180"/>
      <c r="CU242" s="180"/>
    </row>
    <row r="243" spans="1:99" x14ac:dyDescent="0.3">
      <c r="A243" s="155">
        <v>1059</v>
      </c>
      <c r="B243" s="180" t="s">
        <v>1645</v>
      </c>
      <c r="C243" s="180"/>
      <c r="D243" s="180">
        <v>1</v>
      </c>
      <c r="E243" s="180">
        <v>1</v>
      </c>
      <c r="F243" s="180">
        <v>1</v>
      </c>
      <c r="G243" s="180">
        <v>1</v>
      </c>
      <c r="H243" s="180"/>
      <c r="I243" s="180">
        <v>1</v>
      </c>
      <c r="J243" s="180">
        <v>1</v>
      </c>
      <c r="K243" s="180">
        <v>1</v>
      </c>
      <c r="L243" s="180">
        <v>1</v>
      </c>
      <c r="M243" s="180">
        <v>1</v>
      </c>
      <c r="N243" s="180">
        <v>1</v>
      </c>
      <c r="O243" s="180">
        <v>1</v>
      </c>
      <c r="P243" s="180">
        <v>1</v>
      </c>
      <c r="Q243" s="180">
        <v>1</v>
      </c>
      <c r="R243" s="180">
        <v>1</v>
      </c>
      <c r="S243" s="180">
        <v>1</v>
      </c>
      <c r="T243" s="180">
        <v>1</v>
      </c>
      <c r="U243" s="180">
        <v>1</v>
      </c>
      <c r="V243" s="180">
        <v>1</v>
      </c>
      <c r="W243" s="180">
        <v>1</v>
      </c>
      <c r="X243" s="180">
        <v>1</v>
      </c>
      <c r="Y243" s="180">
        <v>1</v>
      </c>
      <c r="Z243" s="180">
        <v>1</v>
      </c>
      <c r="AA243" s="180">
        <v>1</v>
      </c>
      <c r="AB243" s="180">
        <v>1</v>
      </c>
      <c r="AC243" s="180"/>
      <c r="AD243" s="180">
        <v>1</v>
      </c>
      <c r="AE243" s="180">
        <v>1</v>
      </c>
      <c r="AF243" s="180">
        <v>1</v>
      </c>
      <c r="AG243" s="180">
        <v>1</v>
      </c>
      <c r="AH243" s="180">
        <v>1</v>
      </c>
      <c r="AI243" s="180">
        <v>1</v>
      </c>
      <c r="AJ243" s="180">
        <v>1</v>
      </c>
      <c r="AK243" s="180">
        <v>1</v>
      </c>
      <c r="AL243" s="180">
        <v>1</v>
      </c>
      <c r="AM243" s="180"/>
      <c r="AN243" s="180">
        <v>1</v>
      </c>
      <c r="AO243" s="180"/>
      <c r="AP243" s="180">
        <v>1</v>
      </c>
      <c r="AQ243" s="180">
        <v>1</v>
      </c>
      <c r="AR243" s="180">
        <v>1</v>
      </c>
      <c r="AS243" s="180">
        <v>1</v>
      </c>
      <c r="AT243" s="180">
        <v>1</v>
      </c>
      <c r="AU243" s="180">
        <v>1</v>
      </c>
      <c r="AV243" s="180">
        <v>1</v>
      </c>
      <c r="AW243" s="180">
        <v>1</v>
      </c>
      <c r="AX243" s="180">
        <v>1</v>
      </c>
      <c r="AY243" s="180">
        <v>1</v>
      </c>
      <c r="AZ243" s="180">
        <v>1</v>
      </c>
      <c r="BA243" s="180">
        <v>1</v>
      </c>
      <c r="BB243" s="180">
        <v>1</v>
      </c>
      <c r="BC243" s="180">
        <v>1</v>
      </c>
      <c r="BD243" s="180">
        <v>1</v>
      </c>
      <c r="BE243" s="180">
        <v>1</v>
      </c>
      <c r="BF243" s="180">
        <v>1</v>
      </c>
      <c r="BG243" s="180">
        <v>1</v>
      </c>
      <c r="BH243" s="180">
        <v>1</v>
      </c>
      <c r="BI243" s="180">
        <v>1</v>
      </c>
      <c r="BJ243" s="180">
        <v>1</v>
      </c>
      <c r="BK243" s="180"/>
      <c r="BL243" s="180">
        <v>1</v>
      </c>
      <c r="BM243" s="180">
        <v>1</v>
      </c>
      <c r="BN243" s="180">
        <v>1</v>
      </c>
      <c r="BO243" s="180">
        <v>1</v>
      </c>
      <c r="BP243" s="180">
        <v>1</v>
      </c>
      <c r="BQ243" s="180">
        <v>1</v>
      </c>
      <c r="BR243" s="180"/>
      <c r="BS243" s="180">
        <v>1</v>
      </c>
      <c r="BT243" s="180"/>
      <c r="BU243" s="180">
        <v>1</v>
      </c>
      <c r="BV243" s="180">
        <v>1</v>
      </c>
      <c r="BW243" s="180">
        <v>1</v>
      </c>
      <c r="BX243" s="180">
        <v>1</v>
      </c>
      <c r="BY243" s="180">
        <v>1</v>
      </c>
      <c r="BZ243" s="180">
        <v>1</v>
      </c>
      <c r="CA243" s="180">
        <v>1</v>
      </c>
      <c r="CB243" s="180">
        <v>1</v>
      </c>
      <c r="CC243" s="180">
        <v>1</v>
      </c>
      <c r="CD243" s="180"/>
      <c r="CE243" s="180">
        <v>1</v>
      </c>
      <c r="CF243" s="180">
        <v>1</v>
      </c>
      <c r="CG243" s="180">
        <v>1</v>
      </c>
      <c r="CH243" s="180">
        <v>1</v>
      </c>
      <c r="CI243" s="180"/>
      <c r="CJ243" s="180"/>
      <c r="CK243" s="180"/>
      <c r="CL243" s="180"/>
      <c r="CM243" s="180"/>
      <c r="CN243" s="180"/>
      <c r="CO243" s="180"/>
      <c r="CP243" s="180"/>
      <c r="CQ243" s="180"/>
      <c r="CR243" s="180"/>
      <c r="CS243" s="180"/>
      <c r="CT243" s="180"/>
      <c r="CU243" s="180"/>
    </row>
    <row r="244" spans="1:99" x14ac:dyDescent="0.3">
      <c r="A244" s="155">
        <v>1060</v>
      </c>
      <c r="B244" s="180" t="s">
        <v>1646</v>
      </c>
      <c r="C244" s="180"/>
      <c r="D244" s="180">
        <v>553875</v>
      </c>
      <c r="E244" s="180">
        <v>723443</v>
      </c>
      <c r="F244" s="180">
        <v>98827</v>
      </c>
      <c r="G244" s="180">
        <v>107905</v>
      </c>
      <c r="H244" s="180"/>
      <c r="I244" s="180">
        <v>751129</v>
      </c>
      <c r="J244" s="180">
        <v>592998</v>
      </c>
      <c r="K244" s="180">
        <v>885406</v>
      </c>
      <c r="L244" s="180">
        <v>1484812</v>
      </c>
      <c r="M244" s="180">
        <v>403407</v>
      </c>
      <c r="N244" s="180">
        <v>32643</v>
      </c>
      <c r="O244" s="180">
        <v>4555145</v>
      </c>
      <c r="P244" s="180">
        <v>0</v>
      </c>
      <c r="Q244" s="180">
        <v>86048</v>
      </c>
      <c r="R244" s="180">
        <v>0</v>
      </c>
      <c r="S244" s="180">
        <v>198868</v>
      </c>
      <c r="T244" s="180">
        <v>0</v>
      </c>
      <c r="U244" s="180">
        <v>33364</v>
      </c>
      <c r="V244" s="180">
        <v>77174</v>
      </c>
      <c r="W244" s="180">
        <v>545292</v>
      </c>
      <c r="X244" s="180">
        <v>2199730</v>
      </c>
      <c r="Y244" s="180">
        <v>51046000</v>
      </c>
      <c r="Z244" s="180">
        <v>1935187</v>
      </c>
      <c r="AA244" s="180">
        <v>0</v>
      </c>
      <c r="AB244" s="180">
        <v>0</v>
      </c>
      <c r="AC244" s="180"/>
      <c r="AD244" s="180">
        <v>0</v>
      </c>
      <c r="AE244" s="180">
        <v>235198</v>
      </c>
      <c r="AF244" s="180">
        <v>7931423</v>
      </c>
      <c r="AG244" s="180">
        <v>4726285</v>
      </c>
      <c r="AH244" s="180">
        <v>138952</v>
      </c>
      <c r="AI244" s="180">
        <v>2694132</v>
      </c>
      <c r="AJ244" s="180">
        <v>415582</v>
      </c>
      <c r="AK244" s="180">
        <v>0</v>
      </c>
      <c r="AL244" s="180">
        <v>117592</v>
      </c>
      <c r="AM244" s="180"/>
      <c r="AN244" s="180">
        <v>15000</v>
      </c>
      <c r="AO244" s="180"/>
      <c r="AP244" s="180">
        <v>0</v>
      </c>
      <c r="AQ244" s="180">
        <v>14991086</v>
      </c>
      <c r="AR244" s="180">
        <v>68908</v>
      </c>
      <c r="AS244" s="180">
        <v>0</v>
      </c>
      <c r="AT244" s="180">
        <v>2721676</v>
      </c>
      <c r="AU244" s="180">
        <v>0</v>
      </c>
      <c r="AV244" s="180">
        <v>0</v>
      </c>
      <c r="AW244" s="180">
        <v>4821414</v>
      </c>
      <c r="AX244" s="180">
        <v>61827</v>
      </c>
      <c r="AY244" s="180">
        <v>710376</v>
      </c>
      <c r="AZ244" s="180">
        <v>734917</v>
      </c>
      <c r="BA244" s="180">
        <v>74575</v>
      </c>
      <c r="BB244" s="180">
        <v>76169</v>
      </c>
      <c r="BC244" s="180">
        <v>586000</v>
      </c>
      <c r="BD244" s="180">
        <v>0</v>
      </c>
      <c r="BE244" s="180">
        <v>4160276</v>
      </c>
      <c r="BF244" s="180">
        <v>267705</v>
      </c>
      <c r="BG244" s="180">
        <v>79037</v>
      </c>
      <c r="BH244" s="180">
        <v>124162</v>
      </c>
      <c r="BI244" s="180">
        <v>490475</v>
      </c>
      <c r="BJ244" s="180">
        <v>135623</v>
      </c>
      <c r="BK244" s="180"/>
      <c r="BL244" s="180">
        <v>217433</v>
      </c>
      <c r="BM244" s="180">
        <v>0</v>
      </c>
      <c r="BN244" s="180">
        <v>126204</v>
      </c>
      <c r="BO244" s="180">
        <v>3097102</v>
      </c>
      <c r="BP244" s="180">
        <v>9006191</v>
      </c>
      <c r="BQ244" s="180">
        <v>37595</v>
      </c>
      <c r="BR244" s="180"/>
      <c r="BS244" s="180">
        <v>64372</v>
      </c>
      <c r="BT244" s="180"/>
      <c r="BU244" s="180">
        <v>0</v>
      </c>
      <c r="BV244" s="180">
        <v>1706152</v>
      </c>
      <c r="BW244" s="180">
        <v>1349470</v>
      </c>
      <c r="BX244" s="180">
        <v>254098</v>
      </c>
      <c r="BY244" s="180">
        <v>1081172</v>
      </c>
      <c r="BZ244" s="180">
        <v>141501</v>
      </c>
      <c r="CA244" s="180">
        <v>639148</v>
      </c>
      <c r="CB244" s="180">
        <v>0</v>
      </c>
      <c r="CC244" s="180">
        <v>145426</v>
      </c>
      <c r="CD244" s="180"/>
      <c r="CE244" s="180">
        <v>0</v>
      </c>
      <c r="CF244" s="180">
        <v>0</v>
      </c>
      <c r="CG244" s="180">
        <v>505348</v>
      </c>
      <c r="CH244" s="180">
        <v>902339</v>
      </c>
      <c r="CI244" s="180"/>
      <c r="CJ244" s="180"/>
      <c r="CK244" s="180"/>
      <c r="CL244" s="180"/>
      <c r="CM244" s="180"/>
      <c r="CN244" s="180"/>
      <c r="CO244" s="180"/>
      <c r="CP244" s="180"/>
      <c r="CQ244" s="180"/>
      <c r="CR244" s="180"/>
      <c r="CS244" s="180"/>
      <c r="CT244" s="180"/>
      <c r="CU244" s="180"/>
    </row>
    <row r="245" spans="1:99" s="554" customFormat="1" x14ac:dyDescent="0.3">
      <c r="A245" s="553">
        <v>1061</v>
      </c>
      <c r="B245" s="554" t="s">
        <v>1647</v>
      </c>
      <c r="D245" s="554">
        <v>0</v>
      </c>
      <c r="E245" s="554">
        <v>0</v>
      </c>
      <c r="F245" s="554">
        <v>0</v>
      </c>
      <c r="G245" s="554">
        <v>0</v>
      </c>
      <c r="I245" s="554">
        <v>0</v>
      </c>
      <c r="J245" s="554">
        <v>0</v>
      </c>
      <c r="K245" s="554">
        <v>1153939</v>
      </c>
      <c r="L245" s="554">
        <v>0</v>
      </c>
      <c r="M245" s="554">
        <v>6349792</v>
      </c>
      <c r="N245" s="554">
        <v>32643</v>
      </c>
      <c r="O245" s="554">
        <v>846563</v>
      </c>
      <c r="P245" s="554">
        <v>0</v>
      </c>
      <c r="Q245" s="554">
        <v>0</v>
      </c>
      <c r="R245" s="554">
        <v>0</v>
      </c>
      <c r="S245" s="554">
        <v>0</v>
      </c>
      <c r="T245" s="554">
        <v>0</v>
      </c>
      <c r="U245" s="554">
        <v>54745</v>
      </c>
      <c r="V245" s="554">
        <v>0</v>
      </c>
      <c r="W245" s="554">
        <v>0</v>
      </c>
      <c r="X245" s="554">
        <v>1277992</v>
      </c>
      <c r="Y245" s="554">
        <v>90572000</v>
      </c>
      <c r="Z245" s="554">
        <v>0</v>
      </c>
      <c r="AA245" s="554">
        <v>0</v>
      </c>
      <c r="AB245" s="554">
        <v>0</v>
      </c>
      <c r="AD245" s="554">
        <v>0</v>
      </c>
      <c r="AE245" s="554">
        <v>0</v>
      </c>
      <c r="AF245" s="554">
        <v>0</v>
      </c>
      <c r="AG245" s="554">
        <v>1923975</v>
      </c>
      <c r="AH245" s="554">
        <v>0</v>
      </c>
      <c r="AI245" s="554">
        <v>0</v>
      </c>
      <c r="AJ245" s="554">
        <v>0</v>
      </c>
      <c r="AK245" s="554">
        <v>181230</v>
      </c>
      <c r="AL245" s="554">
        <v>0</v>
      </c>
      <c r="AN245" s="554">
        <v>161988</v>
      </c>
      <c r="AP245" s="554">
        <v>0</v>
      </c>
      <c r="AQ245" s="554">
        <v>1264786</v>
      </c>
      <c r="AR245" s="554">
        <v>0</v>
      </c>
      <c r="AS245" s="554">
        <v>191899</v>
      </c>
      <c r="AT245" s="554">
        <v>0</v>
      </c>
      <c r="AU245" s="554">
        <v>0</v>
      </c>
      <c r="AV245" s="554">
        <v>0</v>
      </c>
      <c r="AW245" s="554">
        <v>4821414</v>
      </c>
      <c r="AX245" s="554">
        <v>0</v>
      </c>
      <c r="AY245" s="554">
        <v>0</v>
      </c>
      <c r="AZ245" s="554">
        <v>0</v>
      </c>
      <c r="BA245" s="554">
        <v>0</v>
      </c>
      <c r="BB245" s="554">
        <v>0</v>
      </c>
      <c r="BC245" s="554">
        <v>942792</v>
      </c>
      <c r="BD245" s="554">
        <v>58332</v>
      </c>
      <c r="BE245" s="554">
        <v>0</v>
      </c>
      <c r="BF245" s="554">
        <v>0</v>
      </c>
      <c r="BG245" s="554">
        <v>0</v>
      </c>
      <c r="BH245" s="554">
        <v>112791</v>
      </c>
      <c r="BI245" s="554">
        <v>0</v>
      </c>
      <c r="BJ245" s="554">
        <v>0</v>
      </c>
      <c r="BL245" s="554">
        <v>373433</v>
      </c>
      <c r="BM245" s="554">
        <v>100390</v>
      </c>
      <c r="BN245" s="554">
        <v>0</v>
      </c>
      <c r="BO245" s="554">
        <v>0</v>
      </c>
      <c r="BP245" s="554">
        <v>42875542</v>
      </c>
      <c r="BQ245" s="554">
        <v>0</v>
      </c>
      <c r="BS245" s="554">
        <v>113918</v>
      </c>
      <c r="BU245" s="554">
        <v>0</v>
      </c>
      <c r="BV245" s="554">
        <v>3046127</v>
      </c>
      <c r="BW245" s="554">
        <v>4217</v>
      </c>
      <c r="BX245" s="554">
        <v>5403101</v>
      </c>
      <c r="BY245" s="554">
        <v>0</v>
      </c>
      <c r="BZ245" s="554">
        <v>0</v>
      </c>
      <c r="CA245" s="554">
        <v>0</v>
      </c>
      <c r="CB245" s="554">
        <v>0</v>
      </c>
      <c r="CC245" s="554">
        <v>166260</v>
      </c>
      <c r="CE245" s="554">
        <v>3898307</v>
      </c>
      <c r="CF245" s="554">
        <v>0</v>
      </c>
      <c r="CG245" s="554">
        <v>18621</v>
      </c>
      <c r="CH245" s="554">
        <v>740865</v>
      </c>
    </row>
    <row r="246" spans="1:99" s="554" customFormat="1" x14ac:dyDescent="0.3">
      <c r="A246" s="553">
        <v>1062</v>
      </c>
      <c r="B246" s="554" t="s">
        <v>1648</v>
      </c>
      <c r="D246" s="554">
        <v>1</v>
      </c>
      <c r="E246" s="554">
        <v>1</v>
      </c>
      <c r="F246" s="554">
        <v>1</v>
      </c>
      <c r="G246" s="554">
        <v>1</v>
      </c>
      <c r="I246" s="554">
        <v>1</v>
      </c>
      <c r="J246" s="554">
        <v>1</v>
      </c>
      <c r="K246" s="554">
        <v>1</v>
      </c>
      <c r="L246" s="554">
        <v>1</v>
      </c>
      <c r="M246" s="554">
        <v>1</v>
      </c>
      <c r="N246" s="554">
        <v>2</v>
      </c>
      <c r="O246" s="554">
        <v>1</v>
      </c>
      <c r="P246" s="554">
        <v>1</v>
      </c>
      <c r="Q246" s="554">
        <v>1</v>
      </c>
      <c r="R246" s="554">
        <v>1</v>
      </c>
      <c r="S246" s="554">
        <v>1</v>
      </c>
      <c r="T246" s="554">
        <v>1</v>
      </c>
      <c r="U246" s="554">
        <v>1</v>
      </c>
      <c r="V246" s="554">
        <v>1</v>
      </c>
      <c r="W246" s="554">
        <v>1</v>
      </c>
      <c r="X246" s="554">
        <v>1</v>
      </c>
      <c r="Y246" s="554">
        <v>1</v>
      </c>
      <c r="Z246" s="554">
        <v>1</v>
      </c>
      <c r="AA246" s="554">
        <v>1</v>
      </c>
      <c r="AB246" s="554">
        <v>0</v>
      </c>
      <c r="AD246" s="554">
        <v>1</v>
      </c>
      <c r="AE246" s="554">
        <v>1</v>
      </c>
      <c r="AF246" s="554">
        <v>1</v>
      </c>
      <c r="AG246" s="554">
        <v>1</v>
      </c>
      <c r="AH246" s="554">
        <v>1</v>
      </c>
      <c r="AI246" s="554">
        <v>1</v>
      </c>
      <c r="AJ246" s="554">
        <v>1</v>
      </c>
      <c r="AK246" s="554">
        <v>1</v>
      </c>
      <c r="AL246" s="554">
        <v>1</v>
      </c>
      <c r="AN246" s="554">
        <v>1</v>
      </c>
      <c r="AP246" s="554">
        <v>0</v>
      </c>
      <c r="AQ246" s="554">
        <v>1</v>
      </c>
      <c r="AR246" s="554">
        <v>1</v>
      </c>
      <c r="AS246" s="554">
        <v>0</v>
      </c>
      <c r="AT246" s="554">
        <v>1</v>
      </c>
      <c r="AU246" s="554">
        <v>1</v>
      </c>
      <c r="AV246" s="554">
        <v>1</v>
      </c>
      <c r="AW246" s="554">
        <v>1</v>
      </c>
      <c r="AX246" s="554">
        <v>1</v>
      </c>
      <c r="AY246" s="554">
        <v>1</v>
      </c>
      <c r="AZ246" s="554">
        <v>1</v>
      </c>
      <c r="BA246" s="554">
        <v>1</v>
      </c>
      <c r="BB246" s="554">
        <v>1</v>
      </c>
      <c r="BC246" s="554">
        <v>1</v>
      </c>
      <c r="BD246" s="554">
        <v>1</v>
      </c>
      <c r="BE246" s="554">
        <v>0</v>
      </c>
      <c r="BF246" s="554">
        <v>1</v>
      </c>
      <c r="BG246" s="554">
        <v>1</v>
      </c>
      <c r="BH246" s="554">
        <v>1</v>
      </c>
      <c r="BI246" s="554">
        <v>1</v>
      </c>
      <c r="BJ246" s="554">
        <v>1</v>
      </c>
      <c r="BL246" s="554">
        <v>1</v>
      </c>
      <c r="BM246" s="554">
        <v>1</v>
      </c>
      <c r="BN246" s="554">
        <v>1</v>
      </c>
      <c r="BO246" s="554">
        <v>1</v>
      </c>
      <c r="BP246" s="554">
        <v>1</v>
      </c>
      <c r="BQ246" s="554">
        <v>1</v>
      </c>
      <c r="BS246" s="554">
        <v>1</v>
      </c>
      <c r="BU246" s="554">
        <v>1</v>
      </c>
      <c r="BV246" s="554">
        <v>0</v>
      </c>
      <c r="BW246" s="554">
        <v>1</v>
      </c>
      <c r="BX246" s="554">
        <v>1</v>
      </c>
      <c r="BY246" s="554">
        <v>1</v>
      </c>
      <c r="BZ246" s="554">
        <v>1</v>
      </c>
      <c r="CA246" s="554">
        <v>1</v>
      </c>
      <c r="CB246" s="554">
        <v>1</v>
      </c>
      <c r="CC246" s="554">
        <v>1</v>
      </c>
      <c r="CE246" s="554">
        <v>1</v>
      </c>
      <c r="CF246" s="554">
        <v>3</v>
      </c>
      <c r="CG246" s="554">
        <v>1</v>
      </c>
      <c r="CH246" s="554">
        <v>1</v>
      </c>
    </row>
    <row r="247" spans="1:99" s="554" customFormat="1" x14ac:dyDescent="0.3">
      <c r="A247" s="553">
        <v>1063</v>
      </c>
      <c r="B247" s="554" t="s">
        <v>1649</v>
      </c>
      <c r="D247" s="554">
        <v>1</v>
      </c>
      <c r="E247" s="554">
        <v>1</v>
      </c>
      <c r="F247" s="554">
        <v>1</v>
      </c>
      <c r="G247" s="554">
        <v>1</v>
      </c>
      <c r="I247" s="554">
        <v>1</v>
      </c>
      <c r="J247" s="554">
        <v>1</v>
      </c>
      <c r="K247" s="554">
        <v>1</v>
      </c>
      <c r="L247" s="554">
        <v>1</v>
      </c>
      <c r="M247" s="554">
        <v>1</v>
      </c>
      <c r="N247" s="554">
        <v>1</v>
      </c>
      <c r="O247" s="554">
        <v>1</v>
      </c>
      <c r="P247" s="554">
        <v>1</v>
      </c>
      <c r="Q247" s="554">
        <v>1</v>
      </c>
      <c r="R247" s="554">
        <v>1</v>
      </c>
      <c r="S247" s="554">
        <v>1</v>
      </c>
      <c r="T247" s="554">
        <v>1</v>
      </c>
      <c r="U247" s="554">
        <v>1</v>
      </c>
      <c r="V247" s="554">
        <v>1</v>
      </c>
      <c r="W247" s="554">
        <v>1</v>
      </c>
      <c r="X247" s="554">
        <v>1</v>
      </c>
      <c r="Y247" s="554">
        <v>1</v>
      </c>
      <c r="Z247" s="554">
        <v>1</v>
      </c>
      <c r="AA247" s="554">
        <v>1</v>
      </c>
      <c r="AB247" s="554">
        <v>0</v>
      </c>
      <c r="AD247" s="554">
        <v>1</v>
      </c>
      <c r="AE247" s="554">
        <v>1</v>
      </c>
      <c r="AF247" s="554">
        <v>1</v>
      </c>
      <c r="AG247" s="554">
        <v>1</v>
      </c>
      <c r="AH247" s="554">
        <v>1</v>
      </c>
      <c r="AI247" s="554">
        <v>1</v>
      </c>
      <c r="AJ247" s="554">
        <v>1</v>
      </c>
      <c r="AK247" s="554">
        <v>1</v>
      </c>
      <c r="AL247" s="554">
        <v>1</v>
      </c>
      <c r="AN247" s="554">
        <v>1</v>
      </c>
      <c r="AP247" s="554">
        <v>0</v>
      </c>
      <c r="AQ247" s="554">
        <v>1</v>
      </c>
      <c r="AR247" s="554">
        <v>1</v>
      </c>
      <c r="AS247" s="554">
        <v>0</v>
      </c>
      <c r="AT247" s="554">
        <v>1</v>
      </c>
      <c r="AU247" s="554">
        <v>1</v>
      </c>
      <c r="AV247" s="554">
        <v>1</v>
      </c>
      <c r="AW247" s="554">
        <v>1</v>
      </c>
      <c r="AX247" s="554">
        <v>1</v>
      </c>
      <c r="AY247" s="554">
        <v>1</v>
      </c>
      <c r="AZ247" s="554">
        <v>1</v>
      </c>
      <c r="BA247" s="554">
        <v>1</v>
      </c>
      <c r="BB247" s="554">
        <v>1</v>
      </c>
      <c r="BC247" s="554">
        <v>1</v>
      </c>
      <c r="BD247" s="554">
        <v>1</v>
      </c>
      <c r="BE247" s="554">
        <v>0</v>
      </c>
      <c r="BF247" s="554">
        <v>1</v>
      </c>
      <c r="BG247" s="554">
        <v>1</v>
      </c>
      <c r="BH247" s="554">
        <v>1</v>
      </c>
      <c r="BI247" s="554">
        <v>1</v>
      </c>
      <c r="BJ247" s="554">
        <v>1</v>
      </c>
      <c r="BL247" s="554">
        <v>1</v>
      </c>
      <c r="BM247" s="554">
        <v>1</v>
      </c>
      <c r="BN247" s="554">
        <v>1</v>
      </c>
      <c r="BO247" s="554">
        <v>1</v>
      </c>
      <c r="BP247" s="554">
        <v>1</v>
      </c>
      <c r="BQ247" s="554">
        <v>1</v>
      </c>
      <c r="BS247" s="554">
        <v>1</v>
      </c>
      <c r="BU247" s="554">
        <v>1</v>
      </c>
      <c r="BV247" s="554">
        <v>0</v>
      </c>
      <c r="BW247" s="554">
        <v>1</v>
      </c>
      <c r="BX247" s="554">
        <v>1</v>
      </c>
      <c r="BY247" s="554">
        <v>1</v>
      </c>
      <c r="BZ247" s="554">
        <v>1</v>
      </c>
      <c r="CA247" s="554">
        <v>1</v>
      </c>
      <c r="CB247" s="554">
        <v>1</v>
      </c>
      <c r="CC247" s="554">
        <v>1</v>
      </c>
      <c r="CE247" s="554">
        <v>1</v>
      </c>
      <c r="CF247" s="554">
        <v>3</v>
      </c>
      <c r="CG247" s="554">
        <v>1</v>
      </c>
      <c r="CH247" s="554">
        <v>1</v>
      </c>
    </row>
    <row r="248" spans="1:99" s="554" customFormat="1" x14ac:dyDescent="0.3">
      <c r="A248" s="553">
        <v>1066</v>
      </c>
      <c r="B248" s="554" t="s">
        <v>1652</v>
      </c>
      <c r="D248" s="554" t="s">
        <v>2035</v>
      </c>
      <c r="E248" s="554" t="s">
        <v>2726</v>
      </c>
      <c r="F248" s="554" t="s">
        <v>2033</v>
      </c>
      <c r="G248" s="554" t="s">
        <v>2727</v>
      </c>
      <c r="I248" s="554" t="s">
        <v>2038</v>
      </c>
      <c r="J248" s="554" t="s">
        <v>2034</v>
      </c>
      <c r="K248" s="554" t="s">
        <v>2034</v>
      </c>
      <c r="L248" s="554" t="s">
        <v>2728</v>
      </c>
      <c r="M248" s="554" t="s">
        <v>2044</v>
      </c>
      <c r="N248" s="554" t="s">
        <v>2043</v>
      </c>
      <c r="O248" s="554" t="s">
        <v>2042</v>
      </c>
      <c r="P248" s="554" t="s">
        <v>2729</v>
      </c>
      <c r="Q248" s="554" t="s">
        <v>2038</v>
      </c>
      <c r="R248" s="554" t="s">
        <v>2040</v>
      </c>
      <c r="S248" s="554" t="s">
        <v>2042</v>
      </c>
      <c r="T248" s="554" t="s">
        <v>2034</v>
      </c>
      <c r="U248" s="554" t="s">
        <v>2730</v>
      </c>
      <c r="V248" s="554" t="s">
        <v>2044</v>
      </c>
      <c r="W248" s="554" t="s">
        <v>2045</v>
      </c>
      <c r="X248" s="554" t="s">
        <v>2045</v>
      </c>
      <c r="Y248" s="554" t="s">
        <v>2038</v>
      </c>
      <c r="Z248" s="554" t="s">
        <v>2049</v>
      </c>
      <c r="AA248" s="554" t="s">
        <v>2034</v>
      </c>
      <c r="AB248" s="554" t="s">
        <v>2731</v>
      </c>
      <c r="AD248" s="554" t="s">
        <v>2732</v>
      </c>
      <c r="AE248" s="554" t="s">
        <v>2038</v>
      </c>
      <c r="AF248" s="554" t="s">
        <v>2041</v>
      </c>
      <c r="AG248" s="554" t="s">
        <v>2733</v>
      </c>
      <c r="AH248" s="554" t="s">
        <v>2048</v>
      </c>
      <c r="AI248" s="554" t="s">
        <v>2038</v>
      </c>
      <c r="AJ248" s="554" t="s">
        <v>2734</v>
      </c>
      <c r="AK248" s="554" t="s">
        <v>2735</v>
      </c>
      <c r="AL248" s="554" t="s">
        <v>2736</v>
      </c>
      <c r="AN248" s="554" t="s">
        <v>2034</v>
      </c>
      <c r="AP248" s="554" t="s">
        <v>2737</v>
      </c>
      <c r="AQ248" s="554" t="s">
        <v>2042</v>
      </c>
      <c r="AR248" s="554" t="s">
        <v>1983</v>
      </c>
      <c r="AS248" s="554" t="s">
        <v>2042</v>
      </c>
      <c r="AT248" s="554" t="s">
        <v>2037</v>
      </c>
      <c r="AU248" s="554" t="s">
        <v>2738</v>
      </c>
      <c r="AV248" s="554" t="s">
        <v>2739</v>
      </c>
      <c r="AW248" s="554" t="s">
        <v>2731</v>
      </c>
      <c r="AX248" s="554" t="s">
        <v>2740</v>
      </c>
      <c r="AY248" s="554" t="s">
        <v>2741</v>
      </c>
      <c r="AZ248" s="554" t="s">
        <v>2034</v>
      </c>
      <c r="BA248" s="554" t="s">
        <v>2742</v>
      </c>
      <c r="BB248" s="554" t="s">
        <v>2743</v>
      </c>
      <c r="BC248" s="554" t="s">
        <v>2046</v>
      </c>
      <c r="BD248" s="554" t="s">
        <v>2039</v>
      </c>
      <c r="BE248" s="554" t="s">
        <v>2744</v>
      </c>
      <c r="BF248" s="554" t="s">
        <v>2048</v>
      </c>
      <c r="BG248" s="554" t="s">
        <v>2745</v>
      </c>
      <c r="BH248" s="554" t="s">
        <v>2746</v>
      </c>
      <c r="BI248" s="554" t="s">
        <v>2777</v>
      </c>
      <c r="BJ248" s="554" t="s">
        <v>2747</v>
      </c>
      <c r="BL248" s="554" t="s">
        <v>2748</v>
      </c>
      <c r="BM248" s="554" t="s">
        <v>2038</v>
      </c>
      <c r="BN248" s="554" t="s">
        <v>2048</v>
      </c>
      <c r="BO248" s="554" t="s">
        <v>2749</v>
      </c>
      <c r="BP248" s="554" t="s">
        <v>2750</v>
      </c>
      <c r="BQ248" s="554" t="s">
        <v>2751</v>
      </c>
      <c r="BS248" s="554" t="s">
        <v>2752</v>
      </c>
      <c r="BU248" s="554" t="s">
        <v>2747</v>
      </c>
      <c r="BV248" s="554" t="s">
        <v>2753</v>
      </c>
      <c r="BW248" s="554" t="s">
        <v>2034</v>
      </c>
      <c r="BX248" s="554" t="s">
        <v>2773</v>
      </c>
      <c r="BY248" s="554" t="s">
        <v>2034</v>
      </c>
      <c r="BZ248" s="554" t="s">
        <v>2754</v>
      </c>
      <c r="CA248" s="554" t="s">
        <v>2042</v>
      </c>
      <c r="CB248" s="554" t="s">
        <v>2755</v>
      </c>
      <c r="CC248" s="554" t="s">
        <v>2756</v>
      </c>
      <c r="CE248" s="554" t="s">
        <v>2038</v>
      </c>
      <c r="CF248" s="554" t="s">
        <v>2047</v>
      </c>
      <c r="CG248" s="554" t="s">
        <v>2036</v>
      </c>
      <c r="CH248" s="554" t="s">
        <v>2038</v>
      </c>
    </row>
    <row r="249" spans="1:99" s="554" customFormat="1" x14ac:dyDescent="0.3">
      <c r="A249" s="553">
        <v>1067</v>
      </c>
      <c r="B249" s="554" t="s">
        <v>2050</v>
      </c>
      <c r="D249" s="554">
        <v>1</v>
      </c>
      <c r="E249" s="554">
        <v>1</v>
      </c>
      <c r="F249" s="554">
        <v>1</v>
      </c>
      <c r="G249" s="554">
        <v>1</v>
      </c>
      <c r="I249" s="554">
        <v>1</v>
      </c>
      <c r="J249" s="554">
        <v>1</v>
      </c>
      <c r="K249" s="554">
        <v>1</v>
      </c>
      <c r="L249" s="554">
        <v>1</v>
      </c>
      <c r="M249" s="554">
        <v>1</v>
      </c>
      <c r="N249" s="554">
        <v>1</v>
      </c>
      <c r="O249" s="554">
        <v>1</v>
      </c>
      <c r="P249" s="554">
        <v>1</v>
      </c>
      <c r="Q249" s="554">
        <v>1</v>
      </c>
      <c r="R249" s="554">
        <v>1</v>
      </c>
      <c r="S249" s="554">
        <v>1</v>
      </c>
      <c r="T249" s="554">
        <v>1</v>
      </c>
      <c r="U249" s="554">
        <v>1</v>
      </c>
      <c r="V249" s="554">
        <v>1</v>
      </c>
      <c r="W249" s="554">
        <v>2</v>
      </c>
      <c r="X249" s="554">
        <v>1</v>
      </c>
      <c r="Y249" s="554">
        <v>1</v>
      </c>
      <c r="Z249" s="554">
        <v>1</v>
      </c>
      <c r="AA249" s="554">
        <v>1</v>
      </c>
      <c r="AB249" s="554">
        <v>1</v>
      </c>
      <c r="AD249" s="554">
        <v>1</v>
      </c>
      <c r="AE249" s="554">
        <v>1</v>
      </c>
      <c r="AF249" s="554">
        <v>1</v>
      </c>
      <c r="AG249" s="554">
        <v>1</v>
      </c>
      <c r="AH249" s="554">
        <v>1</v>
      </c>
      <c r="AI249" s="554">
        <v>1</v>
      </c>
      <c r="AJ249" s="554">
        <v>1</v>
      </c>
      <c r="AK249" s="554">
        <v>1</v>
      </c>
      <c r="AL249" s="554">
        <v>1</v>
      </c>
      <c r="AN249" s="554">
        <v>1</v>
      </c>
      <c r="AP249" s="554">
        <v>1</v>
      </c>
      <c r="AQ249" s="554">
        <v>1</v>
      </c>
      <c r="AR249" s="554">
        <v>1</v>
      </c>
      <c r="AS249" s="554">
        <v>1</v>
      </c>
      <c r="AT249" s="554">
        <v>1</v>
      </c>
      <c r="AU249" s="554">
        <v>1</v>
      </c>
      <c r="AV249" s="554">
        <v>1</v>
      </c>
      <c r="AW249" s="554">
        <v>1</v>
      </c>
      <c r="AX249" s="554">
        <v>1</v>
      </c>
      <c r="AY249" s="554">
        <v>1</v>
      </c>
      <c r="AZ249" s="554">
        <v>1</v>
      </c>
      <c r="BA249" s="554">
        <v>1</v>
      </c>
      <c r="BB249" s="554">
        <v>1</v>
      </c>
      <c r="BC249" s="554">
        <v>1</v>
      </c>
      <c r="BD249" s="554">
        <v>1</v>
      </c>
      <c r="BE249" s="554">
        <v>1</v>
      </c>
      <c r="BF249" s="554">
        <v>1</v>
      </c>
      <c r="BG249" s="554">
        <v>1</v>
      </c>
      <c r="BH249" s="554">
        <v>1</v>
      </c>
      <c r="BI249" s="554">
        <v>1</v>
      </c>
      <c r="BJ249" s="554">
        <v>1</v>
      </c>
      <c r="BL249" s="554">
        <v>1</v>
      </c>
      <c r="BM249" s="554">
        <v>1</v>
      </c>
      <c r="BN249" s="554">
        <v>1</v>
      </c>
      <c r="BO249" s="554">
        <v>1</v>
      </c>
      <c r="BP249" s="554">
        <v>1</v>
      </c>
      <c r="BQ249" s="554">
        <v>1</v>
      </c>
      <c r="BS249" s="554">
        <v>1</v>
      </c>
      <c r="BU249" s="554">
        <v>1</v>
      </c>
      <c r="BV249" s="554">
        <v>1</v>
      </c>
      <c r="BW249" s="554">
        <v>1</v>
      </c>
      <c r="BX249" s="554">
        <v>1</v>
      </c>
      <c r="BY249" s="554">
        <v>1</v>
      </c>
      <c r="BZ249" s="554">
        <v>1</v>
      </c>
      <c r="CA249" s="554">
        <v>1</v>
      </c>
      <c r="CB249" s="554">
        <v>1</v>
      </c>
      <c r="CC249" s="554">
        <v>1</v>
      </c>
      <c r="CE249" s="554">
        <v>1</v>
      </c>
      <c r="CF249" s="554">
        <v>1</v>
      </c>
      <c r="CG249" s="554">
        <v>1</v>
      </c>
      <c r="CH249" s="554">
        <v>1</v>
      </c>
    </row>
    <row r="250" spans="1:99" s="559" customFormat="1" x14ac:dyDescent="0.3">
      <c r="A250" s="558">
        <v>1068</v>
      </c>
      <c r="B250" s="559" t="s">
        <v>2051</v>
      </c>
      <c r="D250" s="559">
        <v>2</v>
      </c>
      <c r="E250" s="559">
        <v>2</v>
      </c>
      <c r="F250" s="559">
        <v>2</v>
      </c>
      <c r="G250" s="559">
        <v>2</v>
      </c>
      <c r="I250" s="559">
        <v>2</v>
      </c>
      <c r="J250" s="559">
        <v>2</v>
      </c>
      <c r="K250" s="559">
        <v>2</v>
      </c>
      <c r="L250" s="559">
        <v>2</v>
      </c>
      <c r="M250" s="559">
        <v>2</v>
      </c>
      <c r="N250" s="559">
        <v>2</v>
      </c>
      <c r="O250" s="559">
        <v>1</v>
      </c>
      <c r="P250" s="559">
        <v>2</v>
      </c>
      <c r="Q250" s="559">
        <v>2</v>
      </c>
      <c r="R250" s="559">
        <v>2</v>
      </c>
      <c r="S250" s="559">
        <v>2</v>
      </c>
      <c r="T250" s="559">
        <v>2</v>
      </c>
      <c r="U250" s="559">
        <v>2</v>
      </c>
      <c r="V250" s="559">
        <v>2</v>
      </c>
      <c r="W250" s="559">
        <v>2</v>
      </c>
      <c r="X250" s="559">
        <v>2</v>
      </c>
      <c r="Y250" s="559">
        <v>1</v>
      </c>
      <c r="Z250" s="559">
        <v>2</v>
      </c>
      <c r="AA250" s="559">
        <v>2</v>
      </c>
      <c r="AB250" s="559">
        <v>2</v>
      </c>
      <c r="AD250" s="559">
        <v>2</v>
      </c>
      <c r="AE250" s="559">
        <v>2</v>
      </c>
      <c r="AF250" s="559">
        <v>2</v>
      </c>
      <c r="AG250" s="559">
        <v>2</v>
      </c>
      <c r="AH250" s="559">
        <v>2</v>
      </c>
      <c r="AI250" s="559">
        <v>2</v>
      </c>
      <c r="AJ250" s="559">
        <v>2</v>
      </c>
      <c r="AK250" s="559">
        <v>2</v>
      </c>
      <c r="AL250" s="559">
        <v>2</v>
      </c>
      <c r="AN250" s="559">
        <v>2</v>
      </c>
      <c r="AP250" s="559">
        <v>2</v>
      </c>
      <c r="AQ250" s="559">
        <v>1</v>
      </c>
      <c r="AR250" s="559">
        <v>2</v>
      </c>
      <c r="AS250" s="559">
        <v>2</v>
      </c>
      <c r="AT250" s="559">
        <v>2</v>
      </c>
      <c r="AU250" s="559">
        <v>2</v>
      </c>
      <c r="AV250" s="559">
        <v>2</v>
      </c>
      <c r="AW250" s="559">
        <v>2</v>
      </c>
      <c r="AX250" s="559">
        <v>2</v>
      </c>
      <c r="AY250" s="559">
        <v>2</v>
      </c>
      <c r="AZ250" s="559">
        <v>2</v>
      </c>
      <c r="BA250" s="559">
        <v>2</v>
      </c>
      <c r="BB250" s="559">
        <v>2</v>
      </c>
      <c r="BC250" s="559">
        <v>2</v>
      </c>
      <c r="BD250" s="559">
        <v>2</v>
      </c>
      <c r="BE250" s="559">
        <v>2</v>
      </c>
      <c r="BF250" s="559">
        <v>2</v>
      </c>
      <c r="BG250" s="559">
        <v>2</v>
      </c>
      <c r="BH250" s="559">
        <v>2</v>
      </c>
      <c r="BI250" s="559">
        <v>2</v>
      </c>
      <c r="BJ250" s="559">
        <v>2</v>
      </c>
      <c r="BL250" s="559">
        <v>2</v>
      </c>
      <c r="BM250" s="559">
        <v>2</v>
      </c>
      <c r="BN250" s="559">
        <v>2</v>
      </c>
      <c r="BO250" s="559">
        <v>2</v>
      </c>
      <c r="BP250" s="559">
        <v>1</v>
      </c>
      <c r="BQ250" s="559">
        <v>2</v>
      </c>
      <c r="BS250" s="559">
        <v>2</v>
      </c>
      <c r="BU250" s="559">
        <v>2</v>
      </c>
      <c r="BV250" s="559">
        <v>1</v>
      </c>
      <c r="BW250" s="559">
        <v>2</v>
      </c>
      <c r="BX250" s="559">
        <v>2</v>
      </c>
      <c r="BY250" s="559">
        <v>2</v>
      </c>
      <c r="BZ250" s="559">
        <v>2</v>
      </c>
      <c r="CA250" s="559">
        <v>2</v>
      </c>
      <c r="CB250" s="559">
        <v>2</v>
      </c>
      <c r="CC250" s="559">
        <v>0</v>
      </c>
      <c r="CE250" s="559">
        <v>2</v>
      </c>
      <c r="CF250" s="559">
        <v>2</v>
      </c>
      <c r="CG250" s="559">
        <v>2</v>
      </c>
      <c r="CH250" s="559">
        <v>2</v>
      </c>
    </row>
    <row r="251" spans="1:99" s="559" customFormat="1" x14ac:dyDescent="0.3">
      <c r="A251" s="558">
        <v>1069</v>
      </c>
      <c r="B251" s="559" t="s">
        <v>1576</v>
      </c>
      <c r="D251" s="559">
        <v>2</v>
      </c>
      <c r="E251" s="559">
        <v>3</v>
      </c>
      <c r="F251" s="559">
        <v>3</v>
      </c>
      <c r="G251" s="559">
        <v>3</v>
      </c>
      <c r="I251" s="559">
        <v>3</v>
      </c>
      <c r="J251" s="559">
        <v>3</v>
      </c>
      <c r="K251" s="559">
        <v>3</v>
      </c>
      <c r="L251" s="559">
        <v>3</v>
      </c>
      <c r="M251" s="559">
        <v>3</v>
      </c>
      <c r="N251" s="559">
        <v>3</v>
      </c>
      <c r="O251" s="559">
        <v>1</v>
      </c>
      <c r="P251" s="559">
        <v>3</v>
      </c>
      <c r="Q251" s="559">
        <v>3</v>
      </c>
      <c r="R251" s="559">
        <v>3</v>
      </c>
      <c r="S251" s="559">
        <v>3</v>
      </c>
      <c r="T251" s="559">
        <v>2</v>
      </c>
      <c r="U251" s="559">
        <v>3</v>
      </c>
      <c r="V251" s="559">
        <v>3</v>
      </c>
      <c r="W251" s="559">
        <v>3</v>
      </c>
      <c r="X251" s="559">
        <v>3</v>
      </c>
      <c r="Y251" s="559">
        <v>1</v>
      </c>
      <c r="Z251" s="559">
        <v>3</v>
      </c>
      <c r="AA251" s="559">
        <v>3</v>
      </c>
      <c r="AB251" s="559">
        <v>3</v>
      </c>
      <c r="AD251" s="559">
        <v>3</v>
      </c>
      <c r="AE251" s="559">
        <v>3</v>
      </c>
      <c r="AF251" s="559">
        <v>2</v>
      </c>
      <c r="AG251" s="559">
        <v>3</v>
      </c>
      <c r="AH251" s="559">
        <v>3</v>
      </c>
      <c r="AI251" s="559">
        <v>2</v>
      </c>
      <c r="AJ251" s="559">
        <v>3</v>
      </c>
      <c r="AK251" s="559">
        <v>3</v>
      </c>
      <c r="AL251" s="559">
        <v>3</v>
      </c>
      <c r="AN251" s="559">
        <v>3</v>
      </c>
      <c r="AP251" s="559">
        <v>3</v>
      </c>
      <c r="AQ251" s="559">
        <v>1</v>
      </c>
      <c r="AR251" s="559">
        <v>3</v>
      </c>
      <c r="AS251" s="559">
        <v>2</v>
      </c>
      <c r="AT251" s="559">
        <v>3</v>
      </c>
      <c r="AU251" s="559">
        <v>3</v>
      </c>
      <c r="AV251" s="785">
        <v>3</v>
      </c>
      <c r="AW251" s="559">
        <v>3</v>
      </c>
      <c r="AX251" s="559">
        <v>3</v>
      </c>
      <c r="AY251" s="559">
        <v>3</v>
      </c>
      <c r="AZ251" s="559">
        <v>2</v>
      </c>
      <c r="BA251" s="559">
        <v>2</v>
      </c>
      <c r="BB251" s="559">
        <v>3</v>
      </c>
      <c r="BC251" s="559">
        <v>3</v>
      </c>
      <c r="BD251" s="559">
        <v>3</v>
      </c>
      <c r="BE251" s="559">
        <v>1</v>
      </c>
      <c r="BF251" s="559">
        <v>3</v>
      </c>
      <c r="BG251" s="559">
        <v>3</v>
      </c>
      <c r="BH251" s="559">
        <v>3</v>
      </c>
      <c r="BI251" s="559">
        <v>3</v>
      </c>
      <c r="BJ251" s="559">
        <v>3</v>
      </c>
      <c r="BL251" s="559">
        <v>3</v>
      </c>
      <c r="BM251" s="559">
        <v>3</v>
      </c>
      <c r="BN251" s="559">
        <v>3</v>
      </c>
      <c r="BO251" s="559">
        <v>2</v>
      </c>
      <c r="BP251" s="559">
        <v>1</v>
      </c>
      <c r="BQ251" s="559">
        <v>3</v>
      </c>
      <c r="BS251" s="559">
        <v>3</v>
      </c>
      <c r="BU251" s="559">
        <v>2</v>
      </c>
      <c r="BV251" s="559">
        <v>1</v>
      </c>
      <c r="BW251" s="559">
        <v>3</v>
      </c>
      <c r="BX251" s="559">
        <v>3</v>
      </c>
      <c r="BY251" s="559">
        <v>3</v>
      </c>
      <c r="BZ251" s="559">
        <v>3</v>
      </c>
      <c r="CA251" s="559">
        <v>2</v>
      </c>
      <c r="CB251" s="559">
        <v>3</v>
      </c>
      <c r="CC251" s="559">
        <v>0</v>
      </c>
      <c r="CE251" s="559">
        <v>3</v>
      </c>
      <c r="CF251" s="559">
        <v>3</v>
      </c>
      <c r="CG251" s="559">
        <v>3</v>
      </c>
      <c r="CH251" s="559">
        <v>3</v>
      </c>
    </row>
    <row r="252" spans="1:99" s="559" customFormat="1" x14ac:dyDescent="0.3">
      <c r="A252" s="558">
        <v>1070</v>
      </c>
      <c r="B252" s="559" t="s">
        <v>2052</v>
      </c>
      <c r="D252" s="559">
        <v>2</v>
      </c>
      <c r="E252" s="559">
        <v>2</v>
      </c>
      <c r="F252" s="559">
        <v>2</v>
      </c>
      <c r="G252" s="559">
        <v>2</v>
      </c>
      <c r="I252" s="559">
        <v>2</v>
      </c>
      <c r="J252" s="559">
        <v>2</v>
      </c>
      <c r="K252" s="559">
        <v>2</v>
      </c>
      <c r="L252" s="559">
        <v>2</v>
      </c>
      <c r="M252" s="559">
        <v>2</v>
      </c>
      <c r="N252" s="559">
        <v>2</v>
      </c>
      <c r="O252" s="559">
        <v>1</v>
      </c>
      <c r="P252" s="559">
        <v>2</v>
      </c>
      <c r="Q252" s="559">
        <v>2</v>
      </c>
      <c r="R252" s="559">
        <v>2</v>
      </c>
      <c r="S252" s="559">
        <v>2</v>
      </c>
      <c r="T252" s="559">
        <v>2</v>
      </c>
      <c r="U252" s="559">
        <v>2</v>
      </c>
      <c r="V252" s="559">
        <v>2</v>
      </c>
      <c r="W252" s="559">
        <v>2</v>
      </c>
      <c r="X252" s="559">
        <v>2</v>
      </c>
      <c r="Y252" s="559">
        <v>1</v>
      </c>
      <c r="Z252" s="559">
        <v>2</v>
      </c>
      <c r="AA252" s="559">
        <v>2</v>
      </c>
      <c r="AB252" s="559">
        <v>2</v>
      </c>
      <c r="AD252" s="559">
        <v>2</v>
      </c>
      <c r="AE252" s="559">
        <v>2</v>
      </c>
      <c r="AF252" s="559">
        <v>2</v>
      </c>
      <c r="AG252" s="559">
        <v>2</v>
      </c>
      <c r="AH252" s="559">
        <v>2</v>
      </c>
      <c r="AI252" s="559">
        <v>2</v>
      </c>
      <c r="AJ252" s="559">
        <v>1</v>
      </c>
      <c r="AK252" s="559">
        <v>2</v>
      </c>
      <c r="AL252" s="559">
        <v>2</v>
      </c>
      <c r="AN252" s="559">
        <v>2</v>
      </c>
      <c r="AP252" s="559">
        <v>2</v>
      </c>
      <c r="AQ252" s="559">
        <v>2</v>
      </c>
      <c r="AR252" s="559">
        <v>2</v>
      </c>
      <c r="AS252" s="559">
        <v>2</v>
      </c>
      <c r="AT252" s="559">
        <v>2</v>
      </c>
      <c r="AU252" s="559">
        <v>2</v>
      </c>
      <c r="AV252" s="559">
        <v>2</v>
      </c>
      <c r="AW252" s="559">
        <v>2</v>
      </c>
      <c r="AX252" s="559">
        <v>2</v>
      </c>
      <c r="AY252" s="559">
        <v>2</v>
      </c>
      <c r="AZ252" s="559">
        <v>2</v>
      </c>
      <c r="BA252" s="559">
        <v>2</v>
      </c>
      <c r="BB252" s="559">
        <v>2</v>
      </c>
      <c r="BC252" s="559">
        <v>2</v>
      </c>
      <c r="BD252" s="559">
        <v>2</v>
      </c>
      <c r="BE252" s="559">
        <v>2</v>
      </c>
      <c r="BF252" s="559">
        <v>2</v>
      </c>
      <c r="BG252" s="559">
        <v>2</v>
      </c>
      <c r="BH252" s="559">
        <v>2</v>
      </c>
      <c r="BI252" s="559">
        <v>2</v>
      </c>
      <c r="BJ252" s="559">
        <v>2</v>
      </c>
      <c r="BL252" s="559">
        <v>2</v>
      </c>
      <c r="BM252" s="559">
        <v>2</v>
      </c>
      <c r="BN252" s="559">
        <v>2</v>
      </c>
      <c r="BO252" s="559">
        <v>2</v>
      </c>
      <c r="BP252" s="559">
        <v>2</v>
      </c>
      <c r="BQ252" s="559">
        <v>2</v>
      </c>
      <c r="BS252" s="559">
        <v>2</v>
      </c>
      <c r="BU252" s="559">
        <v>2</v>
      </c>
      <c r="BV252" s="559">
        <v>2</v>
      </c>
      <c r="BW252" s="559">
        <v>2</v>
      </c>
      <c r="BX252" s="559">
        <v>2</v>
      </c>
      <c r="BY252" s="559">
        <v>2</v>
      </c>
      <c r="BZ252" s="559">
        <v>2</v>
      </c>
      <c r="CA252" s="559">
        <v>2</v>
      </c>
      <c r="CB252" s="559">
        <v>2</v>
      </c>
      <c r="CC252" s="559">
        <v>0</v>
      </c>
      <c r="CE252" s="559">
        <v>2</v>
      </c>
      <c r="CF252" s="559">
        <v>2</v>
      </c>
      <c r="CG252" s="559">
        <v>2</v>
      </c>
      <c r="CH252" s="559">
        <v>2</v>
      </c>
    </row>
    <row r="253" spans="1:99" s="559" customFormat="1" x14ac:dyDescent="0.3">
      <c r="A253" s="558">
        <v>1071</v>
      </c>
      <c r="B253" s="559" t="s">
        <v>2053</v>
      </c>
      <c r="D253" s="559">
        <v>553875</v>
      </c>
      <c r="E253" s="559">
        <v>501402</v>
      </c>
      <c r="F253" s="559">
        <v>0</v>
      </c>
      <c r="G253" s="559">
        <v>0</v>
      </c>
      <c r="I253" s="559">
        <v>692689</v>
      </c>
      <c r="J253" s="559">
        <v>0</v>
      </c>
      <c r="K253" s="559">
        <v>0</v>
      </c>
      <c r="L253" s="559">
        <v>867013</v>
      </c>
      <c r="M253" s="559">
        <v>96885</v>
      </c>
      <c r="N253" s="559">
        <v>32643</v>
      </c>
      <c r="O253" s="559">
        <v>3000000</v>
      </c>
      <c r="P253" s="559">
        <v>0</v>
      </c>
      <c r="Q253" s="559">
        <v>43024</v>
      </c>
      <c r="R253" s="559">
        <v>51843</v>
      </c>
      <c r="S253" s="559">
        <v>99399</v>
      </c>
      <c r="T253" s="559">
        <v>265484</v>
      </c>
      <c r="U253" s="559">
        <v>33364</v>
      </c>
      <c r="V253" s="559">
        <v>0</v>
      </c>
      <c r="W253" s="559">
        <v>469707</v>
      </c>
      <c r="X253" s="559">
        <v>348810</v>
      </c>
      <c r="Y253" s="559">
        <v>37597000</v>
      </c>
      <c r="Z253" s="559">
        <v>967622</v>
      </c>
      <c r="AA253" s="559">
        <v>0</v>
      </c>
      <c r="AB253" s="559">
        <v>0</v>
      </c>
      <c r="AD253" s="559">
        <v>448726</v>
      </c>
      <c r="AE253" s="559">
        <v>235198</v>
      </c>
      <c r="AF253" s="559">
        <v>7931423</v>
      </c>
      <c r="AG253" s="559">
        <v>1846625</v>
      </c>
      <c r="AH253" s="559">
        <v>138952</v>
      </c>
      <c r="AI253" s="559">
        <v>0</v>
      </c>
      <c r="AJ253" s="559">
        <v>415581</v>
      </c>
      <c r="AK253" s="559">
        <v>0</v>
      </c>
      <c r="AL253" s="559">
        <v>117592</v>
      </c>
      <c r="AN253" s="559">
        <v>0</v>
      </c>
      <c r="AP253" s="559">
        <v>0</v>
      </c>
      <c r="AQ253" s="559">
        <v>14311867</v>
      </c>
      <c r="AR253" s="559">
        <v>68908</v>
      </c>
      <c r="AS253" s="559">
        <v>0</v>
      </c>
      <c r="AT253" s="559">
        <v>1360838</v>
      </c>
      <c r="AU253" s="559">
        <v>71777</v>
      </c>
      <c r="AV253" s="559">
        <v>313280</v>
      </c>
      <c r="AW253" s="559">
        <v>4821414</v>
      </c>
      <c r="AX253" s="559">
        <v>61827</v>
      </c>
      <c r="AY253" s="559">
        <v>710376</v>
      </c>
      <c r="AZ253" s="559">
        <v>0</v>
      </c>
      <c r="BA253" s="559">
        <v>0</v>
      </c>
      <c r="BB253" s="559">
        <v>38084</v>
      </c>
      <c r="BC253" s="559">
        <v>586000</v>
      </c>
      <c r="BD253" s="559">
        <v>58322</v>
      </c>
      <c r="BE253" s="559">
        <v>3983892</v>
      </c>
      <c r="BF253" s="559">
        <v>267705</v>
      </c>
      <c r="BG253" s="559">
        <v>79037</v>
      </c>
      <c r="BH253" s="559">
        <v>124162</v>
      </c>
      <c r="BI253" s="559">
        <v>490475</v>
      </c>
      <c r="BJ253" s="559">
        <v>70086</v>
      </c>
      <c r="BL253" s="559">
        <v>217433</v>
      </c>
      <c r="BM253" s="559">
        <v>0</v>
      </c>
      <c r="BN253" s="559">
        <v>126204</v>
      </c>
      <c r="BO253" s="559">
        <v>3097102</v>
      </c>
      <c r="BP253" s="559">
        <v>1495088</v>
      </c>
      <c r="BQ253" s="559">
        <v>0</v>
      </c>
      <c r="BS253" s="559">
        <v>3900</v>
      </c>
      <c r="BU253" s="559">
        <v>0</v>
      </c>
      <c r="BV253" s="559">
        <v>1125362</v>
      </c>
      <c r="BW253" s="559">
        <v>1349470</v>
      </c>
      <c r="BX253" s="559">
        <v>0</v>
      </c>
      <c r="BY253" s="559">
        <v>542893</v>
      </c>
      <c r="BZ253" s="559">
        <v>70750</v>
      </c>
      <c r="CA253" s="559">
        <v>639148</v>
      </c>
      <c r="CB253" s="559">
        <v>0</v>
      </c>
      <c r="CC253" s="559">
        <v>0</v>
      </c>
      <c r="CE253" s="559">
        <v>0</v>
      </c>
      <c r="CF253" s="559">
        <v>0</v>
      </c>
      <c r="CG253" s="559">
        <v>446848</v>
      </c>
      <c r="CH253" s="559">
        <v>674638</v>
      </c>
    </row>
    <row r="254" spans="1:99" s="552" customFormat="1" x14ac:dyDescent="0.3">
      <c r="A254" s="555">
        <v>1075</v>
      </c>
      <c r="B254" s="552" t="s">
        <v>2054</v>
      </c>
      <c r="D254" s="552">
        <v>0</v>
      </c>
      <c r="E254" s="552">
        <v>0</v>
      </c>
      <c r="F254" s="552">
        <v>0</v>
      </c>
      <c r="G254" s="552">
        <v>0</v>
      </c>
      <c r="I254" s="552">
        <v>0</v>
      </c>
      <c r="J254" s="552">
        <v>0</v>
      </c>
      <c r="K254" s="552">
        <v>0</v>
      </c>
      <c r="L254" s="552">
        <v>0</v>
      </c>
      <c r="M254" s="552">
        <v>0</v>
      </c>
      <c r="N254" s="552">
        <v>0</v>
      </c>
      <c r="O254" s="552">
        <v>70000</v>
      </c>
      <c r="P254" s="552">
        <v>0</v>
      </c>
      <c r="Q254" s="552">
        <v>0</v>
      </c>
      <c r="R254" s="552">
        <v>0</v>
      </c>
      <c r="S254" s="552">
        <v>0</v>
      </c>
      <c r="T254" s="552">
        <v>0</v>
      </c>
      <c r="U254" s="552">
        <v>0</v>
      </c>
      <c r="V254" s="552">
        <v>22448</v>
      </c>
      <c r="W254" s="552">
        <v>0</v>
      </c>
      <c r="X254" s="552">
        <v>0</v>
      </c>
      <c r="Y254" s="552">
        <v>0</v>
      </c>
      <c r="Z254" s="552">
        <v>0</v>
      </c>
      <c r="AA254" s="552">
        <v>0</v>
      </c>
      <c r="AB254" s="552">
        <v>0</v>
      </c>
      <c r="AD254" s="552">
        <v>0</v>
      </c>
      <c r="AE254" s="552">
        <v>0</v>
      </c>
      <c r="AF254" s="552">
        <v>5000000</v>
      </c>
      <c r="AG254" s="552">
        <v>0</v>
      </c>
      <c r="AH254" s="552">
        <v>0</v>
      </c>
      <c r="AI254" s="552">
        <v>0</v>
      </c>
      <c r="AJ254" s="552">
        <v>0</v>
      </c>
      <c r="AK254" s="552">
        <v>0</v>
      </c>
      <c r="AL254" s="552">
        <v>79855</v>
      </c>
      <c r="AN254" s="552">
        <v>0</v>
      </c>
      <c r="AP254" s="552">
        <v>0</v>
      </c>
      <c r="AQ254" s="552">
        <v>0</v>
      </c>
      <c r="AR254" s="552">
        <v>0</v>
      </c>
      <c r="AS254" s="552">
        <v>0</v>
      </c>
      <c r="AT254" s="552">
        <v>0</v>
      </c>
      <c r="AU254" s="552">
        <v>0</v>
      </c>
      <c r="AV254" s="552">
        <v>0</v>
      </c>
      <c r="AW254" s="552">
        <v>0</v>
      </c>
      <c r="AX254" s="552">
        <v>0</v>
      </c>
      <c r="AY254" s="552">
        <v>0</v>
      </c>
      <c r="AZ254" s="552">
        <v>0</v>
      </c>
      <c r="BA254" s="552">
        <v>0</v>
      </c>
      <c r="BB254" s="552">
        <v>0</v>
      </c>
      <c r="BC254" s="552">
        <v>0</v>
      </c>
      <c r="BD254" s="552">
        <v>0</v>
      </c>
      <c r="BE254" s="552">
        <v>0</v>
      </c>
      <c r="BF254" s="552">
        <v>0</v>
      </c>
      <c r="BG254" s="552">
        <v>0</v>
      </c>
      <c r="BH254" s="552">
        <v>0</v>
      </c>
      <c r="BI254" s="552">
        <v>350000</v>
      </c>
      <c r="BJ254" s="552">
        <v>0</v>
      </c>
      <c r="BL254" s="552">
        <v>0</v>
      </c>
      <c r="BM254" s="552">
        <v>0</v>
      </c>
      <c r="BN254" s="552">
        <v>0</v>
      </c>
      <c r="BO254" s="552">
        <v>0</v>
      </c>
      <c r="BP254" s="552">
        <v>0</v>
      </c>
      <c r="BQ254" s="552">
        <v>0</v>
      </c>
      <c r="BS254" s="552">
        <v>0</v>
      </c>
      <c r="BU254" s="552">
        <v>0</v>
      </c>
      <c r="BV254" s="552">
        <v>0</v>
      </c>
      <c r="BW254" s="552">
        <v>0</v>
      </c>
      <c r="BX254" s="552">
        <v>0</v>
      </c>
      <c r="BY254" s="552">
        <v>0</v>
      </c>
      <c r="BZ254" s="552">
        <v>0</v>
      </c>
      <c r="CA254" s="552">
        <v>0</v>
      </c>
      <c r="CB254" s="552">
        <v>0</v>
      </c>
      <c r="CC254" s="552">
        <v>0</v>
      </c>
      <c r="CE254" s="552">
        <v>0</v>
      </c>
      <c r="CF254" s="552">
        <v>0</v>
      </c>
      <c r="CG254" s="552">
        <v>0</v>
      </c>
      <c r="CH254" s="552">
        <v>0</v>
      </c>
    </row>
    <row r="255" spans="1:99" s="552" customFormat="1" x14ac:dyDescent="0.3">
      <c r="A255" s="555">
        <v>1076</v>
      </c>
      <c r="B255" s="552" t="s">
        <v>2055</v>
      </c>
      <c r="D255" s="552">
        <v>0</v>
      </c>
      <c r="E255" s="552">
        <v>0</v>
      </c>
      <c r="F255" s="552">
        <v>0</v>
      </c>
      <c r="G255" s="552">
        <v>0</v>
      </c>
      <c r="I255" s="552">
        <v>0</v>
      </c>
      <c r="J255" s="552">
        <v>0</v>
      </c>
      <c r="K255" s="552">
        <v>750000</v>
      </c>
      <c r="L255" s="552">
        <v>0</v>
      </c>
      <c r="M255" s="552">
        <v>0</v>
      </c>
      <c r="N255" s="552">
        <v>0</v>
      </c>
      <c r="O255" s="552">
        <v>0</v>
      </c>
      <c r="P255" s="552">
        <v>0</v>
      </c>
      <c r="Q255" s="552">
        <v>0</v>
      </c>
      <c r="R255" s="552">
        <v>0</v>
      </c>
      <c r="S255" s="552">
        <v>0</v>
      </c>
      <c r="T255" s="552">
        <v>0</v>
      </c>
      <c r="U255" s="552">
        <v>0</v>
      </c>
      <c r="V255" s="552">
        <v>0</v>
      </c>
      <c r="W255" s="552">
        <v>0</v>
      </c>
      <c r="X255" s="552">
        <v>0</v>
      </c>
      <c r="Y255" s="552">
        <v>0</v>
      </c>
      <c r="Z255" s="552">
        <v>0</v>
      </c>
      <c r="AA255" s="552">
        <v>0</v>
      </c>
      <c r="AB255" s="552">
        <v>0</v>
      </c>
      <c r="AD255" s="552">
        <v>0</v>
      </c>
      <c r="AE255" s="552">
        <v>0</v>
      </c>
      <c r="AF255" s="552">
        <v>2250000</v>
      </c>
      <c r="AG255" s="552">
        <v>0</v>
      </c>
      <c r="AH255" s="552">
        <v>0</v>
      </c>
      <c r="AI255" s="552">
        <v>0</v>
      </c>
      <c r="AJ255" s="552">
        <v>0</v>
      </c>
      <c r="AK255" s="552">
        <v>0</v>
      </c>
      <c r="AL255" s="552">
        <v>0</v>
      </c>
      <c r="AN255" s="552">
        <v>101</v>
      </c>
      <c r="AP255" s="552">
        <v>0</v>
      </c>
      <c r="AQ255" s="552">
        <v>0</v>
      </c>
      <c r="AR255" s="552">
        <v>0</v>
      </c>
      <c r="AS255" s="552">
        <v>0</v>
      </c>
      <c r="AT255" s="552">
        <v>0</v>
      </c>
      <c r="AU255" s="552">
        <v>0</v>
      </c>
      <c r="AV255" s="552">
        <v>0</v>
      </c>
      <c r="AW255" s="552">
        <v>0</v>
      </c>
      <c r="AX255" s="552">
        <v>0</v>
      </c>
      <c r="AY255" s="552">
        <v>0</v>
      </c>
      <c r="AZ255" s="552">
        <v>0</v>
      </c>
      <c r="BA255" s="552">
        <v>0</v>
      </c>
      <c r="BB255" s="552">
        <v>0</v>
      </c>
      <c r="BC255" s="552">
        <v>0</v>
      </c>
      <c r="BD255" s="552">
        <v>0</v>
      </c>
      <c r="BE255" s="552">
        <v>0</v>
      </c>
      <c r="BF255" s="552">
        <v>0</v>
      </c>
      <c r="BG255" s="552">
        <v>0</v>
      </c>
      <c r="BH255" s="552">
        <v>0</v>
      </c>
      <c r="BI255" s="552">
        <v>0</v>
      </c>
      <c r="BJ255" s="552">
        <v>0</v>
      </c>
      <c r="BL255" s="552">
        <v>0</v>
      </c>
      <c r="BM255" s="552">
        <v>0</v>
      </c>
      <c r="BN255" s="552">
        <v>0</v>
      </c>
      <c r="BO255" s="552">
        <v>109386</v>
      </c>
      <c r="BP255" s="552">
        <v>0</v>
      </c>
      <c r="BQ255" s="552">
        <v>0</v>
      </c>
      <c r="BS255" s="552">
        <v>0</v>
      </c>
      <c r="BU255" s="552">
        <v>0</v>
      </c>
      <c r="BV255" s="552">
        <v>0</v>
      </c>
      <c r="BW255" s="552">
        <v>0</v>
      </c>
      <c r="BX255" s="552">
        <v>0</v>
      </c>
      <c r="BY255" s="552">
        <v>0</v>
      </c>
      <c r="BZ255" s="552">
        <v>0</v>
      </c>
      <c r="CA255" s="552">
        <v>0</v>
      </c>
      <c r="CB255" s="552">
        <v>0</v>
      </c>
      <c r="CC255" s="552">
        <v>0</v>
      </c>
      <c r="CE255" s="552">
        <v>0</v>
      </c>
      <c r="CF255" s="552">
        <v>0</v>
      </c>
      <c r="CG255" s="552">
        <v>0</v>
      </c>
      <c r="CH255" s="552">
        <v>0</v>
      </c>
    </row>
    <row r="256" spans="1:99" s="559" customFormat="1" x14ac:dyDescent="0.3">
      <c r="A256" s="558">
        <v>1077</v>
      </c>
      <c r="B256" s="559" t="s">
        <v>2056</v>
      </c>
      <c r="D256" s="559">
        <v>0</v>
      </c>
      <c r="E256" s="559">
        <v>0</v>
      </c>
      <c r="F256" s="559">
        <v>0</v>
      </c>
      <c r="G256" s="559">
        <v>0</v>
      </c>
      <c r="I256" s="559">
        <v>0</v>
      </c>
      <c r="J256" s="559">
        <v>0</v>
      </c>
      <c r="K256" s="559">
        <v>194907</v>
      </c>
      <c r="L256" s="559">
        <v>0</v>
      </c>
      <c r="M256" s="559">
        <v>0</v>
      </c>
      <c r="N256" s="559">
        <v>0</v>
      </c>
      <c r="O256" s="559">
        <v>0</v>
      </c>
      <c r="P256" s="559">
        <v>0</v>
      </c>
      <c r="Q256" s="559">
        <v>0</v>
      </c>
      <c r="R256" s="559">
        <v>0</v>
      </c>
      <c r="S256" s="559">
        <v>0</v>
      </c>
      <c r="T256" s="559">
        <v>0</v>
      </c>
      <c r="U256" s="559">
        <v>0</v>
      </c>
      <c r="V256" s="559">
        <v>0</v>
      </c>
      <c r="W256" s="559">
        <v>0</v>
      </c>
      <c r="X256" s="559">
        <v>0</v>
      </c>
      <c r="Y256" s="559">
        <v>0</v>
      </c>
      <c r="Z256" s="559">
        <v>0</v>
      </c>
      <c r="AA256" s="559">
        <v>0</v>
      </c>
      <c r="AB256" s="559">
        <v>0</v>
      </c>
      <c r="AD256" s="559">
        <v>380000</v>
      </c>
      <c r="AE256" s="559">
        <v>0</v>
      </c>
      <c r="AF256" s="559">
        <v>375000</v>
      </c>
      <c r="AG256" s="559">
        <v>0</v>
      </c>
      <c r="AH256" s="559">
        <v>0</v>
      </c>
      <c r="AI256" s="559">
        <v>0</v>
      </c>
      <c r="AJ256" s="559">
        <v>0</v>
      </c>
      <c r="AK256" s="559">
        <v>0</v>
      </c>
      <c r="AL256" s="559">
        <v>0</v>
      </c>
      <c r="AN256" s="559">
        <v>0</v>
      </c>
      <c r="AP256" s="559">
        <v>0</v>
      </c>
      <c r="AQ256" s="559">
        <v>4434000</v>
      </c>
      <c r="AR256" s="559">
        <v>0</v>
      </c>
      <c r="AS256" s="559">
        <v>0</v>
      </c>
      <c r="AT256" s="559">
        <v>1413961</v>
      </c>
      <c r="AU256" s="559">
        <v>0</v>
      </c>
      <c r="AV256" s="1041">
        <v>0</v>
      </c>
      <c r="AW256" s="559">
        <v>0</v>
      </c>
      <c r="AX256" s="559">
        <v>0</v>
      </c>
      <c r="AY256" s="559">
        <v>0</v>
      </c>
      <c r="AZ256" s="559">
        <v>0</v>
      </c>
      <c r="BA256" s="559">
        <v>0</v>
      </c>
      <c r="BB256" s="559">
        <v>0</v>
      </c>
      <c r="BC256" s="559">
        <v>0</v>
      </c>
      <c r="BD256" s="559">
        <v>0</v>
      </c>
      <c r="BE256" s="559">
        <v>0</v>
      </c>
      <c r="BF256" s="559">
        <v>0</v>
      </c>
      <c r="BG256" s="559">
        <v>0</v>
      </c>
      <c r="BH256" s="559">
        <v>0</v>
      </c>
      <c r="BI256" s="559">
        <v>350000</v>
      </c>
      <c r="BJ256" s="559">
        <v>0</v>
      </c>
      <c r="BL256" s="559">
        <v>0</v>
      </c>
      <c r="BM256" s="559">
        <v>10611</v>
      </c>
      <c r="BN256" s="559">
        <v>0</v>
      </c>
      <c r="BO256" s="559">
        <v>0</v>
      </c>
      <c r="BP256" s="559">
        <v>28901353</v>
      </c>
      <c r="BQ256" s="559">
        <v>0</v>
      </c>
      <c r="BS256" s="559">
        <v>0</v>
      </c>
      <c r="BU256" s="559">
        <v>0</v>
      </c>
      <c r="BV256" s="559">
        <v>0</v>
      </c>
      <c r="BW256" s="559">
        <v>0</v>
      </c>
      <c r="BX256" s="559">
        <v>0</v>
      </c>
      <c r="BY256" s="559">
        <v>0</v>
      </c>
      <c r="BZ256" s="559">
        <v>0</v>
      </c>
      <c r="CA256" s="559">
        <v>0</v>
      </c>
      <c r="CB256" s="559">
        <v>0</v>
      </c>
      <c r="CC256" s="559">
        <v>0</v>
      </c>
      <c r="CE256" s="559">
        <v>80864</v>
      </c>
      <c r="CF256" s="559">
        <v>0</v>
      </c>
      <c r="CG256" s="559">
        <v>0</v>
      </c>
      <c r="CH256" s="559">
        <v>0</v>
      </c>
    </row>
    <row r="257" spans="1:88" s="559" customFormat="1" x14ac:dyDescent="0.3">
      <c r="A257" s="558">
        <v>1078</v>
      </c>
      <c r="B257" s="559" t="s">
        <v>2057</v>
      </c>
      <c r="D257" s="559">
        <v>2</v>
      </c>
      <c r="E257" s="559">
        <v>3</v>
      </c>
      <c r="F257" s="559">
        <v>3</v>
      </c>
      <c r="G257" s="559">
        <v>3</v>
      </c>
      <c r="I257" s="559">
        <v>3</v>
      </c>
      <c r="J257" s="559">
        <v>3</v>
      </c>
      <c r="K257" s="559">
        <v>3</v>
      </c>
      <c r="L257" s="559">
        <v>3</v>
      </c>
      <c r="M257" s="559">
        <v>3</v>
      </c>
      <c r="N257" s="559">
        <v>3</v>
      </c>
      <c r="O257" s="559">
        <v>3</v>
      </c>
      <c r="P257" s="559">
        <v>3</v>
      </c>
      <c r="Q257" s="559">
        <v>3</v>
      </c>
      <c r="R257" s="559">
        <v>3</v>
      </c>
      <c r="S257" s="559">
        <v>3</v>
      </c>
      <c r="T257" s="559">
        <v>3</v>
      </c>
      <c r="U257" s="559">
        <v>3</v>
      </c>
      <c r="V257" s="559">
        <v>3</v>
      </c>
      <c r="W257" s="559">
        <v>3</v>
      </c>
      <c r="X257" s="559">
        <v>3</v>
      </c>
      <c r="Y257" s="559">
        <v>3</v>
      </c>
      <c r="Z257" s="559">
        <v>3</v>
      </c>
      <c r="AA257" s="559">
        <v>3</v>
      </c>
      <c r="AB257" s="559">
        <v>3</v>
      </c>
      <c r="AD257" s="559">
        <v>3</v>
      </c>
      <c r="AE257" s="559">
        <v>3</v>
      </c>
      <c r="AF257" s="559">
        <v>3</v>
      </c>
      <c r="AG257" s="559">
        <v>3</v>
      </c>
      <c r="AH257" s="559">
        <v>3</v>
      </c>
      <c r="AI257" s="559">
        <v>3</v>
      </c>
      <c r="AJ257" s="559">
        <v>3</v>
      </c>
      <c r="AK257" s="559">
        <v>3</v>
      </c>
      <c r="AL257" s="559">
        <v>3</v>
      </c>
      <c r="AN257" s="559">
        <v>3</v>
      </c>
      <c r="AP257" s="559">
        <v>3</v>
      </c>
      <c r="AQ257" s="559">
        <v>3</v>
      </c>
      <c r="AR257" s="559">
        <v>3</v>
      </c>
      <c r="AS257" s="559">
        <v>2</v>
      </c>
      <c r="AT257" s="559">
        <v>3</v>
      </c>
      <c r="AU257" s="559">
        <v>2</v>
      </c>
      <c r="AV257" s="785">
        <v>3</v>
      </c>
      <c r="AW257" s="559">
        <v>3</v>
      </c>
      <c r="AX257" s="559">
        <v>3</v>
      </c>
      <c r="AY257" s="559">
        <v>3</v>
      </c>
      <c r="AZ257" s="559">
        <v>3</v>
      </c>
      <c r="BA257" s="559">
        <v>3</v>
      </c>
      <c r="BB257" s="559">
        <v>2</v>
      </c>
      <c r="BC257" s="559">
        <v>3</v>
      </c>
      <c r="BD257" s="559">
        <v>3</v>
      </c>
      <c r="BE257" s="559">
        <v>3</v>
      </c>
      <c r="BF257" s="559">
        <v>3</v>
      </c>
      <c r="BG257" s="559">
        <v>3</v>
      </c>
      <c r="BH257" s="559">
        <v>3</v>
      </c>
      <c r="BI257" s="559">
        <v>3</v>
      </c>
      <c r="BJ257" s="559">
        <v>3</v>
      </c>
      <c r="BL257" s="559">
        <v>2</v>
      </c>
      <c r="BM257" s="559">
        <v>3</v>
      </c>
      <c r="BN257" s="559">
        <v>3</v>
      </c>
      <c r="BO257" s="559">
        <v>3</v>
      </c>
      <c r="BP257" s="559">
        <v>3</v>
      </c>
      <c r="BQ257" s="559">
        <v>3</v>
      </c>
      <c r="BS257" s="559">
        <v>3</v>
      </c>
      <c r="BU257" s="559">
        <v>3</v>
      </c>
      <c r="BV257" s="559">
        <v>0</v>
      </c>
      <c r="BW257" s="559">
        <v>3</v>
      </c>
      <c r="BX257" s="559">
        <v>3</v>
      </c>
      <c r="BY257" s="559">
        <v>3</v>
      </c>
      <c r="BZ257" s="559">
        <v>3</v>
      </c>
      <c r="CA257" s="559">
        <v>3</v>
      </c>
      <c r="CB257" s="559">
        <v>3</v>
      </c>
      <c r="CC257" s="559">
        <v>3</v>
      </c>
      <c r="CE257" s="559">
        <v>3</v>
      </c>
      <c r="CF257" s="559">
        <v>3</v>
      </c>
      <c r="CG257" s="559">
        <v>3</v>
      </c>
      <c r="CH257" s="559">
        <v>3</v>
      </c>
    </row>
    <row r="258" spans="1:88" s="561" customFormat="1" x14ac:dyDescent="0.3">
      <c r="A258" s="155">
        <v>1079</v>
      </c>
      <c r="B258" s="561" t="s">
        <v>1948</v>
      </c>
      <c r="D258" s="561" t="s">
        <v>2006</v>
      </c>
      <c r="E258" s="561" t="s">
        <v>2677</v>
      </c>
      <c r="F258" s="561" t="s">
        <v>2058</v>
      </c>
      <c r="G258" s="561" t="s">
        <v>1998</v>
      </c>
      <c r="I258" s="561" t="s">
        <v>2014</v>
      </c>
      <c r="J258" s="561" t="s">
        <v>2656</v>
      </c>
      <c r="K258" s="561" t="s">
        <v>1998</v>
      </c>
      <c r="L258" s="561" t="s">
        <v>2657</v>
      </c>
      <c r="M258" s="561" t="s">
        <v>2016</v>
      </c>
      <c r="N258" s="561" t="s">
        <v>2005</v>
      </c>
      <c r="O258" s="561" t="s">
        <v>2656</v>
      </c>
      <c r="P258" s="561" t="s">
        <v>2024</v>
      </c>
      <c r="Q258" s="561" t="s">
        <v>2001</v>
      </c>
      <c r="R258" s="561" t="s">
        <v>2059</v>
      </c>
      <c r="S258" s="561" t="s">
        <v>2656</v>
      </c>
      <c r="T258" s="561" t="s">
        <v>1998</v>
      </c>
      <c r="U258" s="561" t="s">
        <v>2757</v>
      </c>
      <c r="V258" s="561" t="s">
        <v>2016</v>
      </c>
      <c r="W258" s="561" t="s">
        <v>2010</v>
      </c>
      <c r="X258" s="561" t="s">
        <v>2010</v>
      </c>
      <c r="Y258" s="561" t="s">
        <v>2001</v>
      </c>
      <c r="Z258" s="561" t="s">
        <v>1998</v>
      </c>
      <c r="AA258" s="561" t="s">
        <v>1998</v>
      </c>
      <c r="AB258" s="561" t="s">
        <v>1999</v>
      </c>
      <c r="AD258" s="561" t="s">
        <v>2758</v>
      </c>
      <c r="AE258" s="561" t="s">
        <v>2001</v>
      </c>
      <c r="AF258" s="561" t="s">
        <v>2006</v>
      </c>
      <c r="AG258" s="561" t="s">
        <v>2724</v>
      </c>
      <c r="AH258" s="561" t="s">
        <v>2006</v>
      </c>
      <c r="AI258" s="561" t="s">
        <v>2001</v>
      </c>
      <c r="AJ258" s="561" t="s">
        <v>2061</v>
      </c>
      <c r="AK258" s="561" t="s">
        <v>2061</v>
      </c>
      <c r="AL258" s="561" t="s">
        <v>2009</v>
      </c>
      <c r="AN258" s="561" t="s">
        <v>1998</v>
      </c>
      <c r="AP258" s="561" t="s">
        <v>1981</v>
      </c>
      <c r="AQ258" s="561" t="s">
        <v>2656</v>
      </c>
      <c r="AR258" s="561" t="s">
        <v>2017</v>
      </c>
      <c r="AS258" s="561" t="s">
        <v>1998</v>
      </c>
      <c r="AT258" s="561" t="s">
        <v>2000</v>
      </c>
      <c r="AU258" s="561" t="s">
        <v>2759</v>
      </c>
      <c r="AV258" s="1038" t="s">
        <v>2666</v>
      </c>
      <c r="AW258" s="561" t="s">
        <v>2004</v>
      </c>
      <c r="AX258" s="561" t="s">
        <v>2668</v>
      </c>
      <c r="AY258" s="561" t="s">
        <v>2760</v>
      </c>
      <c r="AZ258" s="561" t="s">
        <v>1998</v>
      </c>
      <c r="BA258" s="561" t="s">
        <v>2761</v>
      </c>
      <c r="BB258" s="561" t="s">
        <v>2670</v>
      </c>
      <c r="BC258" s="561" t="s">
        <v>2003</v>
      </c>
      <c r="BD258" s="561" t="s">
        <v>1975</v>
      </c>
      <c r="BE258" s="561" t="s">
        <v>2762</v>
      </c>
      <c r="BF258" s="561" t="s">
        <v>2006</v>
      </c>
      <c r="BG258" s="561" t="s">
        <v>2015</v>
      </c>
      <c r="BH258" s="561" t="s">
        <v>2672</v>
      </c>
      <c r="BI258" s="561" t="s">
        <v>2775</v>
      </c>
      <c r="BJ258" s="561" t="s">
        <v>2673</v>
      </c>
      <c r="BL258" s="561" t="s">
        <v>2674</v>
      </c>
      <c r="BM258" s="561" t="s">
        <v>2001</v>
      </c>
      <c r="BN258" s="561" t="s">
        <v>2761</v>
      </c>
      <c r="BO258" s="561" t="s">
        <v>2012</v>
      </c>
      <c r="BP258" s="561" t="s">
        <v>2063</v>
      </c>
      <c r="BQ258" s="561" t="s">
        <v>2019</v>
      </c>
      <c r="BS258" s="561" t="s">
        <v>2676</v>
      </c>
      <c r="BU258" s="561" t="s">
        <v>2673</v>
      </c>
      <c r="BV258" s="561" t="s">
        <v>1992</v>
      </c>
      <c r="BW258" s="561" t="s">
        <v>1998</v>
      </c>
      <c r="BX258" s="561" t="s">
        <v>2769</v>
      </c>
      <c r="BY258" s="561" t="s">
        <v>1998</v>
      </c>
      <c r="BZ258" s="561" t="s">
        <v>2763</v>
      </c>
      <c r="CA258" s="561" t="s">
        <v>2656</v>
      </c>
      <c r="CB258" s="561" t="s">
        <v>2764</v>
      </c>
      <c r="CC258" s="561" t="s">
        <v>2678</v>
      </c>
      <c r="CE258" s="561" t="s">
        <v>2001</v>
      </c>
      <c r="CF258" s="561" t="s">
        <v>2673</v>
      </c>
      <c r="CG258" s="561" t="s">
        <v>1999</v>
      </c>
      <c r="CH258" s="561" t="s">
        <v>2001</v>
      </c>
    </row>
    <row r="259" spans="1:88" s="561" customFormat="1" x14ac:dyDescent="0.3">
      <c r="A259" s="155">
        <v>9000</v>
      </c>
      <c r="B259" s="561" t="s">
        <v>953</v>
      </c>
      <c r="C259" s="561" t="s">
        <v>349</v>
      </c>
      <c r="D259" s="561">
        <v>58368408.009999998</v>
      </c>
      <c r="E259" s="561">
        <v>48272680.287500001</v>
      </c>
      <c r="F259" s="561">
        <v>35526005.140000001</v>
      </c>
      <c r="G259" s="561">
        <v>13064421.609999999</v>
      </c>
      <c r="H259" s="561">
        <v>50112.01</v>
      </c>
      <c r="I259" s="561">
        <v>340231542.30000001</v>
      </c>
      <c r="J259" s="561">
        <v>48394778.222499996</v>
      </c>
      <c r="K259" s="561">
        <v>734493533.10500002</v>
      </c>
      <c r="L259" s="561">
        <v>101624332.27159999</v>
      </c>
      <c r="M259" s="561">
        <v>693149550.55439997</v>
      </c>
      <c r="N259" s="561">
        <v>199934473.66499999</v>
      </c>
      <c r="O259" s="561">
        <v>14140424586.965</v>
      </c>
      <c r="P259" s="561">
        <v>1567758.82</v>
      </c>
      <c r="Q259" s="561">
        <v>5995385.2199999997</v>
      </c>
      <c r="R259" s="561">
        <v>59301661.979999997</v>
      </c>
      <c r="S259" s="561">
        <v>25282989.879999999</v>
      </c>
      <c r="T259" s="561">
        <v>34894285.092500001</v>
      </c>
      <c r="U259" s="561">
        <v>6911041.1399999997</v>
      </c>
      <c r="V259" s="561">
        <v>17825274.66</v>
      </c>
      <c r="W259" s="561">
        <v>116137406.47</v>
      </c>
      <c r="X259" s="561">
        <v>2094847344.362</v>
      </c>
      <c r="Y259" s="561">
        <v>72193258987.789993</v>
      </c>
      <c r="Z259" s="561">
        <v>308780898.13999999</v>
      </c>
      <c r="AA259" s="561">
        <v>28056253.280000001</v>
      </c>
      <c r="AB259" s="561">
        <v>102432486.45999999</v>
      </c>
      <c r="AC259" s="561">
        <v>50128.01</v>
      </c>
      <c r="AD259" s="561">
        <v>225415633.13999999</v>
      </c>
      <c r="AE259" s="561">
        <v>61564586.659999996</v>
      </c>
      <c r="AF259" s="561">
        <v>2649128662.6300001</v>
      </c>
      <c r="AG259" s="561">
        <v>381469218.5</v>
      </c>
      <c r="AH259" s="561">
        <v>82284414.150000006</v>
      </c>
      <c r="AI259" s="561">
        <v>436487721.51999998</v>
      </c>
      <c r="AJ259" s="561">
        <v>57811810.359999999</v>
      </c>
      <c r="AK259" s="561">
        <v>54593464.780000001</v>
      </c>
      <c r="AL259" s="561">
        <v>29998633.960000001</v>
      </c>
      <c r="AM259" s="561">
        <v>50136.01</v>
      </c>
      <c r="AN259" s="561">
        <v>88095458.680000007</v>
      </c>
      <c r="AO259" s="561">
        <v>50138.01</v>
      </c>
      <c r="AP259" s="561">
        <v>1153553.78</v>
      </c>
      <c r="AQ259" s="561">
        <v>8800975009.2299995</v>
      </c>
      <c r="AR259" s="561">
        <v>4840809.17</v>
      </c>
      <c r="AS259" s="561">
        <v>39561594.119999997</v>
      </c>
      <c r="AT259" s="561">
        <v>666397719.55999994</v>
      </c>
      <c r="AU259" s="561">
        <v>41171748.270000003</v>
      </c>
      <c r="AV259" s="1038">
        <v>16131401.49</v>
      </c>
      <c r="AW259" s="561">
        <v>1129661665.4719999</v>
      </c>
      <c r="AX259" s="561">
        <v>27640845.899999999</v>
      </c>
      <c r="AY259" s="561">
        <v>148021259.69499999</v>
      </c>
      <c r="AZ259" s="561">
        <v>192622614.38499999</v>
      </c>
      <c r="BA259" s="561">
        <v>33781947.32</v>
      </c>
      <c r="BB259" s="561">
        <v>12031793.060000001</v>
      </c>
      <c r="BC259" s="561">
        <v>310472044.76999998</v>
      </c>
      <c r="BD259" s="561">
        <v>3328235.65</v>
      </c>
      <c r="BE259" s="561">
        <v>484384806.96499997</v>
      </c>
      <c r="BF259" s="561">
        <v>121117306.02</v>
      </c>
      <c r="BG259" s="561">
        <v>11748811.289999999</v>
      </c>
      <c r="BH259" s="561">
        <v>10342457.85</v>
      </c>
      <c r="BI259" s="561">
        <v>125344990.97</v>
      </c>
      <c r="BJ259" s="561">
        <v>29948949</v>
      </c>
      <c r="BK259" s="561">
        <v>50156.01</v>
      </c>
      <c r="BL259" s="561">
        <v>120333897.22</v>
      </c>
      <c r="BM259" s="561">
        <v>30737307.41</v>
      </c>
      <c r="BN259" s="561">
        <v>298797825.92000002</v>
      </c>
      <c r="BO259" s="561">
        <v>556075580.36000001</v>
      </c>
      <c r="BP259" s="561">
        <v>15438216474.537701</v>
      </c>
      <c r="BQ259" s="561">
        <v>1832487.24</v>
      </c>
      <c r="BR259" s="561">
        <v>50511.01</v>
      </c>
      <c r="BS259" s="561">
        <v>25405329.420000002</v>
      </c>
      <c r="BT259" s="561">
        <v>50163.01</v>
      </c>
      <c r="BU259" s="561">
        <v>89238054.549999997</v>
      </c>
      <c r="BV259" s="561">
        <v>842241740.95000005</v>
      </c>
      <c r="BW259" s="561">
        <v>323921933.64999998</v>
      </c>
      <c r="BX259" s="561">
        <v>1249769746.96</v>
      </c>
      <c r="BY259" s="561">
        <v>286635317.47500002</v>
      </c>
      <c r="BZ259" s="561">
        <v>27078764.91</v>
      </c>
      <c r="CA259" s="561">
        <v>217317433.01550001</v>
      </c>
      <c r="CB259" s="561">
        <v>36799864.729999997</v>
      </c>
      <c r="CC259" s="561">
        <v>53629507.939999998</v>
      </c>
      <c r="CD259" s="561">
        <v>50172.01</v>
      </c>
      <c r="CE259" s="561">
        <v>298953680.41000003</v>
      </c>
      <c r="CF259" s="561">
        <v>233463686.405</v>
      </c>
      <c r="CG259" s="561">
        <v>188182154.93700001</v>
      </c>
      <c r="CH259" s="561">
        <v>102535494.20999999</v>
      </c>
      <c r="CI259" s="561">
        <v>50177.01</v>
      </c>
      <c r="CJ259" s="561">
        <v>50178.01</v>
      </c>
    </row>
    <row r="260" spans="1:88" s="561" customFormat="1" x14ac:dyDescent="0.3">
      <c r="A260" s="155">
        <v>9001</v>
      </c>
      <c r="B260" s="561" t="s">
        <v>954</v>
      </c>
      <c r="C260" s="561" t="s">
        <v>955</v>
      </c>
      <c r="D260" s="561">
        <v>4269742</v>
      </c>
      <c r="E260" s="561">
        <v>6184574</v>
      </c>
      <c r="F260" s="561">
        <v>1265891</v>
      </c>
      <c r="G260" s="561">
        <v>1079937</v>
      </c>
      <c r="H260" s="561">
        <v>0</v>
      </c>
      <c r="I260" s="561">
        <v>29314401</v>
      </c>
      <c r="J260" s="561">
        <v>6346235</v>
      </c>
      <c r="K260" s="561">
        <v>60916823</v>
      </c>
      <c r="L260" s="561">
        <v>11361974</v>
      </c>
      <c r="M260" s="561">
        <v>104199861</v>
      </c>
      <c r="N260" s="561">
        <v>6018442</v>
      </c>
      <c r="O260" s="561">
        <v>1516612237</v>
      </c>
      <c r="P260" s="561">
        <v>174204</v>
      </c>
      <c r="Q260" s="561">
        <v>1028453</v>
      </c>
      <c r="R260" s="561">
        <v>12289000</v>
      </c>
      <c r="S260" s="561">
        <v>3210310</v>
      </c>
      <c r="T260" s="561">
        <v>6276607</v>
      </c>
      <c r="U260" s="561">
        <v>870795</v>
      </c>
      <c r="V260" s="561">
        <v>1246052</v>
      </c>
      <c r="W260" s="561">
        <v>5895012</v>
      </c>
      <c r="X260" s="561">
        <v>275102924</v>
      </c>
      <c r="Y260" s="561">
        <v>9155701000</v>
      </c>
      <c r="Z260" s="561">
        <v>14817973</v>
      </c>
      <c r="AA260" s="561">
        <v>2520565</v>
      </c>
      <c r="AB260" s="561">
        <v>11159050</v>
      </c>
      <c r="AC260" s="561">
        <v>0</v>
      </c>
      <c r="AD260" s="561">
        <v>16637779</v>
      </c>
      <c r="AE260" s="561">
        <v>3682125</v>
      </c>
      <c r="AF260" s="561">
        <v>132130395</v>
      </c>
      <c r="AG260" s="561">
        <v>62914995</v>
      </c>
      <c r="AH260" s="561">
        <v>6270647</v>
      </c>
      <c r="AI260" s="561">
        <v>25306395</v>
      </c>
      <c r="AJ260" s="561">
        <v>2984502</v>
      </c>
      <c r="AK260" s="561">
        <v>3844589</v>
      </c>
      <c r="AL260" s="561">
        <v>1972422</v>
      </c>
      <c r="AM260" s="561">
        <v>0</v>
      </c>
      <c r="AN260" s="561">
        <v>1872228</v>
      </c>
      <c r="AO260" s="561">
        <v>0</v>
      </c>
      <c r="AP260" s="561">
        <v>126337</v>
      </c>
      <c r="AQ260" s="561">
        <v>742407508</v>
      </c>
      <c r="AR260" s="561">
        <v>485813</v>
      </c>
      <c r="AS260" s="561">
        <v>4157172</v>
      </c>
      <c r="AT260" s="561">
        <v>70302649</v>
      </c>
      <c r="AU260" s="561">
        <v>1350994</v>
      </c>
      <c r="AV260" s="1038">
        <v>2143942</v>
      </c>
      <c r="AW260" s="561">
        <v>151237868</v>
      </c>
      <c r="AX260" s="561">
        <v>799939</v>
      </c>
      <c r="AY260" s="561">
        <v>20138644</v>
      </c>
      <c r="AZ260" s="561">
        <v>36544455</v>
      </c>
      <c r="BA260" s="561">
        <v>713936</v>
      </c>
      <c r="BB260" s="561">
        <v>587259</v>
      </c>
      <c r="BC260" s="561">
        <v>15298018</v>
      </c>
      <c r="BD260" s="561">
        <v>435143</v>
      </c>
      <c r="BE260" s="561">
        <v>73100312</v>
      </c>
      <c r="BF260" s="561">
        <v>5327488</v>
      </c>
      <c r="BG260" s="561">
        <v>1887524</v>
      </c>
      <c r="BH260" s="561">
        <v>1106908</v>
      </c>
      <c r="BI260" s="561">
        <v>5631480</v>
      </c>
      <c r="BJ260" s="561">
        <v>4095739</v>
      </c>
      <c r="BK260" s="561">
        <v>0</v>
      </c>
      <c r="BL260" s="561">
        <v>7786804</v>
      </c>
      <c r="BM260" s="561">
        <v>1684033</v>
      </c>
      <c r="BN260" s="561">
        <v>40741704</v>
      </c>
      <c r="BO260" s="561">
        <v>34770230</v>
      </c>
      <c r="BP260" s="561">
        <v>1400924251</v>
      </c>
      <c r="BQ260" s="561">
        <v>194120</v>
      </c>
      <c r="BR260" s="561">
        <v>0</v>
      </c>
      <c r="BS260" s="561">
        <v>2172763</v>
      </c>
      <c r="BT260" s="561">
        <v>0</v>
      </c>
      <c r="BU260" s="561">
        <v>12488348</v>
      </c>
      <c r="BV260" s="561">
        <v>54239240</v>
      </c>
      <c r="BW260" s="561">
        <v>16192912</v>
      </c>
      <c r="BX260" s="561">
        <v>58785344</v>
      </c>
      <c r="BY260" s="561">
        <v>28985511</v>
      </c>
      <c r="BZ260" s="561">
        <v>1694606</v>
      </c>
      <c r="CA260" s="561">
        <v>17159705</v>
      </c>
      <c r="CB260" s="561">
        <v>1341236</v>
      </c>
      <c r="CC260" s="561">
        <v>2473997</v>
      </c>
      <c r="CD260" s="561">
        <v>0</v>
      </c>
      <c r="CE260" s="561">
        <v>25464173</v>
      </c>
      <c r="CF260" s="561">
        <v>40721076</v>
      </c>
      <c r="CG260" s="561">
        <v>10436933</v>
      </c>
      <c r="CH260" s="561">
        <v>14492168</v>
      </c>
      <c r="CI260" s="561">
        <v>0</v>
      </c>
      <c r="CJ260" s="561">
        <v>0</v>
      </c>
    </row>
    <row r="261" spans="1:88" s="559" customFormat="1" x14ac:dyDescent="0.3">
      <c r="A261" s="558">
        <v>9002</v>
      </c>
      <c r="B261" s="559" t="s">
        <v>956</v>
      </c>
      <c r="C261" s="559" t="s">
        <v>957</v>
      </c>
      <c r="D261" s="559">
        <v>15389</v>
      </c>
      <c r="E261" s="559">
        <v>554867</v>
      </c>
      <c r="F261" s="559">
        <v>10137</v>
      </c>
      <c r="G261" s="559">
        <v>56094</v>
      </c>
      <c r="H261" s="559">
        <v>0</v>
      </c>
      <c r="I261" s="559">
        <v>5476081</v>
      </c>
      <c r="J261" s="559">
        <v>117269</v>
      </c>
      <c r="K261" s="559">
        <v>5618507</v>
      </c>
      <c r="L261" s="559">
        <v>0</v>
      </c>
      <c r="M261" s="559">
        <v>18286184</v>
      </c>
      <c r="N261" s="559">
        <v>869464</v>
      </c>
      <c r="O261" s="559">
        <v>84528231</v>
      </c>
      <c r="P261" s="559">
        <v>31539</v>
      </c>
      <c r="Q261" s="559">
        <v>4658</v>
      </c>
      <c r="R261" s="559">
        <v>1341898</v>
      </c>
      <c r="S261" s="559">
        <v>391741</v>
      </c>
      <c r="T261" s="559">
        <v>313960</v>
      </c>
      <c r="U261" s="559">
        <v>66852</v>
      </c>
      <c r="V261" s="559">
        <v>63484</v>
      </c>
      <c r="W261" s="559">
        <v>53716</v>
      </c>
      <c r="X261" s="559">
        <v>29653442</v>
      </c>
      <c r="Y261" s="559">
        <v>425392000</v>
      </c>
      <c r="Z261" s="559">
        <v>550579</v>
      </c>
      <c r="AA261" s="559">
        <v>255580</v>
      </c>
      <c r="AB261" s="559">
        <v>840248</v>
      </c>
      <c r="AC261" s="559">
        <v>0</v>
      </c>
      <c r="AD261" s="559">
        <v>852159</v>
      </c>
      <c r="AE261" s="559">
        <v>11440</v>
      </c>
      <c r="AF261" s="559">
        <v>5510613</v>
      </c>
      <c r="AG261" s="559">
        <v>2766779</v>
      </c>
      <c r="AH261" s="559">
        <v>19050</v>
      </c>
      <c r="AI261" s="559">
        <v>955209</v>
      </c>
      <c r="AJ261" s="559">
        <v>38862</v>
      </c>
      <c r="AK261" s="559">
        <v>31986</v>
      </c>
      <c r="AL261" s="559">
        <v>15155</v>
      </c>
      <c r="AM261" s="559">
        <v>0</v>
      </c>
      <c r="AN261" s="559">
        <v>23393</v>
      </c>
      <c r="AO261" s="559">
        <v>0</v>
      </c>
      <c r="AP261" s="559">
        <v>1257</v>
      </c>
      <c r="AQ261" s="559">
        <v>31531415</v>
      </c>
      <c r="AR261" s="559">
        <v>0</v>
      </c>
      <c r="AS261" s="559">
        <v>410843</v>
      </c>
      <c r="AT261" s="559">
        <v>1492215</v>
      </c>
      <c r="AU261" s="559">
        <v>213934</v>
      </c>
      <c r="AV261" s="559">
        <v>2258</v>
      </c>
      <c r="AW261" s="559">
        <v>11524579</v>
      </c>
      <c r="AX261" s="559">
        <v>10479</v>
      </c>
      <c r="AY261" s="559">
        <v>758922</v>
      </c>
      <c r="AZ261" s="559">
        <v>337613</v>
      </c>
      <c r="BA261" s="559">
        <v>2766</v>
      </c>
      <c r="BB261" s="559">
        <v>3188</v>
      </c>
      <c r="BC261" s="559">
        <v>1521694</v>
      </c>
      <c r="BD261" s="559">
        <v>59203</v>
      </c>
      <c r="BE261" s="559">
        <v>4028898</v>
      </c>
      <c r="BF261" s="559">
        <v>153449</v>
      </c>
      <c r="BG261" s="559">
        <v>7895</v>
      </c>
      <c r="BH261" s="559">
        <v>136502</v>
      </c>
      <c r="BI261" s="559">
        <v>174399</v>
      </c>
      <c r="BJ261" s="559">
        <v>103638</v>
      </c>
      <c r="BK261" s="559">
        <v>0</v>
      </c>
      <c r="BL261" s="559">
        <v>2731316</v>
      </c>
      <c r="BM261" s="559">
        <v>137893</v>
      </c>
      <c r="BN261" s="559">
        <v>5114256</v>
      </c>
      <c r="BO261" s="559">
        <v>3519096</v>
      </c>
      <c r="BP261" s="559">
        <v>198739086</v>
      </c>
      <c r="BQ261" s="559">
        <v>34878</v>
      </c>
      <c r="BR261" s="559">
        <v>0</v>
      </c>
      <c r="BS261" s="559">
        <v>131507</v>
      </c>
      <c r="BT261" s="559">
        <v>0</v>
      </c>
      <c r="BU261" s="559">
        <v>95440</v>
      </c>
      <c r="BV261" s="559">
        <v>4175618</v>
      </c>
      <c r="BW261" s="559">
        <v>964140</v>
      </c>
      <c r="BX261" s="559">
        <v>7344744</v>
      </c>
      <c r="BY261" s="559">
        <v>623427</v>
      </c>
      <c r="BZ261" s="559">
        <v>22814</v>
      </c>
      <c r="CA261" s="559">
        <v>182667</v>
      </c>
      <c r="CB261" s="559">
        <v>266873</v>
      </c>
      <c r="CC261" s="559">
        <v>245884</v>
      </c>
      <c r="CD261" s="559">
        <v>0</v>
      </c>
      <c r="CE261" s="559">
        <v>4328387</v>
      </c>
      <c r="CF261" s="559">
        <v>1136716</v>
      </c>
      <c r="CG261" s="559">
        <v>74045</v>
      </c>
      <c r="CH261" s="559">
        <v>1164887</v>
      </c>
      <c r="CI261" s="559">
        <v>0</v>
      </c>
      <c r="CJ261" s="559">
        <v>0</v>
      </c>
    </row>
    <row r="262" spans="1:88" s="180" customFormat="1" x14ac:dyDescent="0.3">
      <c r="A262" s="155">
        <v>9003</v>
      </c>
      <c r="B262" s="568" t="s">
        <v>958</v>
      </c>
      <c r="C262" s="568" t="s">
        <v>959</v>
      </c>
      <c r="D262" s="180">
        <v>19865</v>
      </c>
      <c r="E262" s="180">
        <v>839770</v>
      </c>
      <c r="F262" s="180">
        <v>42703</v>
      </c>
      <c r="G262" s="180">
        <v>133724</v>
      </c>
      <c r="H262" s="180">
        <v>0</v>
      </c>
      <c r="I262" s="180">
        <v>20436347</v>
      </c>
      <c r="J262" s="180">
        <v>1340365</v>
      </c>
      <c r="K262" s="180">
        <v>28961291</v>
      </c>
      <c r="L262" s="180">
        <v>1437702</v>
      </c>
      <c r="M262" s="180">
        <v>67135264</v>
      </c>
      <c r="N262" s="180">
        <v>3029395</v>
      </c>
      <c r="O262" s="180">
        <v>551090908</v>
      </c>
      <c r="P262" s="180">
        <v>31539</v>
      </c>
      <c r="Q262" s="180">
        <v>4658</v>
      </c>
      <c r="R262" s="180">
        <v>1890537</v>
      </c>
      <c r="S262" s="180">
        <v>950854</v>
      </c>
      <c r="T262" s="180">
        <v>1370208</v>
      </c>
      <c r="U262" s="180">
        <v>66852</v>
      </c>
      <c r="V262" s="180">
        <v>63484</v>
      </c>
      <c r="W262" s="180">
        <v>1004346</v>
      </c>
      <c r="X262" s="180">
        <v>183414612</v>
      </c>
      <c r="Y262" s="180">
        <v>3820314000</v>
      </c>
      <c r="Z262" s="180">
        <v>8733691</v>
      </c>
      <c r="AA262" s="180">
        <v>292548</v>
      </c>
      <c r="AB262" s="180">
        <v>4764635</v>
      </c>
      <c r="AC262" s="180">
        <v>0</v>
      </c>
      <c r="AD262" s="180">
        <v>2323671</v>
      </c>
      <c r="AE262" s="180">
        <v>106434</v>
      </c>
      <c r="AF262" s="180">
        <v>39549654</v>
      </c>
      <c r="AG262" s="180">
        <v>3755731</v>
      </c>
      <c r="AH262" s="180">
        <v>712899</v>
      </c>
      <c r="AI262" s="180">
        <v>9494778</v>
      </c>
      <c r="AJ262" s="180">
        <v>233953</v>
      </c>
      <c r="AK262" s="180">
        <v>952823</v>
      </c>
      <c r="AL262" s="180">
        <v>144323</v>
      </c>
      <c r="AM262" s="180">
        <v>0</v>
      </c>
      <c r="AN262" s="180">
        <v>796655</v>
      </c>
      <c r="AO262" s="180">
        <v>0</v>
      </c>
      <c r="AP262" s="180">
        <v>1257</v>
      </c>
      <c r="AQ262" s="180">
        <v>129537389</v>
      </c>
      <c r="AR262" s="180">
        <v>0</v>
      </c>
      <c r="AS262" s="180">
        <v>468380</v>
      </c>
      <c r="AT262" s="180">
        <v>9354413</v>
      </c>
      <c r="AU262" s="180">
        <v>400974</v>
      </c>
      <c r="AV262" s="570">
        <v>98288</v>
      </c>
      <c r="AW262" s="180">
        <v>43714066</v>
      </c>
      <c r="AX262" s="180">
        <v>34254</v>
      </c>
      <c r="AY262" s="180">
        <v>8500645</v>
      </c>
      <c r="AZ262" s="180">
        <v>6164356</v>
      </c>
      <c r="BA262" s="180">
        <v>20479</v>
      </c>
      <c r="BB262" s="180">
        <v>3188</v>
      </c>
      <c r="BC262" s="180">
        <v>4604342</v>
      </c>
      <c r="BD262" s="180">
        <v>59203</v>
      </c>
      <c r="BE262" s="180">
        <v>29825653</v>
      </c>
      <c r="BF262" s="180">
        <v>1165653</v>
      </c>
      <c r="BG262" s="180">
        <v>7895</v>
      </c>
      <c r="BH262" s="180">
        <v>137081</v>
      </c>
      <c r="BI262" s="180">
        <v>2246857</v>
      </c>
      <c r="BJ262" s="180">
        <v>103638</v>
      </c>
      <c r="BK262" s="180">
        <v>0</v>
      </c>
      <c r="BL262" s="180">
        <v>3442931</v>
      </c>
      <c r="BM262" s="180">
        <v>270635</v>
      </c>
      <c r="BN262" s="180">
        <v>10554047</v>
      </c>
      <c r="BO262" s="180">
        <v>22512447</v>
      </c>
      <c r="BP262" s="180">
        <v>635457615</v>
      </c>
      <c r="BQ262" s="180">
        <v>34878</v>
      </c>
      <c r="BR262" s="180">
        <v>0</v>
      </c>
      <c r="BS262" s="180">
        <v>259248</v>
      </c>
      <c r="BT262" s="180">
        <v>0</v>
      </c>
      <c r="BU262" s="180">
        <v>630413</v>
      </c>
      <c r="BV262" s="180">
        <v>27112416</v>
      </c>
      <c r="BW262" s="180">
        <v>8872856</v>
      </c>
      <c r="BX262" s="180">
        <v>33582182</v>
      </c>
      <c r="BY262" s="180">
        <v>8942472</v>
      </c>
      <c r="BZ262" s="180">
        <v>541314</v>
      </c>
      <c r="CA262" s="180">
        <v>2637107</v>
      </c>
      <c r="CB262" s="180">
        <v>278578</v>
      </c>
      <c r="CC262" s="180">
        <v>770121</v>
      </c>
      <c r="CD262" s="180">
        <v>0</v>
      </c>
      <c r="CE262" s="180">
        <v>8202569</v>
      </c>
      <c r="CF262" s="180">
        <v>8242095</v>
      </c>
      <c r="CG262" s="180">
        <v>803534</v>
      </c>
      <c r="CH262" s="180">
        <v>3657540</v>
      </c>
      <c r="CI262" s="180">
        <v>0</v>
      </c>
      <c r="CJ262" s="180">
        <v>0</v>
      </c>
    </row>
    <row r="263" spans="1:88" s="180" customFormat="1" x14ac:dyDescent="0.3">
      <c r="A263" s="155">
        <v>9004</v>
      </c>
      <c r="B263" s="568" t="s">
        <v>960</v>
      </c>
      <c r="C263" s="568" t="s">
        <v>961</v>
      </c>
      <c r="D263" s="180" t="s">
        <v>962</v>
      </c>
      <c r="E263" s="180" t="s">
        <v>349</v>
      </c>
      <c r="F263" s="180" t="s">
        <v>962</v>
      </c>
      <c r="G263" s="180" t="s">
        <v>962</v>
      </c>
      <c r="H263" s="180" t="s">
        <v>962</v>
      </c>
      <c r="I263" s="180" t="s">
        <v>962</v>
      </c>
      <c r="J263" s="180" t="s">
        <v>349</v>
      </c>
      <c r="K263" s="180" t="s">
        <v>962</v>
      </c>
      <c r="L263" s="180" t="s">
        <v>349</v>
      </c>
      <c r="M263" s="180" t="s">
        <v>349</v>
      </c>
      <c r="N263" s="180" t="s">
        <v>962</v>
      </c>
      <c r="O263" s="180" t="s">
        <v>962</v>
      </c>
      <c r="P263" s="180" t="s">
        <v>349</v>
      </c>
      <c r="Q263" s="180" t="s">
        <v>349</v>
      </c>
      <c r="R263" s="180" t="s">
        <v>349</v>
      </c>
      <c r="S263" s="180" t="s">
        <v>349</v>
      </c>
      <c r="T263" s="180" t="s">
        <v>349</v>
      </c>
      <c r="U263" s="180" t="s">
        <v>349</v>
      </c>
      <c r="V263" s="180" t="s">
        <v>962</v>
      </c>
      <c r="W263" s="180" t="s">
        <v>962</v>
      </c>
      <c r="X263" s="180" t="s">
        <v>349</v>
      </c>
      <c r="Y263" s="180" t="s">
        <v>962</v>
      </c>
      <c r="Z263" s="180" t="s">
        <v>962</v>
      </c>
      <c r="AA263" s="180" t="s">
        <v>962</v>
      </c>
      <c r="AB263" s="180" t="s">
        <v>349</v>
      </c>
      <c r="AC263" s="180" t="s">
        <v>962</v>
      </c>
      <c r="AD263" s="180" t="s">
        <v>962</v>
      </c>
      <c r="AE263" s="180" t="s">
        <v>962</v>
      </c>
      <c r="AF263" s="180" t="s">
        <v>962</v>
      </c>
      <c r="AG263" s="180" t="s">
        <v>349</v>
      </c>
      <c r="AH263" s="180" t="s">
        <v>962</v>
      </c>
      <c r="AI263" s="180" t="s">
        <v>962</v>
      </c>
      <c r="AJ263" s="180" t="s">
        <v>962</v>
      </c>
      <c r="AK263" s="180" t="s">
        <v>962</v>
      </c>
      <c r="AL263" s="180" t="s">
        <v>962</v>
      </c>
      <c r="AM263" s="180" t="s">
        <v>962</v>
      </c>
      <c r="AN263" s="180" t="s">
        <v>962</v>
      </c>
      <c r="AO263" s="180" t="s">
        <v>962</v>
      </c>
      <c r="AP263" s="180" t="s">
        <v>349</v>
      </c>
      <c r="AQ263" s="180" t="s">
        <v>962</v>
      </c>
      <c r="AR263" s="180" t="s">
        <v>349</v>
      </c>
      <c r="AS263" s="180" t="s">
        <v>962</v>
      </c>
      <c r="AT263" s="180" t="s">
        <v>962</v>
      </c>
      <c r="AU263" s="180" t="s">
        <v>962</v>
      </c>
      <c r="AV263" s="570" t="s">
        <v>349</v>
      </c>
      <c r="AW263" s="180" t="s">
        <v>349</v>
      </c>
      <c r="AX263" s="180" t="s">
        <v>962</v>
      </c>
      <c r="AY263" s="180" t="s">
        <v>349</v>
      </c>
      <c r="AZ263" s="180" t="s">
        <v>349</v>
      </c>
      <c r="BA263" s="180" t="s">
        <v>962</v>
      </c>
      <c r="BB263" s="180" t="s">
        <v>962</v>
      </c>
      <c r="BC263" s="180" t="s">
        <v>962</v>
      </c>
      <c r="BD263" s="180" t="s">
        <v>349</v>
      </c>
      <c r="BE263" s="180" t="s">
        <v>349</v>
      </c>
      <c r="BF263" s="180" t="s">
        <v>962</v>
      </c>
      <c r="BG263" s="180" t="s">
        <v>349</v>
      </c>
      <c r="BH263" s="180" t="s">
        <v>349</v>
      </c>
      <c r="BI263" s="180" t="s">
        <v>962</v>
      </c>
      <c r="BJ263" s="180" t="s">
        <v>349</v>
      </c>
      <c r="BK263" s="180" t="s">
        <v>962</v>
      </c>
      <c r="BL263" s="180" t="s">
        <v>962</v>
      </c>
      <c r="BM263" s="180" t="s">
        <v>962</v>
      </c>
      <c r="BN263" s="180" t="s">
        <v>349</v>
      </c>
      <c r="BO263" s="180" t="s">
        <v>962</v>
      </c>
      <c r="BP263" s="180" t="s">
        <v>962</v>
      </c>
      <c r="BQ263" s="180" t="s">
        <v>349</v>
      </c>
      <c r="BR263" s="180" t="s">
        <v>962</v>
      </c>
      <c r="BS263" s="180" t="s">
        <v>962</v>
      </c>
      <c r="BT263" s="180" t="s">
        <v>962</v>
      </c>
      <c r="BU263" s="180" t="s">
        <v>349</v>
      </c>
      <c r="BV263" s="180" t="s">
        <v>962</v>
      </c>
      <c r="BW263" s="180" t="s">
        <v>962</v>
      </c>
      <c r="BX263" s="180" t="s">
        <v>962</v>
      </c>
      <c r="BY263" s="180" t="s">
        <v>962</v>
      </c>
      <c r="BZ263" s="180" t="s">
        <v>962</v>
      </c>
      <c r="CA263" s="180" t="s">
        <v>962</v>
      </c>
      <c r="CB263" s="180" t="s">
        <v>962</v>
      </c>
      <c r="CC263" s="180" t="s">
        <v>962</v>
      </c>
      <c r="CD263" s="180" t="s">
        <v>962</v>
      </c>
      <c r="CE263" s="180" t="s">
        <v>962</v>
      </c>
      <c r="CF263" s="180" t="s">
        <v>349</v>
      </c>
      <c r="CG263" s="180" t="s">
        <v>962</v>
      </c>
      <c r="CH263" s="180" t="s">
        <v>349</v>
      </c>
      <c r="CI263" s="180" t="s">
        <v>962</v>
      </c>
      <c r="CJ263" s="180" t="s">
        <v>962</v>
      </c>
    </row>
    <row r="264" spans="1:88" s="180" customFormat="1" x14ac:dyDescent="0.3">
      <c r="A264" s="155">
        <v>9005</v>
      </c>
      <c r="B264" s="568" t="s">
        <v>963</v>
      </c>
      <c r="C264" s="568" t="s">
        <v>964</v>
      </c>
      <c r="D264" s="180">
        <v>3680329</v>
      </c>
      <c r="E264" s="180">
        <v>2930120</v>
      </c>
      <c r="F264" s="180">
        <v>1004956</v>
      </c>
      <c r="G264" s="180">
        <v>601192</v>
      </c>
      <c r="H264" s="180">
        <v>0</v>
      </c>
      <c r="I264" s="180">
        <v>4099460</v>
      </c>
      <c r="J264" s="180">
        <v>1997272</v>
      </c>
      <c r="K264" s="180">
        <v>10349981</v>
      </c>
      <c r="L264" s="180">
        <v>6844056</v>
      </c>
      <c r="M264" s="180">
        <v>14813300</v>
      </c>
      <c r="N264" s="180">
        <v>2260980</v>
      </c>
      <c r="O264" s="180">
        <v>81611295</v>
      </c>
      <c r="P264" s="180">
        <v>81235</v>
      </c>
      <c r="Q264" s="180">
        <v>331196</v>
      </c>
      <c r="R264" s="180">
        <v>1254654</v>
      </c>
      <c r="S264" s="180">
        <v>1237769</v>
      </c>
      <c r="T264" s="180">
        <v>1261758</v>
      </c>
      <c r="U264" s="180">
        <v>529268</v>
      </c>
      <c r="V264" s="180">
        <v>342562</v>
      </c>
      <c r="W264" s="180">
        <v>2468721</v>
      </c>
      <c r="X264" s="180">
        <v>33370076</v>
      </c>
      <c r="Y264" s="180">
        <v>367343000</v>
      </c>
      <c r="Z264" s="180">
        <v>3408127</v>
      </c>
      <c r="AA264" s="180">
        <v>619039</v>
      </c>
      <c r="AB264" s="180">
        <v>4085192</v>
      </c>
      <c r="AC264" s="180">
        <v>0</v>
      </c>
      <c r="AD264" s="180">
        <v>4880560</v>
      </c>
      <c r="AE264" s="180">
        <v>2708106</v>
      </c>
      <c r="AF264" s="180">
        <v>31463361</v>
      </c>
      <c r="AG264" s="180">
        <v>11371937</v>
      </c>
      <c r="AH264" s="180">
        <v>3420994</v>
      </c>
      <c r="AI264" s="180">
        <v>7678285</v>
      </c>
      <c r="AJ264" s="180">
        <v>1481107</v>
      </c>
      <c r="AK264" s="180">
        <v>1850177</v>
      </c>
      <c r="AL264" s="180">
        <v>742948</v>
      </c>
      <c r="AM264" s="180">
        <v>0</v>
      </c>
      <c r="AN264" s="180">
        <v>993932</v>
      </c>
      <c r="AO264" s="180">
        <v>0</v>
      </c>
      <c r="AP264" s="180">
        <v>83609</v>
      </c>
      <c r="AQ264" s="180">
        <v>62245308</v>
      </c>
      <c r="AR264" s="180">
        <v>326125</v>
      </c>
      <c r="AS264" s="180">
        <v>2099836</v>
      </c>
      <c r="AT264" s="180">
        <v>11344297</v>
      </c>
      <c r="AU264" s="180">
        <v>403959</v>
      </c>
      <c r="AV264" s="180">
        <v>1159486</v>
      </c>
      <c r="AW264" s="180">
        <v>33800034</v>
      </c>
      <c r="AX264" s="180">
        <v>180494</v>
      </c>
      <c r="AY264" s="180">
        <v>3346647</v>
      </c>
      <c r="AZ264" s="180">
        <v>9890346</v>
      </c>
      <c r="BA264" s="180">
        <v>529985</v>
      </c>
      <c r="BB264" s="180">
        <v>323221</v>
      </c>
      <c r="BC264" s="180">
        <v>3479032</v>
      </c>
      <c r="BD264" s="180">
        <v>216040</v>
      </c>
      <c r="BE264" s="180">
        <v>15628888</v>
      </c>
      <c r="BF264" s="180">
        <v>2946430</v>
      </c>
      <c r="BG264" s="180">
        <v>900870</v>
      </c>
      <c r="BH264" s="180">
        <v>499588</v>
      </c>
      <c r="BI264" s="180">
        <v>1596554</v>
      </c>
      <c r="BJ264" s="180">
        <v>3578630</v>
      </c>
      <c r="BK264" s="180">
        <v>0</v>
      </c>
      <c r="BL264" s="180">
        <v>2115669</v>
      </c>
      <c r="BM264" s="180">
        <v>895654</v>
      </c>
      <c r="BN264" s="180">
        <v>10307118</v>
      </c>
      <c r="BO264" s="180">
        <v>4790160</v>
      </c>
      <c r="BP264" s="180">
        <v>111569330</v>
      </c>
      <c r="BQ264" s="180">
        <v>53669</v>
      </c>
      <c r="BR264" s="180">
        <v>0</v>
      </c>
      <c r="BS264" s="180">
        <v>1029646</v>
      </c>
      <c r="BT264" s="180">
        <v>0</v>
      </c>
      <c r="BU264" s="180">
        <v>8130734</v>
      </c>
      <c r="BV264" s="180">
        <v>12359681</v>
      </c>
      <c r="BW264" s="180">
        <v>2310296</v>
      </c>
      <c r="BX264" s="180">
        <v>9715807</v>
      </c>
      <c r="BY264" s="180">
        <v>2390335</v>
      </c>
      <c r="BZ264" s="180">
        <v>834305</v>
      </c>
      <c r="CA264" s="180">
        <v>5685972</v>
      </c>
      <c r="CB264" s="180">
        <v>753620</v>
      </c>
      <c r="CC264" s="180">
        <v>390307</v>
      </c>
      <c r="CD264" s="180">
        <v>0</v>
      </c>
      <c r="CE264" s="180">
        <v>9128668</v>
      </c>
      <c r="CF264" s="180">
        <v>2400861</v>
      </c>
      <c r="CG264" s="180">
        <v>420586</v>
      </c>
      <c r="CH264" s="180">
        <v>4198211</v>
      </c>
      <c r="CI264" s="180">
        <v>0</v>
      </c>
      <c r="CJ264" s="180">
        <v>0</v>
      </c>
    </row>
    <row r="265" spans="1:88" s="180" customFormat="1" x14ac:dyDescent="0.3">
      <c r="A265" s="155">
        <v>9006</v>
      </c>
      <c r="B265" s="568" t="s">
        <v>965</v>
      </c>
      <c r="C265" s="180" t="s">
        <v>966</v>
      </c>
      <c r="D265" s="180">
        <v>1239247</v>
      </c>
      <c r="E265" s="180">
        <v>1794576</v>
      </c>
      <c r="F265" s="180">
        <v>379175</v>
      </c>
      <c r="G265" s="180">
        <v>281768</v>
      </c>
      <c r="H265" s="180">
        <v>0</v>
      </c>
      <c r="I265" s="180">
        <v>10205555</v>
      </c>
      <c r="J265" s="180">
        <v>2847139</v>
      </c>
      <c r="K265" s="180">
        <v>17832621</v>
      </c>
      <c r="L265" s="180">
        <v>2824709</v>
      </c>
      <c r="M265" s="180">
        <v>25173604</v>
      </c>
      <c r="N265" s="180">
        <v>3415595</v>
      </c>
      <c r="O265" s="180">
        <v>286909810</v>
      </c>
      <c r="P265" s="180">
        <v>39307</v>
      </c>
      <c r="Q265" s="180">
        <v>194342</v>
      </c>
      <c r="R265" s="180">
        <v>1435998</v>
      </c>
      <c r="S265" s="180">
        <v>1194031</v>
      </c>
      <c r="T265" s="180">
        <v>1480047</v>
      </c>
      <c r="U265" s="180">
        <v>163284</v>
      </c>
      <c r="V265" s="180">
        <v>176145</v>
      </c>
      <c r="W265" s="180">
        <v>1945408</v>
      </c>
      <c r="X265" s="180">
        <v>78847224</v>
      </c>
      <c r="Y265" s="180">
        <v>842051000</v>
      </c>
      <c r="Z265" s="180">
        <v>7762348</v>
      </c>
      <c r="AA265" s="180">
        <v>281437</v>
      </c>
      <c r="AB265" s="180">
        <v>4907659</v>
      </c>
      <c r="AC265" s="180">
        <v>0</v>
      </c>
      <c r="AD265" s="180">
        <v>4724229</v>
      </c>
      <c r="AE265" s="180">
        <v>721186</v>
      </c>
      <c r="AF265" s="180">
        <v>37252317</v>
      </c>
      <c r="AG265" s="180">
        <v>6986402</v>
      </c>
      <c r="AH265" s="180">
        <v>1471953</v>
      </c>
      <c r="AI265" s="180">
        <v>11046844</v>
      </c>
      <c r="AJ265" s="180">
        <v>1365121</v>
      </c>
      <c r="AK265" s="180">
        <v>1733305</v>
      </c>
      <c r="AL265" s="180">
        <v>547584</v>
      </c>
      <c r="AM265" s="180">
        <v>0</v>
      </c>
      <c r="AN265" s="180">
        <v>613240</v>
      </c>
      <c r="AO265" s="180">
        <v>0</v>
      </c>
      <c r="AP265" s="180">
        <v>25767</v>
      </c>
      <c r="AQ265" s="180">
        <v>141788192</v>
      </c>
      <c r="AR265" s="180">
        <v>203956</v>
      </c>
      <c r="AS265" s="180">
        <v>540619</v>
      </c>
      <c r="AT265" s="180">
        <v>13145502</v>
      </c>
      <c r="AU265" s="180">
        <v>759535</v>
      </c>
      <c r="AV265" s="180">
        <v>541789</v>
      </c>
      <c r="AW265" s="180">
        <v>31822101</v>
      </c>
      <c r="AX265" s="180">
        <v>261156</v>
      </c>
      <c r="AY265" s="180">
        <v>8842247</v>
      </c>
      <c r="AZ265" s="180">
        <v>4648099</v>
      </c>
      <c r="BA265" s="180">
        <v>164536</v>
      </c>
      <c r="BB265" s="180">
        <v>128997</v>
      </c>
      <c r="BC265" s="180">
        <v>4508356</v>
      </c>
      <c r="BD265" s="180">
        <v>59433</v>
      </c>
      <c r="BE265" s="180">
        <v>18066336</v>
      </c>
      <c r="BF265" s="180">
        <v>1668178</v>
      </c>
      <c r="BG265" s="180">
        <v>190687</v>
      </c>
      <c r="BH265" s="180">
        <v>558948</v>
      </c>
      <c r="BI265" s="180">
        <v>2235931</v>
      </c>
      <c r="BJ265" s="180">
        <v>244570</v>
      </c>
      <c r="BK265" s="180">
        <v>0</v>
      </c>
      <c r="BL265" s="180">
        <v>2518749</v>
      </c>
      <c r="BM265" s="180">
        <v>523980</v>
      </c>
      <c r="BN265" s="180">
        <v>17462854</v>
      </c>
      <c r="BO265" s="180">
        <v>13190789</v>
      </c>
      <c r="BP265" s="180">
        <v>253499737</v>
      </c>
      <c r="BQ265" s="180">
        <v>95233</v>
      </c>
      <c r="BR265" s="180">
        <v>0</v>
      </c>
      <c r="BS265" s="180">
        <v>385854</v>
      </c>
      <c r="BT265" s="180">
        <v>0</v>
      </c>
      <c r="BU265" s="180">
        <v>2252911</v>
      </c>
      <c r="BV265" s="180">
        <v>16782841</v>
      </c>
      <c r="BW265" s="180">
        <v>8260281</v>
      </c>
      <c r="BX265" s="180">
        <v>22309329</v>
      </c>
      <c r="BY265" s="180">
        <v>4168736</v>
      </c>
      <c r="BZ265" s="180">
        <v>355529</v>
      </c>
      <c r="CA265" s="180">
        <v>8159064</v>
      </c>
      <c r="CB265" s="180">
        <v>318404</v>
      </c>
      <c r="CC265" s="180">
        <v>837569</v>
      </c>
      <c r="CD265" s="180">
        <v>0</v>
      </c>
      <c r="CE265" s="180">
        <v>8500928</v>
      </c>
      <c r="CF265" s="180">
        <v>12058232</v>
      </c>
      <c r="CG265" s="180">
        <v>1325530</v>
      </c>
      <c r="CH265" s="180">
        <v>3384063</v>
      </c>
      <c r="CI265" s="180">
        <v>0</v>
      </c>
      <c r="CJ265" s="180">
        <v>0</v>
      </c>
    </row>
    <row r="266" spans="1:88" s="180" customFormat="1" x14ac:dyDescent="0.3">
      <c r="A266" s="155">
        <v>9007</v>
      </c>
      <c r="B266" s="568" t="s">
        <v>1533</v>
      </c>
      <c r="C266" s="568" t="s">
        <v>967</v>
      </c>
      <c r="D266" s="180">
        <v>2.9698000000000002</v>
      </c>
      <c r="E266" s="180">
        <v>1.6328</v>
      </c>
      <c r="F266" s="180">
        <v>2.6503999999999999</v>
      </c>
      <c r="G266" s="180">
        <v>2.1335999999999999</v>
      </c>
      <c r="H266" s="180">
        <v>0</v>
      </c>
      <c r="I266" s="180">
        <v>0.4017</v>
      </c>
      <c r="J266" s="180">
        <v>0.70150000000000001</v>
      </c>
      <c r="K266" s="180">
        <v>0.58040000000000003</v>
      </c>
      <c r="L266" s="180">
        <v>2.4228999999999998</v>
      </c>
      <c r="M266" s="180">
        <v>0.58840000000000003</v>
      </c>
      <c r="N266" s="180">
        <v>0.66200000000000003</v>
      </c>
      <c r="O266" s="180">
        <v>0.28439999999999999</v>
      </c>
      <c r="P266" s="180">
        <v>2.0667</v>
      </c>
      <c r="Q266" s="180">
        <v>1.7041999999999999</v>
      </c>
      <c r="R266" s="180">
        <v>0.87370000000000003</v>
      </c>
      <c r="S266" s="180">
        <v>1.0366</v>
      </c>
      <c r="T266" s="180">
        <v>0.85250000000000004</v>
      </c>
      <c r="U266" s="180">
        <v>3.2414000000000001</v>
      </c>
      <c r="V266" s="180">
        <v>1.9448000000000001</v>
      </c>
      <c r="W266" s="180">
        <v>1.2689999999999999</v>
      </c>
      <c r="X266" s="180">
        <v>0.42320000000000002</v>
      </c>
      <c r="Y266" s="180">
        <v>0.43619999999999998</v>
      </c>
      <c r="Z266" s="180">
        <v>0.43909999999999999</v>
      </c>
      <c r="AA266" s="180">
        <v>2.1996000000000002</v>
      </c>
      <c r="AB266" s="180">
        <v>0.83240000000000003</v>
      </c>
      <c r="AC266" s="180">
        <v>0</v>
      </c>
      <c r="AD266" s="180">
        <v>1.0330999999999999</v>
      </c>
      <c r="AE266" s="180">
        <v>3.7551000000000001</v>
      </c>
      <c r="AF266" s="180">
        <v>0.84460000000000002</v>
      </c>
      <c r="AG266" s="180">
        <v>1.6276999999999999</v>
      </c>
      <c r="AH266" s="180">
        <v>2.3241000000000001</v>
      </c>
      <c r="AI266" s="180">
        <v>0.69510000000000005</v>
      </c>
      <c r="AJ266" s="180">
        <v>1.085</v>
      </c>
      <c r="AK266" s="180">
        <v>1.0673999999999999</v>
      </c>
      <c r="AL266" s="180">
        <v>1.3568</v>
      </c>
      <c r="AM266" s="180">
        <v>0</v>
      </c>
      <c r="AN266" s="180">
        <v>1.6208</v>
      </c>
      <c r="AO266" s="180">
        <v>0</v>
      </c>
      <c r="AP266" s="180">
        <v>3.2448000000000001</v>
      </c>
      <c r="AQ266" s="180">
        <v>0.439</v>
      </c>
      <c r="AR266" s="180">
        <v>1.599</v>
      </c>
      <c r="AS266" s="180">
        <v>3.8841000000000001</v>
      </c>
      <c r="AT266" s="180">
        <v>0.86299999999999999</v>
      </c>
      <c r="AU266" s="180">
        <v>0.53190000000000004</v>
      </c>
      <c r="AV266" s="180">
        <v>2.1400999999999999</v>
      </c>
      <c r="AW266" s="180">
        <v>1.0622</v>
      </c>
      <c r="AX266" s="180">
        <v>0.69110000000000005</v>
      </c>
      <c r="AY266" s="180">
        <v>0.3785</v>
      </c>
      <c r="AZ266" s="180">
        <v>2.1278000000000001</v>
      </c>
      <c r="BA266" s="180">
        <v>3.2210999999999999</v>
      </c>
      <c r="BB266" s="180">
        <v>2.5055999999999998</v>
      </c>
      <c r="BC266" s="180">
        <v>0.77170000000000005</v>
      </c>
      <c r="BD266" s="180">
        <v>3.6349999999999998</v>
      </c>
      <c r="BE266" s="180">
        <v>0.86509999999999998</v>
      </c>
      <c r="BF266" s="180">
        <v>1.7663</v>
      </c>
      <c r="BG266" s="180">
        <v>4.7243000000000004</v>
      </c>
      <c r="BH266" s="180">
        <v>0.89380000000000004</v>
      </c>
      <c r="BI266" s="180">
        <v>0.71399999999999997</v>
      </c>
      <c r="BJ266" s="180">
        <v>14.632300000000001</v>
      </c>
      <c r="BK266" s="180">
        <v>0</v>
      </c>
      <c r="BL266" s="180">
        <v>0.84</v>
      </c>
      <c r="BM266" s="180">
        <v>1.7093</v>
      </c>
      <c r="BN266" s="180">
        <v>0.59019999999999995</v>
      </c>
      <c r="BO266" s="180">
        <v>0.36309999999999998</v>
      </c>
      <c r="BP266" s="180">
        <v>0.44009999999999999</v>
      </c>
      <c r="BQ266" s="180">
        <v>0.56359999999999999</v>
      </c>
      <c r="BR266" s="180">
        <v>0</v>
      </c>
      <c r="BS266" s="180">
        <v>2.6684999999999999</v>
      </c>
      <c r="BT266" s="180">
        <v>0</v>
      </c>
      <c r="BU266" s="180">
        <v>3.609</v>
      </c>
      <c r="BV266" s="180">
        <v>0.73640000000000005</v>
      </c>
      <c r="BW266" s="180">
        <v>0.2797</v>
      </c>
      <c r="BX266" s="180">
        <v>0.4355</v>
      </c>
      <c r="BY266" s="180">
        <v>0.57340000000000002</v>
      </c>
      <c r="BZ266" s="180">
        <v>2.3466999999999998</v>
      </c>
      <c r="CA266" s="180">
        <v>0.69689999999999996</v>
      </c>
      <c r="CB266" s="180">
        <v>2.3668999999999998</v>
      </c>
      <c r="CC266" s="180">
        <v>0.46600000000000003</v>
      </c>
      <c r="CD266" s="180">
        <v>0</v>
      </c>
      <c r="CE266" s="180">
        <v>1.0738000000000001</v>
      </c>
      <c r="CF266" s="180">
        <v>0.1991</v>
      </c>
      <c r="CG266" s="180">
        <v>0.31730000000000003</v>
      </c>
      <c r="CH266" s="180">
        <v>1.2405999999999999</v>
      </c>
      <c r="CI266" s="180">
        <v>0</v>
      </c>
      <c r="CJ266" s="180">
        <v>0</v>
      </c>
    </row>
    <row r="267" spans="1:88" s="180" customFormat="1" x14ac:dyDescent="0.3">
      <c r="A267" s="155">
        <v>9008</v>
      </c>
      <c r="B267" s="568" t="s">
        <v>968</v>
      </c>
      <c r="C267" s="568" t="s">
        <v>349</v>
      </c>
      <c r="D267" s="180">
        <v>0</v>
      </c>
      <c r="E267" s="180">
        <v>0</v>
      </c>
      <c r="F267" s="180">
        <v>0</v>
      </c>
      <c r="G267" s="180">
        <v>0</v>
      </c>
      <c r="H267" s="180">
        <v>0</v>
      </c>
      <c r="I267" s="180">
        <v>0</v>
      </c>
      <c r="J267" s="180">
        <v>0</v>
      </c>
      <c r="K267" s="180">
        <v>0</v>
      </c>
      <c r="L267" s="180">
        <v>0</v>
      </c>
      <c r="M267" s="180">
        <v>0</v>
      </c>
      <c r="N267" s="180">
        <v>0</v>
      </c>
      <c r="O267" s="180">
        <v>0</v>
      </c>
      <c r="P267" s="180">
        <v>0</v>
      </c>
      <c r="Q267" s="180">
        <v>0</v>
      </c>
      <c r="R267" s="180">
        <v>0</v>
      </c>
      <c r="S267" s="180">
        <v>0</v>
      </c>
      <c r="T267" s="180">
        <v>0</v>
      </c>
      <c r="U267" s="180">
        <v>0</v>
      </c>
      <c r="V267" s="180">
        <v>0</v>
      </c>
      <c r="W267" s="180">
        <v>0</v>
      </c>
      <c r="X267" s="180">
        <v>0</v>
      </c>
      <c r="Y267" s="180">
        <v>0</v>
      </c>
      <c r="Z267" s="180">
        <v>0</v>
      </c>
      <c r="AA267" s="180">
        <v>0</v>
      </c>
      <c r="AB267" s="180">
        <v>0</v>
      </c>
      <c r="AC267" s="180">
        <v>0</v>
      </c>
      <c r="AD267" s="180">
        <v>0</v>
      </c>
      <c r="AE267" s="180">
        <v>0</v>
      </c>
      <c r="AF267" s="180">
        <v>0</v>
      </c>
      <c r="AG267" s="180">
        <v>0</v>
      </c>
      <c r="AH267" s="180">
        <v>0</v>
      </c>
      <c r="AI267" s="180">
        <v>0</v>
      </c>
      <c r="AJ267" s="180">
        <v>0</v>
      </c>
      <c r="AK267" s="180">
        <v>0</v>
      </c>
      <c r="AL267" s="180">
        <v>0</v>
      </c>
      <c r="AM267" s="180">
        <v>0</v>
      </c>
      <c r="AN267" s="180">
        <v>0</v>
      </c>
      <c r="AO267" s="180">
        <v>0</v>
      </c>
      <c r="AP267" s="180">
        <v>0</v>
      </c>
      <c r="AQ267" s="180">
        <v>0</v>
      </c>
      <c r="AR267" s="180">
        <v>0</v>
      </c>
      <c r="AS267" s="180">
        <v>0</v>
      </c>
      <c r="AT267" s="180">
        <v>0</v>
      </c>
      <c r="AU267" s="180">
        <v>0</v>
      </c>
      <c r="AV267" s="570">
        <v>0</v>
      </c>
      <c r="AW267" s="180">
        <v>0</v>
      </c>
      <c r="AX267" s="180">
        <v>0</v>
      </c>
      <c r="AY267" s="180">
        <v>0</v>
      </c>
      <c r="AZ267" s="180">
        <v>0</v>
      </c>
      <c r="BA267" s="180">
        <v>0</v>
      </c>
      <c r="BB267" s="180">
        <v>0</v>
      </c>
      <c r="BC267" s="180">
        <v>0</v>
      </c>
      <c r="BD267" s="180">
        <v>0</v>
      </c>
      <c r="BE267" s="180">
        <v>0</v>
      </c>
      <c r="BF267" s="180">
        <v>0</v>
      </c>
      <c r="BG267" s="180">
        <v>0</v>
      </c>
      <c r="BH267" s="180">
        <v>0</v>
      </c>
      <c r="BI267" s="180">
        <v>0</v>
      </c>
      <c r="BJ267" s="180">
        <v>0</v>
      </c>
      <c r="BK267" s="180">
        <v>0</v>
      </c>
      <c r="BL267" s="180">
        <v>0</v>
      </c>
      <c r="BM267" s="180">
        <v>0</v>
      </c>
      <c r="BN267" s="180">
        <v>0</v>
      </c>
      <c r="BO267" s="180">
        <v>0</v>
      </c>
      <c r="BP267" s="180">
        <v>0</v>
      </c>
      <c r="BQ267" s="180">
        <v>0</v>
      </c>
      <c r="BR267" s="180">
        <v>0</v>
      </c>
      <c r="BS267" s="180">
        <v>0</v>
      </c>
      <c r="BT267" s="180">
        <v>0</v>
      </c>
      <c r="BU267" s="180">
        <v>0</v>
      </c>
      <c r="BV267" s="180">
        <v>0</v>
      </c>
      <c r="BW267" s="180">
        <v>0</v>
      </c>
      <c r="BX267" s="180">
        <v>0</v>
      </c>
      <c r="BY267" s="180">
        <v>0</v>
      </c>
      <c r="BZ267" s="180">
        <v>0</v>
      </c>
      <c r="CA267" s="180">
        <v>0</v>
      </c>
      <c r="CB267" s="180">
        <v>0</v>
      </c>
      <c r="CC267" s="180">
        <v>0</v>
      </c>
      <c r="CD267" s="180">
        <v>0</v>
      </c>
      <c r="CE267" s="180">
        <v>0</v>
      </c>
      <c r="CF267" s="180">
        <v>0</v>
      </c>
      <c r="CG267" s="180">
        <v>0</v>
      </c>
      <c r="CH267" s="180">
        <v>0</v>
      </c>
      <c r="CI267" s="180">
        <v>0</v>
      </c>
      <c r="CJ267" s="180">
        <v>0</v>
      </c>
    </row>
    <row r="268" spans="1:88" s="180" customFormat="1" x14ac:dyDescent="0.3">
      <c r="A268" s="155">
        <v>9010</v>
      </c>
      <c r="B268" s="568" t="s">
        <v>969</v>
      </c>
      <c r="C268" s="568" t="s">
        <v>970</v>
      </c>
      <c r="D268" s="180">
        <v>260.02</v>
      </c>
      <c r="E268" s="180">
        <v>0</v>
      </c>
      <c r="F268" s="180">
        <v>161.19999999999999</v>
      </c>
      <c r="G268" s="180">
        <v>9.5399999999999991</v>
      </c>
      <c r="H268" s="180">
        <v>0</v>
      </c>
      <c r="I268" s="180">
        <v>16.03</v>
      </c>
      <c r="J268" s="180">
        <v>0</v>
      </c>
      <c r="K268" s="180">
        <v>2.2799999999999998</v>
      </c>
      <c r="L268" s="180">
        <v>0</v>
      </c>
      <c r="M268" s="180">
        <v>0</v>
      </c>
      <c r="N268" s="180">
        <v>3</v>
      </c>
      <c r="O268" s="180">
        <v>15.06</v>
      </c>
      <c r="P268" s="180">
        <v>0</v>
      </c>
      <c r="Q268" s="180">
        <v>0</v>
      </c>
      <c r="R268" s="180">
        <v>0</v>
      </c>
      <c r="S268" s="180">
        <v>0</v>
      </c>
      <c r="T268" s="180">
        <v>0</v>
      </c>
      <c r="U268" s="180">
        <v>0</v>
      </c>
      <c r="V268" s="180">
        <v>41.31</v>
      </c>
      <c r="W268" s="180">
        <v>9.57</v>
      </c>
      <c r="X268" s="180">
        <v>0</v>
      </c>
      <c r="Y268" s="180">
        <v>1.22</v>
      </c>
      <c r="Z268" s="180">
        <v>5.65</v>
      </c>
      <c r="AA268" s="180">
        <v>1682.29</v>
      </c>
      <c r="AB268" s="180">
        <v>0</v>
      </c>
      <c r="AC268" s="180">
        <v>0</v>
      </c>
      <c r="AD268" s="180">
        <v>43.51</v>
      </c>
      <c r="AE268" s="180">
        <v>20.59</v>
      </c>
      <c r="AF268" s="180">
        <v>3.47</v>
      </c>
      <c r="AG268" s="180">
        <v>0</v>
      </c>
      <c r="AH268" s="180">
        <v>219.16</v>
      </c>
      <c r="AI268" s="180">
        <v>17.420000000000002</v>
      </c>
      <c r="AJ268" s="180">
        <v>15.65</v>
      </c>
      <c r="AK268" s="180">
        <v>29.08</v>
      </c>
      <c r="AL268" s="180">
        <v>2.88</v>
      </c>
      <c r="AM268" s="180">
        <v>0</v>
      </c>
      <c r="AN268" s="180">
        <v>32.659999999999997</v>
      </c>
      <c r="AO268" s="180">
        <v>0</v>
      </c>
      <c r="AP268" s="180">
        <v>0</v>
      </c>
      <c r="AQ268" s="180">
        <v>28.73</v>
      </c>
      <c r="AR268" s="180">
        <v>0</v>
      </c>
      <c r="AS268" s="180">
        <v>6.11</v>
      </c>
      <c r="AT268" s="180">
        <v>15.61</v>
      </c>
      <c r="AU268" s="180">
        <v>15.39</v>
      </c>
      <c r="AV268" s="180">
        <v>0</v>
      </c>
      <c r="AW268" s="180">
        <v>0</v>
      </c>
      <c r="AX268" s="180">
        <v>8.25</v>
      </c>
      <c r="AY268" s="180">
        <v>0</v>
      </c>
      <c r="AZ268" s="180">
        <v>0</v>
      </c>
      <c r="BA268" s="180">
        <v>26.85</v>
      </c>
      <c r="BB268" s="180">
        <v>55.38</v>
      </c>
      <c r="BC268" s="180">
        <v>7.24</v>
      </c>
      <c r="BD268" s="180">
        <v>0</v>
      </c>
      <c r="BE268" s="180">
        <v>0</v>
      </c>
      <c r="BF268" s="180">
        <v>5.72</v>
      </c>
      <c r="BG268" s="180">
        <v>0</v>
      </c>
      <c r="BH268" s="180">
        <v>0</v>
      </c>
      <c r="BI268" s="180">
        <v>10.95</v>
      </c>
      <c r="BJ268" s="180">
        <v>0</v>
      </c>
      <c r="BK268" s="180">
        <v>0</v>
      </c>
      <c r="BL268" s="180">
        <v>12.43</v>
      </c>
      <c r="BM268" s="180">
        <v>3.51</v>
      </c>
      <c r="BN268" s="180">
        <v>0</v>
      </c>
      <c r="BO268" s="180">
        <v>2.04</v>
      </c>
      <c r="BP268" s="180">
        <v>3.18</v>
      </c>
      <c r="BQ268" s="180">
        <v>0</v>
      </c>
      <c r="BR268" s="180">
        <v>0</v>
      </c>
      <c r="BS268" s="180">
        <v>20.75</v>
      </c>
      <c r="BT268" s="180">
        <v>0</v>
      </c>
      <c r="BU268" s="180">
        <v>0</v>
      </c>
      <c r="BV268" s="180">
        <v>2.14</v>
      </c>
      <c r="BW268" s="180">
        <v>25.73</v>
      </c>
      <c r="BX268" s="180">
        <v>31.03</v>
      </c>
      <c r="BY268" s="180">
        <v>9.02</v>
      </c>
      <c r="BZ268" s="180">
        <v>53.32</v>
      </c>
      <c r="CA268" s="180">
        <v>11.54</v>
      </c>
      <c r="CB268" s="180">
        <v>0</v>
      </c>
      <c r="CC268" s="180">
        <v>2.23</v>
      </c>
      <c r="CD268" s="180">
        <v>0</v>
      </c>
      <c r="CE268" s="180">
        <v>15.44</v>
      </c>
      <c r="CF268" s="180">
        <v>0</v>
      </c>
      <c r="CG268" s="180">
        <v>10.93</v>
      </c>
      <c r="CH268" s="180">
        <v>0</v>
      </c>
      <c r="CI268" s="180">
        <v>0</v>
      </c>
      <c r="CJ268" s="180">
        <v>0</v>
      </c>
    </row>
    <row r="269" spans="1:88" s="180" customFormat="1" x14ac:dyDescent="0.3">
      <c r="A269" s="155">
        <v>9011</v>
      </c>
      <c r="B269" s="554" t="s">
        <v>1664</v>
      </c>
      <c r="C269" s="554" t="s">
        <v>971</v>
      </c>
      <c r="D269" s="180">
        <v>67095</v>
      </c>
      <c r="E269" s="180">
        <v>0</v>
      </c>
      <c r="F269" s="180">
        <v>121724</v>
      </c>
      <c r="G269" s="180">
        <v>-27281</v>
      </c>
      <c r="H269" s="180">
        <v>0</v>
      </c>
      <c r="I269" s="180">
        <v>315837</v>
      </c>
      <c r="J269" s="180">
        <v>0</v>
      </c>
      <c r="K269" s="180">
        <v>2227813</v>
      </c>
      <c r="L269" s="180">
        <v>0</v>
      </c>
      <c r="M269" s="180">
        <v>0</v>
      </c>
      <c r="N269" s="180">
        <v>324741</v>
      </c>
      <c r="O269" s="180">
        <v>15595742</v>
      </c>
      <c r="P269" s="180">
        <v>0</v>
      </c>
      <c r="Q269" s="180">
        <v>0</v>
      </c>
      <c r="R269" s="180">
        <v>0</v>
      </c>
      <c r="S269" s="180">
        <v>0</v>
      </c>
      <c r="T269" s="180">
        <v>0</v>
      </c>
      <c r="U269" s="180">
        <v>0</v>
      </c>
      <c r="V269" s="180">
        <v>2466</v>
      </c>
      <c r="W269" s="180">
        <v>13290</v>
      </c>
      <c r="X269" s="180">
        <v>0</v>
      </c>
      <c r="Y269" s="180">
        <v>162192000</v>
      </c>
      <c r="Z269" s="180">
        <v>79105</v>
      </c>
      <c r="AA269" s="180">
        <v>22684</v>
      </c>
      <c r="AB269" s="180">
        <v>0</v>
      </c>
      <c r="AC269" s="180">
        <v>0</v>
      </c>
      <c r="AD269" s="180">
        <v>715761</v>
      </c>
      <c r="AE269" s="180">
        <v>226658</v>
      </c>
      <c r="AF269" s="180">
        <v>1418636</v>
      </c>
      <c r="AG269" s="180">
        <v>0</v>
      </c>
      <c r="AH269" s="180">
        <v>352324</v>
      </c>
      <c r="AI269" s="180">
        <v>309922</v>
      </c>
      <c r="AJ269" s="180">
        <v>42880</v>
      </c>
      <c r="AK269" s="180">
        <v>59699</v>
      </c>
      <c r="AL269" s="180">
        <v>127382</v>
      </c>
      <c r="AM269" s="180">
        <v>0</v>
      </c>
      <c r="AN269" s="180">
        <v>85223</v>
      </c>
      <c r="AO269" s="180">
        <v>0</v>
      </c>
      <c r="AP269" s="180">
        <v>0</v>
      </c>
      <c r="AQ269" s="180">
        <v>7651074</v>
      </c>
      <c r="AR269" s="180">
        <v>0</v>
      </c>
      <c r="AS269" s="180">
        <v>-9173</v>
      </c>
      <c r="AT269" s="180">
        <v>1682261</v>
      </c>
      <c r="AU269" s="180">
        <v>56972</v>
      </c>
      <c r="AV269" s="180">
        <v>0</v>
      </c>
      <c r="AW269" s="180">
        <v>0</v>
      </c>
      <c r="AX269" s="180">
        <v>7749</v>
      </c>
      <c r="AY269" s="180">
        <v>0</v>
      </c>
      <c r="AZ269" s="180">
        <v>0</v>
      </c>
      <c r="BA269" s="180">
        <v>39056</v>
      </c>
      <c r="BB269" s="180">
        <v>5197</v>
      </c>
      <c r="BC269" s="180">
        <v>309119</v>
      </c>
      <c r="BD269" s="180">
        <v>0</v>
      </c>
      <c r="BE269" s="180">
        <v>0</v>
      </c>
      <c r="BF269" s="180">
        <v>270398</v>
      </c>
      <c r="BG269" s="180">
        <v>0</v>
      </c>
      <c r="BH269" s="180">
        <v>0</v>
      </c>
      <c r="BI269" s="180">
        <v>41768</v>
      </c>
      <c r="BJ269" s="180">
        <v>0</v>
      </c>
      <c r="BK269" s="180">
        <v>0</v>
      </c>
      <c r="BL269" s="180">
        <v>62505</v>
      </c>
      <c r="BM269" s="180">
        <v>35713</v>
      </c>
      <c r="BN269" s="180">
        <v>0</v>
      </c>
      <c r="BO269" s="180">
        <v>890288</v>
      </c>
      <c r="BP269" s="180">
        <v>25889978</v>
      </c>
      <c r="BQ269" s="180">
        <v>0</v>
      </c>
      <c r="BR269" s="180">
        <v>0</v>
      </c>
      <c r="BS269" s="180">
        <v>71647</v>
      </c>
      <c r="BT269" s="180">
        <v>0</v>
      </c>
      <c r="BU269" s="180">
        <v>0</v>
      </c>
      <c r="BV269" s="180">
        <v>662055</v>
      </c>
      <c r="BW269" s="180">
        <v>-89296</v>
      </c>
      <c r="BX269" s="180">
        <v>2443423</v>
      </c>
      <c r="BY269" s="180">
        <v>216005</v>
      </c>
      <c r="BZ269" s="180">
        <v>35081</v>
      </c>
      <c r="CA269" s="180">
        <v>558668</v>
      </c>
      <c r="CB269" s="180">
        <v>73391</v>
      </c>
      <c r="CC269" s="180">
        <v>-1692248</v>
      </c>
      <c r="CD269" s="180">
        <v>0</v>
      </c>
      <c r="CE269" s="180">
        <v>1085716</v>
      </c>
      <c r="CF269" s="180">
        <v>0</v>
      </c>
      <c r="CG269" s="180">
        <v>59462</v>
      </c>
      <c r="CH269" s="180">
        <v>0</v>
      </c>
      <c r="CI269" s="180">
        <v>0</v>
      </c>
      <c r="CJ269" s="180">
        <v>0</v>
      </c>
    </row>
    <row r="270" spans="1:88" s="180" customFormat="1" x14ac:dyDescent="0.3">
      <c r="A270" s="155">
        <v>9012</v>
      </c>
      <c r="B270" s="568" t="s">
        <v>1665</v>
      </c>
      <c r="C270" s="568" t="s">
        <v>971</v>
      </c>
      <c r="D270" s="180">
        <v>5.5247000000000002</v>
      </c>
      <c r="E270" s="180">
        <v>0</v>
      </c>
      <c r="F270" s="180">
        <v>5.1642000000000001</v>
      </c>
      <c r="G270" s="180">
        <v>1.2863</v>
      </c>
      <c r="H270" s="180">
        <v>0</v>
      </c>
      <c r="I270" s="180">
        <v>1.6281000000000001</v>
      </c>
      <c r="J270" s="180">
        <v>0</v>
      </c>
      <c r="K270" s="180">
        <v>0.75729999999999997</v>
      </c>
      <c r="L270" s="180">
        <v>0</v>
      </c>
      <c r="M270" s="180">
        <v>0</v>
      </c>
      <c r="N270" s="180">
        <v>0.95630000000000004</v>
      </c>
      <c r="O270" s="180">
        <v>3.4386999999999999</v>
      </c>
      <c r="P270" s="180">
        <v>0</v>
      </c>
      <c r="Q270" s="180">
        <v>0</v>
      </c>
      <c r="R270" s="180">
        <v>0</v>
      </c>
      <c r="S270" s="180">
        <v>0</v>
      </c>
      <c r="T270" s="180">
        <v>0</v>
      </c>
      <c r="U270" s="180">
        <v>0</v>
      </c>
      <c r="V270" s="180">
        <v>2.7441</v>
      </c>
      <c r="W270" s="180">
        <v>2.4836</v>
      </c>
      <c r="X270" s="180">
        <v>0</v>
      </c>
      <c r="Y270" s="180">
        <v>0.9002</v>
      </c>
      <c r="Z270" s="180">
        <v>0.24660000000000001</v>
      </c>
      <c r="AA270" s="180">
        <v>4.4424000000000001</v>
      </c>
      <c r="AB270" s="180">
        <v>0</v>
      </c>
      <c r="AC270" s="180">
        <v>0</v>
      </c>
      <c r="AD270" s="180">
        <v>3.0464000000000002</v>
      </c>
      <c r="AE270" s="180">
        <v>1.9008</v>
      </c>
      <c r="AF270" s="180">
        <v>1.2565</v>
      </c>
      <c r="AG270" s="180">
        <v>0</v>
      </c>
      <c r="AH270" s="180">
        <v>7.6296999999999997</v>
      </c>
      <c r="AI270" s="180">
        <v>1.0476000000000001</v>
      </c>
      <c r="AJ270" s="180">
        <v>0.96689999999999998</v>
      </c>
      <c r="AK270" s="180">
        <v>3.5192999999999999</v>
      </c>
      <c r="AL270" s="180">
        <v>3.1032000000000002</v>
      </c>
      <c r="AM270" s="180">
        <v>0</v>
      </c>
      <c r="AN270" s="180">
        <v>4.2058999999999997</v>
      </c>
      <c r="AO270" s="180">
        <v>0</v>
      </c>
      <c r="AP270" s="180">
        <v>0</v>
      </c>
      <c r="AQ270" s="180">
        <v>2.3258999999999999</v>
      </c>
      <c r="AR270" s="180">
        <v>0</v>
      </c>
      <c r="AS270" s="180">
        <v>1.0640000000000001</v>
      </c>
      <c r="AT270" s="180">
        <v>2.5225</v>
      </c>
      <c r="AU270" s="180">
        <v>2.8142999999999998</v>
      </c>
      <c r="AV270" s="180">
        <v>0</v>
      </c>
      <c r="AW270" s="180">
        <v>0</v>
      </c>
      <c r="AX270" s="180">
        <v>0.44269999999999998</v>
      </c>
      <c r="AY270" s="180">
        <v>0</v>
      </c>
      <c r="AZ270" s="180">
        <v>0</v>
      </c>
      <c r="BA270" s="180">
        <v>1.024</v>
      </c>
      <c r="BB270" s="180">
        <v>0.56120000000000003</v>
      </c>
      <c r="BC270" s="180">
        <v>0.98319999999999996</v>
      </c>
      <c r="BD270" s="180">
        <v>0</v>
      </c>
      <c r="BE270" s="180">
        <v>0</v>
      </c>
      <c r="BF270" s="180">
        <v>0.63500000000000001</v>
      </c>
      <c r="BG270" s="180">
        <v>0</v>
      </c>
      <c r="BH270" s="180">
        <v>0</v>
      </c>
      <c r="BI270" s="180">
        <v>0.47339999999999999</v>
      </c>
      <c r="BJ270" s="180">
        <v>0</v>
      </c>
      <c r="BK270" s="180">
        <v>0</v>
      </c>
      <c r="BL270" s="180">
        <v>0.92320000000000002</v>
      </c>
      <c r="BM270" s="180">
        <v>0.96899999999999997</v>
      </c>
      <c r="BN270" s="180">
        <v>0</v>
      </c>
      <c r="BO270" s="180">
        <v>0.21129999999999999</v>
      </c>
      <c r="BP270" s="180">
        <v>0.91069999999999995</v>
      </c>
      <c r="BQ270" s="180">
        <v>0</v>
      </c>
      <c r="BR270" s="180">
        <v>0</v>
      </c>
      <c r="BS270" s="180">
        <v>1.6727000000000001</v>
      </c>
      <c r="BT270" s="180">
        <v>0</v>
      </c>
      <c r="BU270" s="180">
        <v>0</v>
      </c>
      <c r="BV270" s="180">
        <v>0.30080000000000001</v>
      </c>
      <c r="BW270" s="180">
        <v>0.23980000000000001</v>
      </c>
      <c r="BX270" s="180">
        <v>1.0270999999999999</v>
      </c>
      <c r="BY270" s="180">
        <v>1.3502000000000001</v>
      </c>
      <c r="BZ270" s="180">
        <v>0.78449999999999998</v>
      </c>
      <c r="CA270" s="180">
        <v>2.3812000000000002</v>
      </c>
      <c r="CB270" s="180">
        <v>2.2786</v>
      </c>
      <c r="CC270" s="180">
        <v>7.0999999999999994E-2</v>
      </c>
      <c r="CD270" s="180">
        <v>0</v>
      </c>
      <c r="CE270" s="180">
        <v>1.2663</v>
      </c>
      <c r="CF270" s="180">
        <v>0</v>
      </c>
      <c r="CG270" s="180">
        <v>0.42309999999999998</v>
      </c>
      <c r="CH270" s="180">
        <v>0</v>
      </c>
      <c r="CI270" s="180">
        <v>0</v>
      </c>
      <c r="CJ270" s="180">
        <v>0</v>
      </c>
    </row>
    <row r="271" spans="1:88" s="180" customFormat="1" x14ac:dyDescent="0.3">
      <c r="A271" s="155">
        <v>9013</v>
      </c>
      <c r="B271" s="568" t="s">
        <v>972</v>
      </c>
      <c r="C271" s="568" t="s">
        <v>973</v>
      </c>
      <c r="D271" s="180">
        <v>260.02</v>
      </c>
      <c r="E271" s="180">
        <v>0</v>
      </c>
      <c r="F271" s="180">
        <v>161.19999999999999</v>
      </c>
      <c r="G271" s="180">
        <v>9.5399999999999991</v>
      </c>
      <c r="H271" s="180">
        <v>0</v>
      </c>
      <c r="I271" s="180">
        <v>16.03</v>
      </c>
      <c r="J271" s="180">
        <v>0</v>
      </c>
      <c r="K271" s="180">
        <v>2.2799999999999998</v>
      </c>
      <c r="L271" s="180">
        <v>0</v>
      </c>
      <c r="M271" s="180">
        <v>0</v>
      </c>
      <c r="N271" s="180">
        <v>3</v>
      </c>
      <c r="O271" s="180">
        <v>15.06</v>
      </c>
      <c r="P271" s="180">
        <v>0</v>
      </c>
      <c r="Q271" s="180">
        <v>0</v>
      </c>
      <c r="R271" s="180">
        <v>0</v>
      </c>
      <c r="S271" s="180">
        <v>0</v>
      </c>
      <c r="T271" s="180">
        <v>0</v>
      </c>
      <c r="U271" s="180">
        <v>0</v>
      </c>
      <c r="V271" s="180">
        <v>41.31</v>
      </c>
      <c r="W271" s="180">
        <v>9.57</v>
      </c>
      <c r="X271" s="180">
        <v>0</v>
      </c>
      <c r="Y271" s="180">
        <v>1.22</v>
      </c>
      <c r="Z271" s="180">
        <v>5.65</v>
      </c>
      <c r="AA271" s="180">
        <v>1682.29</v>
      </c>
      <c r="AB271" s="180">
        <v>0</v>
      </c>
      <c r="AC271" s="180">
        <v>0</v>
      </c>
      <c r="AD271" s="180">
        <v>43.51</v>
      </c>
      <c r="AE271" s="180">
        <v>20.59</v>
      </c>
      <c r="AF271" s="180">
        <v>3.47</v>
      </c>
      <c r="AG271" s="180">
        <v>0</v>
      </c>
      <c r="AH271" s="180">
        <v>219.16</v>
      </c>
      <c r="AI271" s="180">
        <v>17.420000000000002</v>
      </c>
      <c r="AJ271" s="180">
        <v>15.65</v>
      </c>
      <c r="AK271" s="180">
        <v>29.08</v>
      </c>
      <c r="AL271" s="180">
        <v>2.88</v>
      </c>
      <c r="AM271" s="180">
        <v>0</v>
      </c>
      <c r="AN271" s="180">
        <v>32.659999999999997</v>
      </c>
      <c r="AO271" s="180">
        <v>0</v>
      </c>
      <c r="AP271" s="180">
        <v>0</v>
      </c>
      <c r="AQ271" s="180">
        <v>28.73</v>
      </c>
      <c r="AR271" s="180">
        <v>0</v>
      </c>
      <c r="AS271" s="180">
        <v>6.11</v>
      </c>
      <c r="AT271" s="180">
        <v>15.61</v>
      </c>
      <c r="AU271" s="180">
        <v>15.39</v>
      </c>
      <c r="AV271" s="180">
        <v>0</v>
      </c>
      <c r="AW271" s="180">
        <v>0</v>
      </c>
      <c r="AX271" s="180">
        <v>8.25</v>
      </c>
      <c r="AY271" s="180">
        <v>0</v>
      </c>
      <c r="AZ271" s="180">
        <v>0</v>
      </c>
      <c r="BA271" s="180">
        <v>26.85</v>
      </c>
      <c r="BB271" s="180">
        <v>55.38</v>
      </c>
      <c r="BC271" s="180">
        <v>7.24</v>
      </c>
      <c r="BD271" s="180">
        <v>0</v>
      </c>
      <c r="BE271" s="180">
        <v>0</v>
      </c>
      <c r="BF271" s="180">
        <v>5.72</v>
      </c>
      <c r="BG271" s="180">
        <v>0</v>
      </c>
      <c r="BH271" s="180">
        <v>0</v>
      </c>
      <c r="BI271" s="180">
        <v>10.95</v>
      </c>
      <c r="BJ271" s="180">
        <v>0</v>
      </c>
      <c r="BK271" s="180">
        <v>0</v>
      </c>
      <c r="BL271" s="180">
        <v>12.43</v>
      </c>
      <c r="BM271" s="180">
        <v>3.51</v>
      </c>
      <c r="BN271" s="180">
        <v>0</v>
      </c>
      <c r="BO271" s="180">
        <v>2.04</v>
      </c>
      <c r="BP271" s="180">
        <v>3.18</v>
      </c>
      <c r="BQ271" s="180">
        <v>0</v>
      </c>
      <c r="BR271" s="180">
        <v>0</v>
      </c>
      <c r="BS271" s="180">
        <v>20.75</v>
      </c>
      <c r="BT271" s="180">
        <v>0</v>
      </c>
      <c r="BU271" s="180">
        <v>0</v>
      </c>
      <c r="BV271" s="180">
        <v>2.14</v>
      </c>
      <c r="BW271" s="180">
        <v>25.73</v>
      </c>
      <c r="BX271" s="180">
        <v>31.03</v>
      </c>
      <c r="BY271" s="180">
        <v>9.02</v>
      </c>
      <c r="BZ271" s="180">
        <v>53.32</v>
      </c>
      <c r="CA271" s="180">
        <v>11.54</v>
      </c>
      <c r="CB271" s="180">
        <v>0</v>
      </c>
      <c r="CC271" s="180">
        <v>2.23</v>
      </c>
      <c r="CD271" s="180">
        <v>0</v>
      </c>
      <c r="CE271" s="180">
        <v>15.44</v>
      </c>
      <c r="CF271" s="180">
        <v>0</v>
      </c>
      <c r="CG271" s="180">
        <v>10.93</v>
      </c>
      <c r="CH271" s="180">
        <v>0</v>
      </c>
      <c r="CI271" s="180">
        <v>0</v>
      </c>
      <c r="CJ271" s="180">
        <v>0</v>
      </c>
    </row>
    <row r="272" spans="1:88" s="180" customFormat="1" x14ac:dyDescent="0.3">
      <c r="A272" s="155">
        <v>9014</v>
      </c>
      <c r="B272" s="568" t="s">
        <v>974</v>
      </c>
      <c r="C272" s="568" t="s">
        <v>975</v>
      </c>
      <c r="D272" s="180">
        <v>0</v>
      </c>
      <c r="E272" s="180">
        <v>0</v>
      </c>
      <c r="F272" s="180">
        <v>0</v>
      </c>
      <c r="G272" s="180">
        <v>0</v>
      </c>
      <c r="H272" s="180">
        <v>0</v>
      </c>
      <c r="I272" s="180">
        <v>0</v>
      </c>
      <c r="J272" s="180">
        <v>0</v>
      </c>
      <c r="K272" s="180">
        <v>0</v>
      </c>
      <c r="L272" s="180">
        <v>0</v>
      </c>
      <c r="M272" s="180">
        <v>0</v>
      </c>
      <c r="N272" s="180">
        <v>0</v>
      </c>
      <c r="O272" s="180">
        <v>0</v>
      </c>
      <c r="P272" s="180">
        <v>0</v>
      </c>
      <c r="Q272" s="180">
        <v>0</v>
      </c>
      <c r="R272" s="180">
        <v>0</v>
      </c>
      <c r="S272" s="180">
        <v>0</v>
      </c>
      <c r="T272" s="180">
        <v>0</v>
      </c>
      <c r="U272" s="180">
        <v>0</v>
      </c>
      <c r="V272" s="180">
        <v>0</v>
      </c>
      <c r="W272" s="180">
        <v>0</v>
      </c>
      <c r="X272" s="180">
        <v>0</v>
      </c>
      <c r="Y272" s="180">
        <v>0</v>
      </c>
      <c r="Z272" s="180">
        <v>12</v>
      </c>
      <c r="AA272" s="180">
        <v>0</v>
      </c>
      <c r="AB272" s="180">
        <v>0</v>
      </c>
      <c r="AC272" s="180">
        <v>0</v>
      </c>
      <c r="AD272" s="180">
        <v>0</v>
      </c>
      <c r="AE272" s="180">
        <v>0</v>
      </c>
      <c r="AF272" s="180">
        <v>1.85</v>
      </c>
      <c r="AG272" s="180">
        <v>0</v>
      </c>
      <c r="AH272" s="180">
        <v>0</v>
      </c>
      <c r="AI272" s="180">
        <v>0</v>
      </c>
      <c r="AJ272" s="180">
        <v>0</v>
      </c>
      <c r="AK272" s="180">
        <v>0</v>
      </c>
      <c r="AL272" s="180">
        <v>0</v>
      </c>
      <c r="AM272" s="180">
        <v>0</v>
      </c>
      <c r="AN272" s="180">
        <v>0</v>
      </c>
      <c r="AO272" s="180">
        <v>0</v>
      </c>
      <c r="AP272" s="180">
        <v>0</v>
      </c>
      <c r="AQ272" s="180">
        <v>14.94</v>
      </c>
      <c r="AR272" s="180">
        <v>0</v>
      </c>
      <c r="AS272" s="180">
        <v>0</v>
      </c>
      <c r="AT272" s="180">
        <v>0</v>
      </c>
      <c r="AU272" s="180">
        <v>0</v>
      </c>
      <c r="AV272" s="180">
        <v>0</v>
      </c>
      <c r="AW272" s="180">
        <v>6.7</v>
      </c>
      <c r="AX272" s="180">
        <v>0</v>
      </c>
      <c r="AY272" s="180">
        <v>0</v>
      </c>
      <c r="AZ272" s="180">
        <v>0</v>
      </c>
      <c r="BA272" s="180">
        <v>0</v>
      </c>
      <c r="BB272" s="180">
        <v>0</v>
      </c>
      <c r="BC272" s="180">
        <v>5.58</v>
      </c>
      <c r="BD272" s="180">
        <v>0</v>
      </c>
      <c r="BE272" s="180">
        <v>0</v>
      </c>
      <c r="BF272" s="180">
        <v>0</v>
      </c>
      <c r="BG272" s="180">
        <v>0</v>
      </c>
      <c r="BH272" s="180">
        <v>0</v>
      </c>
      <c r="BI272" s="180">
        <v>0</v>
      </c>
      <c r="BJ272" s="180">
        <v>0</v>
      </c>
      <c r="BK272" s="180">
        <v>0</v>
      </c>
      <c r="BL272" s="180">
        <v>20.8</v>
      </c>
      <c r="BM272" s="180">
        <v>0</v>
      </c>
      <c r="BN272" s="180">
        <v>0</v>
      </c>
      <c r="BO272" s="180">
        <v>0</v>
      </c>
      <c r="BP272" s="180">
        <v>0</v>
      </c>
      <c r="BQ272" s="180">
        <v>0</v>
      </c>
      <c r="BR272" s="180">
        <v>0</v>
      </c>
      <c r="BS272" s="180">
        <v>0</v>
      </c>
      <c r="BT272" s="180">
        <v>0</v>
      </c>
      <c r="BU272" s="180">
        <v>0</v>
      </c>
      <c r="BV272" s="180">
        <v>0</v>
      </c>
      <c r="BW272" s="180">
        <v>0.77</v>
      </c>
      <c r="BX272" s="180">
        <v>3.01</v>
      </c>
      <c r="BY272" s="180">
        <v>0</v>
      </c>
      <c r="BZ272" s="180">
        <v>0</v>
      </c>
      <c r="CA272" s="180">
        <v>0</v>
      </c>
      <c r="CB272" s="180">
        <v>0</v>
      </c>
      <c r="CC272" s="180">
        <v>0</v>
      </c>
      <c r="CD272" s="180">
        <v>0</v>
      </c>
      <c r="CE272" s="180">
        <v>0</v>
      </c>
      <c r="CF272" s="180">
        <v>0</v>
      </c>
      <c r="CG272" s="180">
        <v>18.72</v>
      </c>
      <c r="CH272" s="180">
        <v>0</v>
      </c>
      <c r="CI272" s="180">
        <v>0</v>
      </c>
      <c r="CJ272" s="180">
        <v>0</v>
      </c>
    </row>
    <row r="273" spans="1:104" s="180" customFormat="1" x14ac:dyDescent="0.3">
      <c r="A273" s="155">
        <v>9015</v>
      </c>
      <c r="B273" s="554" t="s">
        <v>1666</v>
      </c>
      <c r="C273" s="554" t="s">
        <v>349</v>
      </c>
      <c r="D273" s="180">
        <v>0</v>
      </c>
      <c r="E273" s="180">
        <v>0</v>
      </c>
      <c r="F273" s="180">
        <v>0</v>
      </c>
      <c r="G273" s="180">
        <v>0</v>
      </c>
      <c r="H273" s="180">
        <v>0</v>
      </c>
      <c r="I273" s="180">
        <v>0</v>
      </c>
      <c r="J273" s="180">
        <v>0</v>
      </c>
      <c r="K273" s="180">
        <v>0</v>
      </c>
      <c r="L273" s="180">
        <v>0</v>
      </c>
      <c r="M273" s="180">
        <v>0</v>
      </c>
      <c r="N273" s="180">
        <v>0</v>
      </c>
      <c r="O273" s="180">
        <v>0</v>
      </c>
      <c r="P273" s="180">
        <v>0</v>
      </c>
      <c r="Q273" s="180">
        <v>0</v>
      </c>
      <c r="R273" s="180">
        <v>0</v>
      </c>
      <c r="S273" s="180">
        <v>0</v>
      </c>
      <c r="T273" s="180">
        <v>0</v>
      </c>
      <c r="U273" s="180">
        <v>0</v>
      </c>
      <c r="V273" s="180">
        <v>0</v>
      </c>
      <c r="W273" s="180">
        <v>0</v>
      </c>
      <c r="X273" s="180">
        <v>0</v>
      </c>
      <c r="Y273" s="180">
        <v>0</v>
      </c>
      <c r="Z273" s="180">
        <v>456804</v>
      </c>
      <c r="AA273" s="180">
        <v>0</v>
      </c>
      <c r="AB273" s="180">
        <v>0</v>
      </c>
      <c r="AC273" s="180">
        <v>0</v>
      </c>
      <c r="AD273" s="180">
        <v>0</v>
      </c>
      <c r="AE273" s="180">
        <v>0</v>
      </c>
      <c r="AF273" s="180">
        <v>1684019</v>
      </c>
      <c r="AG273" s="180">
        <v>0</v>
      </c>
      <c r="AH273" s="180">
        <v>0</v>
      </c>
      <c r="AI273" s="180">
        <v>0</v>
      </c>
      <c r="AJ273" s="180">
        <v>0</v>
      </c>
      <c r="AK273" s="180">
        <v>0</v>
      </c>
      <c r="AL273" s="180">
        <v>0</v>
      </c>
      <c r="AM273" s="180">
        <v>0</v>
      </c>
      <c r="AN273" s="180">
        <v>0</v>
      </c>
      <c r="AO273" s="180">
        <v>0</v>
      </c>
      <c r="AP273" s="180">
        <v>0</v>
      </c>
      <c r="AQ273" s="180">
        <v>21670148</v>
      </c>
      <c r="AR273" s="180">
        <v>0</v>
      </c>
      <c r="AS273" s="180">
        <v>0</v>
      </c>
      <c r="AT273" s="180">
        <v>0</v>
      </c>
      <c r="AU273" s="180">
        <v>0</v>
      </c>
      <c r="AV273" s="180">
        <v>0</v>
      </c>
      <c r="AW273" s="180">
        <v>719933</v>
      </c>
      <c r="AX273" s="180">
        <v>0</v>
      </c>
      <c r="AY273" s="180">
        <v>0</v>
      </c>
      <c r="AZ273" s="180">
        <v>0</v>
      </c>
      <c r="BA273" s="180">
        <v>0</v>
      </c>
      <c r="BB273" s="180">
        <v>0</v>
      </c>
      <c r="BC273" s="180">
        <v>-69463</v>
      </c>
      <c r="BD273" s="180">
        <v>0</v>
      </c>
      <c r="BE273" s="180">
        <v>0</v>
      </c>
      <c r="BF273" s="180">
        <v>0</v>
      </c>
      <c r="BG273" s="180">
        <v>0</v>
      </c>
      <c r="BH273" s="180">
        <v>0</v>
      </c>
      <c r="BI273" s="180">
        <v>0</v>
      </c>
      <c r="BJ273" s="180">
        <v>0</v>
      </c>
      <c r="BK273" s="180">
        <v>0</v>
      </c>
      <c r="BL273" s="180">
        <v>159538</v>
      </c>
      <c r="BM273" s="180">
        <v>0</v>
      </c>
      <c r="BN273" s="180">
        <v>0</v>
      </c>
      <c r="BO273" s="180">
        <v>0</v>
      </c>
      <c r="BP273" s="180">
        <v>0</v>
      </c>
      <c r="BQ273" s="180">
        <v>0</v>
      </c>
      <c r="BR273" s="180">
        <v>0</v>
      </c>
      <c r="BS273" s="180">
        <v>0</v>
      </c>
      <c r="BT273" s="180">
        <v>0</v>
      </c>
      <c r="BU273" s="180">
        <v>0</v>
      </c>
      <c r="BV273" s="180">
        <v>0</v>
      </c>
      <c r="BW273" s="180">
        <v>-359560</v>
      </c>
      <c r="BX273" s="180">
        <v>550586</v>
      </c>
      <c r="BY273" s="180">
        <v>0</v>
      </c>
      <c r="BZ273" s="180">
        <v>0</v>
      </c>
      <c r="CA273" s="180">
        <v>0</v>
      </c>
      <c r="CB273" s="180">
        <v>0</v>
      </c>
      <c r="CC273" s="180">
        <v>0</v>
      </c>
      <c r="CD273" s="180">
        <v>0</v>
      </c>
      <c r="CE273" s="180">
        <v>0</v>
      </c>
      <c r="CF273" s="180">
        <v>0</v>
      </c>
      <c r="CG273" s="180">
        <v>-16637</v>
      </c>
      <c r="CH273" s="180">
        <v>0</v>
      </c>
      <c r="CI273" s="180">
        <v>0</v>
      </c>
      <c r="CJ273" s="180">
        <v>0</v>
      </c>
    </row>
    <row r="274" spans="1:104" s="180" customFormat="1" ht="43.2" x14ac:dyDescent="0.3">
      <c r="A274" s="155">
        <v>9016</v>
      </c>
      <c r="B274" s="524" t="s">
        <v>1667</v>
      </c>
      <c r="C274" s="524" t="s">
        <v>349</v>
      </c>
      <c r="D274" s="180">
        <v>0</v>
      </c>
      <c r="E274" s="180">
        <v>0</v>
      </c>
      <c r="F274" s="180">
        <v>0</v>
      </c>
      <c r="G274" s="180">
        <v>0</v>
      </c>
      <c r="H274" s="180">
        <v>0</v>
      </c>
      <c r="I274" s="180">
        <v>0</v>
      </c>
      <c r="J274" s="180">
        <v>0</v>
      </c>
      <c r="K274" s="180">
        <v>0</v>
      </c>
      <c r="L274" s="180">
        <v>0</v>
      </c>
      <c r="M274" s="180">
        <v>0</v>
      </c>
      <c r="N274" s="180">
        <v>0</v>
      </c>
      <c r="O274" s="180">
        <v>0</v>
      </c>
      <c r="P274" s="180">
        <v>0</v>
      </c>
      <c r="Q274" s="180">
        <v>0</v>
      </c>
      <c r="R274" s="180">
        <v>0</v>
      </c>
      <c r="S274" s="180">
        <v>0</v>
      </c>
      <c r="T274" s="180">
        <v>0</v>
      </c>
      <c r="U274" s="180">
        <v>0</v>
      </c>
      <c r="V274" s="180">
        <v>0</v>
      </c>
      <c r="W274" s="180">
        <v>0</v>
      </c>
      <c r="X274" s="180">
        <v>0</v>
      </c>
      <c r="Y274" s="180">
        <v>0</v>
      </c>
      <c r="Z274" s="180">
        <v>0.64419999999999999</v>
      </c>
      <c r="AA274" s="180">
        <v>0</v>
      </c>
      <c r="AB274" s="180">
        <v>0</v>
      </c>
      <c r="AC274" s="180">
        <v>0</v>
      </c>
      <c r="AD274" s="180">
        <v>0</v>
      </c>
      <c r="AE274" s="180">
        <v>0</v>
      </c>
      <c r="AF274" s="180">
        <v>0.16569999999999999</v>
      </c>
      <c r="AG274" s="180">
        <v>0</v>
      </c>
      <c r="AH274" s="180">
        <v>0</v>
      </c>
      <c r="AI274" s="180">
        <v>0</v>
      </c>
      <c r="AJ274" s="180">
        <v>0</v>
      </c>
      <c r="AK274" s="180">
        <v>0</v>
      </c>
      <c r="AL274" s="180">
        <v>0</v>
      </c>
      <c r="AM274" s="180">
        <v>0</v>
      </c>
      <c r="AN274" s="180">
        <v>0</v>
      </c>
      <c r="AO274" s="180">
        <v>0</v>
      </c>
      <c r="AP274" s="180">
        <v>0</v>
      </c>
      <c r="AQ274" s="180">
        <v>0.91839999999999999</v>
      </c>
      <c r="AR274" s="180">
        <v>0</v>
      </c>
      <c r="AS274" s="180">
        <v>0</v>
      </c>
      <c r="AT274" s="180">
        <v>0</v>
      </c>
      <c r="AU274" s="180">
        <v>0</v>
      </c>
      <c r="AV274" s="570">
        <v>0</v>
      </c>
      <c r="AW274" s="180">
        <v>0.98629999999999995</v>
      </c>
      <c r="AX274" s="180">
        <v>0</v>
      </c>
      <c r="AY274" s="180">
        <v>0</v>
      </c>
      <c r="AZ274" s="180">
        <v>0</v>
      </c>
      <c r="BA274" s="180">
        <v>0</v>
      </c>
      <c r="BB274" s="180">
        <v>0</v>
      </c>
      <c r="BC274" s="180">
        <v>0.53139999999999998</v>
      </c>
      <c r="BD274" s="180">
        <v>0</v>
      </c>
      <c r="BE274" s="180">
        <v>0</v>
      </c>
      <c r="BF274" s="180">
        <v>0</v>
      </c>
      <c r="BG274" s="180">
        <v>0</v>
      </c>
      <c r="BH274" s="180">
        <v>0</v>
      </c>
      <c r="BI274" s="180">
        <v>0</v>
      </c>
      <c r="BJ274" s="180">
        <v>0</v>
      </c>
      <c r="BK274" s="180">
        <v>0</v>
      </c>
      <c r="BL274" s="180">
        <v>1.9842</v>
      </c>
      <c r="BM274" s="180">
        <v>0</v>
      </c>
      <c r="BN274" s="180">
        <v>0</v>
      </c>
      <c r="BO274" s="180">
        <v>0</v>
      </c>
      <c r="BP274" s="180">
        <v>0</v>
      </c>
      <c r="BQ274" s="180">
        <v>0</v>
      </c>
      <c r="BR274" s="180">
        <v>0</v>
      </c>
      <c r="BS274" s="180">
        <v>0</v>
      </c>
      <c r="BT274" s="180">
        <v>0</v>
      </c>
      <c r="BU274" s="180">
        <v>0</v>
      </c>
      <c r="BV274" s="180">
        <v>0</v>
      </c>
      <c r="BW274" s="180">
        <v>0.06</v>
      </c>
      <c r="BX274" s="180">
        <v>0.15989999999999999</v>
      </c>
      <c r="BY274" s="180">
        <v>0</v>
      </c>
      <c r="BZ274" s="180">
        <v>0</v>
      </c>
      <c r="CA274" s="180">
        <v>0</v>
      </c>
      <c r="CB274" s="180">
        <v>0</v>
      </c>
      <c r="CC274" s="180">
        <v>0</v>
      </c>
      <c r="CD274" s="180">
        <v>0</v>
      </c>
      <c r="CE274" s="180">
        <v>0</v>
      </c>
      <c r="CF274" s="180">
        <v>0</v>
      </c>
      <c r="CG274" s="180">
        <v>2.9184000000000001</v>
      </c>
      <c r="CH274" s="180">
        <v>0</v>
      </c>
      <c r="CI274" s="180">
        <v>0</v>
      </c>
      <c r="CJ274" s="180">
        <v>0</v>
      </c>
    </row>
    <row r="275" spans="1:104" s="180" customFormat="1" ht="57.6" x14ac:dyDescent="0.3">
      <c r="A275" s="155">
        <v>9017</v>
      </c>
      <c r="B275" s="554" t="s">
        <v>976</v>
      </c>
      <c r="C275" s="574" t="s">
        <v>977</v>
      </c>
      <c r="D275" s="180">
        <v>0</v>
      </c>
      <c r="E275" s="180">
        <v>0</v>
      </c>
      <c r="F275" s="180">
        <v>0</v>
      </c>
      <c r="G275" s="180">
        <v>0</v>
      </c>
      <c r="H275" s="180">
        <v>0</v>
      </c>
      <c r="I275" s="180">
        <v>0</v>
      </c>
      <c r="J275" s="180">
        <v>0</v>
      </c>
      <c r="K275" s="180">
        <v>0</v>
      </c>
      <c r="L275" s="180">
        <v>0</v>
      </c>
      <c r="M275" s="180">
        <v>0</v>
      </c>
      <c r="N275" s="180">
        <v>0</v>
      </c>
      <c r="O275" s="180">
        <v>0</v>
      </c>
      <c r="P275" s="180">
        <v>0</v>
      </c>
      <c r="Q275" s="180">
        <v>0</v>
      </c>
      <c r="R275" s="180">
        <v>0</v>
      </c>
      <c r="S275" s="180">
        <v>0</v>
      </c>
      <c r="T275" s="180">
        <v>0</v>
      </c>
      <c r="U275" s="180">
        <v>0</v>
      </c>
      <c r="V275" s="180">
        <v>0</v>
      </c>
      <c r="W275" s="180">
        <v>0</v>
      </c>
      <c r="X275" s="180">
        <v>0</v>
      </c>
      <c r="Y275" s="180">
        <v>0</v>
      </c>
      <c r="Z275" s="180">
        <v>12</v>
      </c>
      <c r="AA275" s="180">
        <v>0</v>
      </c>
      <c r="AB275" s="180">
        <v>0</v>
      </c>
      <c r="AC275" s="180">
        <v>0</v>
      </c>
      <c r="AD275" s="180">
        <v>0</v>
      </c>
      <c r="AE275" s="180">
        <v>0</v>
      </c>
      <c r="AF275" s="180">
        <v>1.85</v>
      </c>
      <c r="AG275" s="180">
        <v>0</v>
      </c>
      <c r="AH275" s="180">
        <v>0</v>
      </c>
      <c r="AI275" s="180">
        <v>0</v>
      </c>
      <c r="AJ275" s="180">
        <v>0</v>
      </c>
      <c r="AK275" s="180">
        <v>0</v>
      </c>
      <c r="AL275" s="180">
        <v>0</v>
      </c>
      <c r="AM275" s="180">
        <v>0</v>
      </c>
      <c r="AN275" s="180">
        <v>0</v>
      </c>
      <c r="AO275" s="180">
        <v>0</v>
      </c>
      <c r="AP275" s="180">
        <v>0</v>
      </c>
      <c r="AQ275" s="180">
        <v>14.94</v>
      </c>
      <c r="AR275" s="180">
        <v>0</v>
      </c>
      <c r="AS275" s="180">
        <v>0</v>
      </c>
      <c r="AT275" s="180">
        <v>0</v>
      </c>
      <c r="AU275" s="180">
        <v>0</v>
      </c>
      <c r="AV275" s="570">
        <v>0</v>
      </c>
      <c r="AW275" s="180">
        <v>6.7</v>
      </c>
      <c r="AX275" s="180">
        <v>0</v>
      </c>
      <c r="AY275" s="180">
        <v>0</v>
      </c>
      <c r="AZ275" s="180">
        <v>0</v>
      </c>
      <c r="BA275" s="180">
        <v>0</v>
      </c>
      <c r="BB275" s="180">
        <v>0</v>
      </c>
      <c r="BC275" s="180">
        <v>5.58</v>
      </c>
      <c r="BD275" s="180">
        <v>0</v>
      </c>
      <c r="BE275" s="180">
        <v>0</v>
      </c>
      <c r="BF275" s="180">
        <v>0</v>
      </c>
      <c r="BG275" s="180">
        <v>0</v>
      </c>
      <c r="BH275" s="180">
        <v>0</v>
      </c>
      <c r="BI275" s="180">
        <v>0</v>
      </c>
      <c r="BJ275" s="180">
        <v>0</v>
      </c>
      <c r="BK275" s="180">
        <v>0</v>
      </c>
      <c r="BL275" s="180">
        <v>20.8</v>
      </c>
      <c r="BM275" s="180">
        <v>0</v>
      </c>
      <c r="BN275" s="180">
        <v>0</v>
      </c>
      <c r="BO275" s="180">
        <v>0</v>
      </c>
      <c r="BP275" s="180">
        <v>0</v>
      </c>
      <c r="BQ275" s="180">
        <v>0</v>
      </c>
      <c r="BR275" s="180">
        <v>0</v>
      </c>
      <c r="BS275" s="180">
        <v>0</v>
      </c>
      <c r="BT275" s="180">
        <v>0</v>
      </c>
      <c r="BU275" s="180">
        <v>0</v>
      </c>
      <c r="BV275" s="180">
        <v>0</v>
      </c>
      <c r="BW275" s="180">
        <v>0.77</v>
      </c>
      <c r="BX275" s="180">
        <v>3.01</v>
      </c>
      <c r="BY275" s="180">
        <v>0</v>
      </c>
      <c r="BZ275" s="180">
        <v>0</v>
      </c>
      <c r="CA275" s="180">
        <v>0</v>
      </c>
      <c r="CB275" s="180">
        <v>0</v>
      </c>
      <c r="CC275" s="180">
        <v>0</v>
      </c>
      <c r="CD275" s="180">
        <v>0</v>
      </c>
      <c r="CE275" s="180">
        <v>0</v>
      </c>
      <c r="CF275" s="180">
        <v>0</v>
      </c>
      <c r="CG275" s="180">
        <v>18.72</v>
      </c>
      <c r="CH275" s="180">
        <v>0</v>
      </c>
      <c r="CI275" s="180">
        <v>0</v>
      </c>
      <c r="CJ275" s="180">
        <v>0</v>
      </c>
    </row>
    <row r="276" spans="1:104" x14ac:dyDescent="0.3">
      <c r="A276" s="155">
        <v>9018</v>
      </c>
      <c r="B276" t="s">
        <v>978</v>
      </c>
      <c r="C276" t="s">
        <v>979</v>
      </c>
      <c r="D276">
        <v>15389</v>
      </c>
      <c r="E276">
        <v>176690</v>
      </c>
      <c r="F276">
        <v>10056</v>
      </c>
      <c r="G276">
        <v>51883</v>
      </c>
      <c r="H276">
        <v>0</v>
      </c>
      <c r="I276">
        <v>5364542</v>
      </c>
      <c r="J276">
        <v>117269</v>
      </c>
      <c r="K276">
        <v>2984569</v>
      </c>
      <c r="L276">
        <v>0</v>
      </c>
      <c r="M276">
        <v>17192155</v>
      </c>
      <c r="N276">
        <v>858721</v>
      </c>
      <c r="O276">
        <v>74765827</v>
      </c>
      <c r="P276">
        <v>31539</v>
      </c>
      <c r="Q276">
        <v>4658</v>
      </c>
      <c r="R276">
        <v>1256176</v>
      </c>
      <c r="S276">
        <v>380305</v>
      </c>
      <c r="T276">
        <v>310518</v>
      </c>
      <c r="U276">
        <v>12107</v>
      </c>
      <c r="V276">
        <v>63484</v>
      </c>
      <c r="W276">
        <v>53716</v>
      </c>
      <c r="X276">
        <v>21492491</v>
      </c>
      <c r="Y276">
        <v>366340000</v>
      </c>
      <c r="Z276">
        <v>316568</v>
      </c>
      <c r="AA276">
        <v>255580</v>
      </c>
      <c r="AB276">
        <v>571157</v>
      </c>
      <c r="AC276">
        <v>0</v>
      </c>
      <c r="AD276">
        <v>774859</v>
      </c>
      <c r="AE276">
        <v>92172</v>
      </c>
      <c r="AF276">
        <v>2885068</v>
      </c>
      <c r="AG276">
        <v>2689937</v>
      </c>
      <c r="AH276">
        <v>15102</v>
      </c>
      <c r="AI276">
        <v>744209</v>
      </c>
      <c r="AJ276">
        <v>37171</v>
      </c>
      <c r="AK276">
        <v>8671</v>
      </c>
      <c r="AL276">
        <v>15155</v>
      </c>
      <c r="AM276">
        <v>0</v>
      </c>
      <c r="AN276">
        <v>19340</v>
      </c>
      <c r="AO276">
        <v>0</v>
      </c>
      <c r="AP276">
        <v>1257</v>
      </c>
      <c r="AQ276">
        <v>24003904</v>
      </c>
      <c r="AR276">
        <v>0</v>
      </c>
      <c r="AS276">
        <v>410843</v>
      </c>
      <c r="AT276">
        <v>1270014</v>
      </c>
      <c r="AU276">
        <v>99473</v>
      </c>
      <c r="AV276">
        <v>2258</v>
      </c>
      <c r="AW276">
        <v>10646693</v>
      </c>
      <c r="AX276">
        <v>10479</v>
      </c>
      <c r="AY276">
        <v>728470</v>
      </c>
      <c r="AZ276">
        <v>307394</v>
      </c>
      <c r="BA276">
        <v>1362</v>
      </c>
      <c r="BB276">
        <v>3188</v>
      </c>
      <c r="BC276">
        <v>1441094</v>
      </c>
      <c r="BD276">
        <v>59203</v>
      </c>
      <c r="BE276">
        <v>3922745</v>
      </c>
      <c r="BF276">
        <v>153449</v>
      </c>
      <c r="BG276">
        <v>7895</v>
      </c>
      <c r="BH276">
        <v>23420</v>
      </c>
      <c r="BI276">
        <v>128982</v>
      </c>
      <c r="BJ276">
        <v>4242</v>
      </c>
      <c r="BK276">
        <v>0</v>
      </c>
      <c r="BL276">
        <v>2726316</v>
      </c>
      <c r="BM276">
        <v>137893</v>
      </c>
      <c r="BN276">
        <v>3363752</v>
      </c>
      <c r="BO276">
        <v>3419096</v>
      </c>
      <c r="BP276">
        <v>193143406</v>
      </c>
      <c r="BQ276">
        <v>34878</v>
      </c>
      <c r="BR276">
        <v>0</v>
      </c>
      <c r="BS276">
        <v>127056</v>
      </c>
      <c r="BT276">
        <v>0</v>
      </c>
      <c r="BU276">
        <v>95440</v>
      </c>
      <c r="BV276">
        <v>4175618</v>
      </c>
      <c r="BW276">
        <v>918990</v>
      </c>
      <c r="BX276">
        <v>7226286</v>
      </c>
      <c r="BY276">
        <v>575897</v>
      </c>
      <c r="BZ276">
        <v>22814</v>
      </c>
      <c r="CA276">
        <v>182667</v>
      </c>
      <c r="CB276">
        <v>266873</v>
      </c>
      <c r="CC276">
        <v>174452</v>
      </c>
      <c r="CD276">
        <v>0</v>
      </c>
      <c r="CE276">
        <v>4169269</v>
      </c>
      <c r="CF276">
        <v>1130716</v>
      </c>
      <c r="CG276">
        <v>36305</v>
      </c>
      <c r="CH276">
        <v>1058540</v>
      </c>
      <c r="CI276">
        <v>0</v>
      </c>
      <c r="CJ276">
        <v>0</v>
      </c>
    </row>
    <row r="277" spans="1:104" x14ac:dyDescent="0.3">
      <c r="A277" s="155">
        <v>9019</v>
      </c>
      <c r="B277" t="s">
        <v>980</v>
      </c>
      <c r="C277" t="s">
        <v>981</v>
      </c>
      <c r="D277">
        <v>15389</v>
      </c>
      <c r="E277">
        <v>176690</v>
      </c>
      <c r="F277">
        <v>10056</v>
      </c>
      <c r="G277">
        <v>51883</v>
      </c>
      <c r="H277">
        <v>0</v>
      </c>
      <c r="I277">
        <v>5364542</v>
      </c>
      <c r="J277">
        <v>117269</v>
      </c>
      <c r="K277">
        <v>2984569</v>
      </c>
      <c r="L277">
        <v>0</v>
      </c>
      <c r="M277">
        <v>17192155</v>
      </c>
      <c r="N277">
        <v>858721</v>
      </c>
      <c r="O277">
        <v>74765827</v>
      </c>
      <c r="P277">
        <v>31539</v>
      </c>
      <c r="Q277">
        <v>4658</v>
      </c>
      <c r="R277">
        <v>1256176</v>
      </c>
      <c r="S277">
        <v>380305</v>
      </c>
      <c r="T277">
        <v>310518</v>
      </c>
      <c r="U277">
        <v>12107</v>
      </c>
      <c r="V277">
        <v>63484</v>
      </c>
      <c r="W277">
        <v>53716</v>
      </c>
      <c r="X277">
        <v>21492491</v>
      </c>
      <c r="Y277">
        <v>366340000</v>
      </c>
      <c r="Z277">
        <v>316568</v>
      </c>
      <c r="AA277">
        <v>255580</v>
      </c>
      <c r="AB277">
        <v>571157</v>
      </c>
      <c r="AC277">
        <v>0</v>
      </c>
      <c r="AD277">
        <v>774859</v>
      </c>
      <c r="AE277">
        <v>92172</v>
      </c>
      <c r="AF277">
        <v>2885068</v>
      </c>
      <c r="AG277">
        <v>2689937</v>
      </c>
      <c r="AH277">
        <v>15102</v>
      </c>
      <c r="AI277">
        <v>744209</v>
      </c>
      <c r="AJ277">
        <v>37171</v>
      </c>
      <c r="AK277">
        <v>8671</v>
      </c>
      <c r="AL277">
        <v>15155</v>
      </c>
      <c r="AM277">
        <v>0</v>
      </c>
      <c r="AN277">
        <v>19340</v>
      </c>
      <c r="AO277">
        <v>0</v>
      </c>
      <c r="AP277">
        <v>1257</v>
      </c>
      <c r="AQ277">
        <v>24003904</v>
      </c>
      <c r="AR277">
        <v>0</v>
      </c>
      <c r="AS277">
        <v>410843</v>
      </c>
      <c r="AT277">
        <v>1270014</v>
      </c>
      <c r="AU277">
        <v>99473</v>
      </c>
      <c r="AV277">
        <v>2258</v>
      </c>
      <c r="AW277">
        <v>10646693</v>
      </c>
      <c r="AX277">
        <v>10479</v>
      </c>
      <c r="AY277">
        <v>728470</v>
      </c>
      <c r="AZ277">
        <v>307394</v>
      </c>
      <c r="BA277">
        <v>1362</v>
      </c>
      <c r="BB277">
        <v>3188</v>
      </c>
      <c r="BC277">
        <v>1441094</v>
      </c>
      <c r="BD277">
        <v>59203</v>
      </c>
      <c r="BE277">
        <v>3922745</v>
      </c>
      <c r="BF277">
        <v>153449</v>
      </c>
      <c r="BG277">
        <v>7895</v>
      </c>
      <c r="BH277">
        <v>23420</v>
      </c>
      <c r="BI277">
        <v>128982</v>
      </c>
      <c r="BJ277">
        <v>4242</v>
      </c>
      <c r="BK277">
        <v>0</v>
      </c>
      <c r="BL277">
        <v>2726316</v>
      </c>
      <c r="BM277">
        <v>137893</v>
      </c>
      <c r="BN277">
        <v>3363752</v>
      </c>
      <c r="BO277">
        <v>3419096</v>
      </c>
      <c r="BP277">
        <v>193143406</v>
      </c>
      <c r="BQ277">
        <v>34878</v>
      </c>
      <c r="BR277">
        <v>0</v>
      </c>
      <c r="BS277">
        <v>127056</v>
      </c>
      <c r="BT277">
        <v>0</v>
      </c>
      <c r="BU277">
        <v>95440</v>
      </c>
      <c r="BV277">
        <v>4175618</v>
      </c>
      <c r="BW277">
        <v>918990</v>
      </c>
      <c r="BX277">
        <v>7226286</v>
      </c>
      <c r="BY277">
        <v>575897</v>
      </c>
      <c r="BZ277">
        <v>22814</v>
      </c>
      <c r="CA277">
        <v>182667</v>
      </c>
      <c r="CB277">
        <v>266873</v>
      </c>
      <c r="CC277">
        <v>174452</v>
      </c>
      <c r="CD277">
        <v>0</v>
      </c>
      <c r="CE277">
        <v>4169269</v>
      </c>
      <c r="CF277">
        <v>1130716</v>
      </c>
      <c r="CG277">
        <v>36305</v>
      </c>
      <c r="CH277">
        <v>1058540</v>
      </c>
      <c r="CI277">
        <v>0</v>
      </c>
      <c r="CJ277">
        <v>0</v>
      </c>
    </row>
    <row r="278" spans="1:104" s="786" customFormat="1" ht="28.8" x14ac:dyDescent="0.3">
      <c r="A278" s="787"/>
      <c r="B278" s="786" t="s">
        <v>1872</v>
      </c>
      <c r="C278" s="926" t="s">
        <v>1670</v>
      </c>
      <c r="D278" s="786">
        <f>(D106+D135-D3-D4-D5-D8+D191)/(D132+D109+D11-D133-D108-D234)</f>
        <v>2.9698106995619113</v>
      </c>
      <c r="E278" s="786">
        <f t="shared" ref="E278:BP278" si="0">(E106+E135-E3-E4-E5-E8+E191)/(E132+E109+E11-E133-E108-E234)</f>
        <v>1.6980877301669448</v>
      </c>
      <c r="F278" s="786">
        <f t="shared" si="0"/>
        <v>2.6503751565899649</v>
      </c>
      <c r="G278" s="786">
        <f t="shared" si="0"/>
        <v>2.1768673983336533</v>
      </c>
      <c r="H278" s="786" t="e">
        <f t="shared" si="0"/>
        <v>#DIV/0!</v>
      </c>
      <c r="I278" s="786">
        <f t="shared" si="0"/>
        <v>0.40464407014214848</v>
      </c>
      <c r="J278" s="786">
        <f t="shared" si="0"/>
        <v>0.72678974438097377</v>
      </c>
      <c r="K278" s="786">
        <f t="shared" si="0"/>
        <v>0.60582128005296121</v>
      </c>
      <c r="L278" s="786">
        <f t="shared" si="0"/>
        <v>2.4571813445310569</v>
      </c>
      <c r="M278" s="786">
        <f t="shared" si="0"/>
        <v>0.5946288993506702</v>
      </c>
      <c r="N278" s="786">
        <f t="shared" si="0"/>
        <v>0.66814422113671224</v>
      </c>
      <c r="O278" s="786">
        <f t="shared" si="0"/>
        <v>0.29064593740034578</v>
      </c>
      <c r="P278" s="786">
        <f t="shared" si="0"/>
        <v>2.0666802350726332</v>
      </c>
      <c r="Q278" s="786">
        <f t="shared" si="0"/>
        <v>1.725797122594563</v>
      </c>
      <c r="R278" s="786">
        <f t="shared" si="0"/>
        <v>0.87919968662428061</v>
      </c>
      <c r="S278" s="786">
        <f t="shared" si="0"/>
        <v>1.056660551461204</v>
      </c>
      <c r="T278" s="786">
        <f t="shared" si="0"/>
        <v>0.85271952784609173</v>
      </c>
      <c r="U278" s="786">
        <f t="shared" si="0"/>
        <v>3.2413953602312535</v>
      </c>
      <c r="V278" s="786">
        <f t="shared" si="0"/>
        <v>1.9519758397675147</v>
      </c>
      <c r="W278" s="786">
        <f t="shared" si="0"/>
        <v>1.2966230418464233</v>
      </c>
      <c r="X278" s="786">
        <f t="shared" si="0"/>
        <v>0.43210042255103792</v>
      </c>
      <c r="Y278" s="786">
        <f t="shared" si="0"/>
        <v>0.43624792322555284</v>
      </c>
      <c r="Z278" s="786">
        <f t="shared" si="0"/>
        <v>0.43905877448421532</v>
      </c>
      <c r="AA278" s="786">
        <f t="shared" si="0"/>
        <v>2.1995650891673804</v>
      </c>
      <c r="AB278" s="786">
        <f t="shared" si="0"/>
        <v>0.86571091869756578</v>
      </c>
      <c r="AC278" s="786" t="e">
        <f t="shared" si="0"/>
        <v>#DIV/0!</v>
      </c>
      <c r="AD278" s="786">
        <f t="shared" si="0"/>
        <v>1.0508870255967138</v>
      </c>
      <c r="AE278" s="786">
        <f t="shared" si="0"/>
        <v>3.9067917522025337</v>
      </c>
      <c r="AF278" s="786">
        <f t="shared" si="0"/>
        <v>0.84460145123322128</v>
      </c>
      <c r="AG278" s="786">
        <f t="shared" si="0"/>
        <v>1.7322117154642185</v>
      </c>
      <c r="AH278" s="786">
        <f t="shared" si="0"/>
        <v>2.3241190445618849</v>
      </c>
      <c r="AI278" s="786">
        <f t="shared" si="0"/>
        <v>0.72152072279447255</v>
      </c>
      <c r="AJ278" s="786">
        <f t="shared" si="0"/>
        <v>1.157910002259364</v>
      </c>
      <c r="AK278" s="786">
        <f t="shared" si="0"/>
        <v>1.1304962831616161</v>
      </c>
      <c r="AL278" s="786">
        <f t="shared" si="0"/>
        <v>1.3780702698090599</v>
      </c>
      <c r="AM278" s="786" t="e">
        <f t="shared" si="0"/>
        <v>#DIV/0!</v>
      </c>
      <c r="AN278" s="786">
        <f t="shared" si="0"/>
        <v>1.6753931290697224</v>
      </c>
      <c r="AO278" s="786" t="e">
        <f t="shared" si="0"/>
        <v>#DIV/0!</v>
      </c>
      <c r="AP278" s="786">
        <f t="shared" si="0"/>
        <v>3.2448092521442153</v>
      </c>
      <c r="AQ278" s="786">
        <f t="shared" si="0"/>
        <v>0.44518951064749357</v>
      </c>
      <c r="AR278" s="786">
        <f t="shared" si="0"/>
        <v>1.6040380690062219</v>
      </c>
      <c r="AS278" s="786">
        <f t="shared" si="0"/>
        <v>4.1774562874632704</v>
      </c>
      <c r="AT278" s="786">
        <f t="shared" si="0"/>
        <v>0.8779679690936123</v>
      </c>
      <c r="AU278" s="786">
        <f t="shared" si="0"/>
        <v>0.54867096774193547</v>
      </c>
      <c r="AV278" s="786">
        <f t="shared" si="0"/>
        <v>2.1669759714131396</v>
      </c>
      <c r="AW278" s="786">
        <f t="shared" si="0"/>
        <v>1.1019029355544891</v>
      </c>
      <c r="AX278" s="786">
        <f t="shared" si="0"/>
        <v>0.82891612743229526</v>
      </c>
      <c r="AY278" s="786">
        <f t="shared" si="0"/>
        <v>0.38282071279652863</v>
      </c>
      <c r="AZ278" s="786">
        <f t="shared" si="0"/>
        <v>2.1278260209173685</v>
      </c>
      <c r="BA278" s="786">
        <f t="shared" si="0"/>
        <v>3.2210883940292701</v>
      </c>
      <c r="BB278" s="786">
        <f t="shared" si="0"/>
        <v>2.5405063390632492</v>
      </c>
      <c r="BC278" s="786">
        <f t="shared" si="0"/>
        <v>0.7896311646101416</v>
      </c>
      <c r="BD278" s="786">
        <f t="shared" si="0"/>
        <v>3.6350175828243567</v>
      </c>
      <c r="BE278" s="786">
        <f t="shared" si="0"/>
        <v>0.88538225628898393</v>
      </c>
      <c r="BF278" s="786">
        <f t="shared" si="0"/>
        <v>1.7662563587339002</v>
      </c>
      <c r="BG278" s="786">
        <f t="shared" si="0"/>
        <v>4.8294440245098826</v>
      </c>
      <c r="BH278" s="786">
        <f t="shared" si="0"/>
        <v>0.94373354188154313</v>
      </c>
      <c r="BI278" s="786">
        <f t="shared" si="0"/>
        <v>0.71811620179979518</v>
      </c>
      <c r="BJ278" s="786">
        <f t="shared" si="0"/>
        <v>14.632334301018114</v>
      </c>
      <c r="BK278" s="786" t="e">
        <f t="shared" si="0"/>
        <v>#DIV/0!</v>
      </c>
      <c r="BL278" s="786">
        <f t="shared" si="0"/>
        <v>0.89097043797879782</v>
      </c>
      <c r="BM278" s="786">
        <f t="shared" si="0"/>
        <v>1.8503298206180754</v>
      </c>
      <c r="BN278" s="786">
        <f t="shared" si="0"/>
        <v>0.59023101263974376</v>
      </c>
      <c r="BO278" s="786">
        <f t="shared" si="0"/>
        <v>0.38744728890995467</v>
      </c>
      <c r="BP278" s="786">
        <f t="shared" si="0"/>
        <v>0.45362608618474942</v>
      </c>
      <c r="BQ278" s="786">
        <f t="shared" ref="BQ278:BR278" si="1">(BQ106+BQ135-BQ3-BQ4-BQ5-BQ8+BQ191)/(BQ132+BQ109+BQ11-BQ133-BQ108-BQ234)</f>
        <v>0.58931591083781709</v>
      </c>
      <c r="BR278" s="786" t="e">
        <f t="shared" si="1"/>
        <v>#DIV/0!</v>
      </c>
      <c r="BS278" s="786">
        <f t="shared" ref="BS278:CJ278" si="2">(BS106+BS135-BS3-BS4-BS5-BS8+BS191)/(BS132+BS109+BS11-BS133-BS108-BS234)</f>
        <v>2.809755112510711</v>
      </c>
      <c r="BT278" s="786" t="e">
        <f t="shared" si="2"/>
        <v>#DIV/0!</v>
      </c>
      <c r="BU278" s="786">
        <f t="shared" si="2"/>
        <v>3.6089903240740537</v>
      </c>
      <c r="BV278" s="786">
        <f t="shared" si="2"/>
        <v>0.7458757918194866</v>
      </c>
      <c r="BW278" s="786">
        <f t="shared" si="2"/>
        <v>0.28830168015916208</v>
      </c>
      <c r="BX278" s="786">
        <f t="shared" si="2"/>
        <v>0.43907784589986648</v>
      </c>
      <c r="BY278" s="786">
        <f t="shared" si="2"/>
        <v>0.57823751296921089</v>
      </c>
      <c r="BZ278" s="786">
        <f t="shared" si="2"/>
        <v>2.3534232046193728</v>
      </c>
      <c r="CA278" s="786">
        <f t="shared" si="2"/>
        <v>0.69689023152655749</v>
      </c>
      <c r="CB278" s="786">
        <f t="shared" si="2"/>
        <v>2.7413933591362802</v>
      </c>
      <c r="CC278" s="786">
        <f t="shared" si="2"/>
        <v>0.48409570113859052</v>
      </c>
      <c r="CD278" s="786" t="e">
        <f t="shared" si="2"/>
        <v>#DIV/0!</v>
      </c>
      <c r="CE278" s="786">
        <f t="shared" si="2"/>
        <v>1.0961573538334661</v>
      </c>
      <c r="CF278" s="786">
        <f t="shared" si="2"/>
        <v>0.20206862583864177</v>
      </c>
      <c r="CG278" s="786">
        <f t="shared" si="2"/>
        <v>0.34338372408207518</v>
      </c>
      <c r="CH278" s="786">
        <f t="shared" si="2"/>
        <v>1.3065623917541944</v>
      </c>
      <c r="CI278" s="786" t="e">
        <f t="shared" si="2"/>
        <v>#DIV/0!</v>
      </c>
      <c r="CJ278" s="786" t="e">
        <f t="shared" si="2"/>
        <v>#DIV/0!</v>
      </c>
    </row>
    <row r="279" spans="1:104" s="567" customFormat="1" ht="25.2" customHeight="1" x14ac:dyDescent="0.3">
      <c r="A279" s="566" t="s">
        <v>1880</v>
      </c>
      <c r="B279" s="567" t="s">
        <v>1881</v>
      </c>
      <c r="D279" s="972">
        <f t="shared" ref="D279:AI279" si="3">1-((D123+D124+D125+D126)/(D115+D116+D117+D118))</f>
        <v>0.58009879726659275</v>
      </c>
      <c r="E279" s="972" t="e">
        <f t="shared" si="3"/>
        <v>#DIV/0!</v>
      </c>
      <c r="F279" s="972">
        <f t="shared" si="3"/>
        <v>0.63761417970351664</v>
      </c>
      <c r="G279" s="972">
        <f t="shared" si="3"/>
        <v>0.25854209235719228</v>
      </c>
      <c r="H279" s="972" t="e">
        <f t="shared" si="3"/>
        <v>#DIV/0!</v>
      </c>
      <c r="I279" s="972">
        <f t="shared" si="3"/>
        <v>0.64934827552947461</v>
      </c>
      <c r="J279" s="972" t="e">
        <f t="shared" si="3"/>
        <v>#DIV/0!</v>
      </c>
      <c r="K279" s="972">
        <f t="shared" si="3"/>
        <v>0.61613104294395815</v>
      </c>
      <c r="L279" s="972" t="e">
        <f t="shared" si="3"/>
        <v>#DIV/0!</v>
      </c>
      <c r="M279" s="972" t="e">
        <f t="shared" si="3"/>
        <v>#DIV/0!</v>
      </c>
      <c r="N279" s="972">
        <f t="shared" si="3"/>
        <v>0.56611990955809621</v>
      </c>
      <c r="O279" s="972">
        <f t="shared" si="3"/>
        <v>0.67641877552237939</v>
      </c>
      <c r="P279" s="972" t="e">
        <f t="shared" si="3"/>
        <v>#DIV/0!</v>
      </c>
      <c r="Q279" s="972" t="e">
        <f t="shared" si="3"/>
        <v>#DIV/0!</v>
      </c>
      <c r="R279" s="972" t="e">
        <f t="shared" si="3"/>
        <v>#DIV/0!</v>
      </c>
      <c r="S279" s="972" t="e">
        <f t="shared" si="3"/>
        <v>#DIV/0!</v>
      </c>
      <c r="T279" s="972" t="e">
        <f t="shared" si="3"/>
        <v>#DIV/0!</v>
      </c>
      <c r="U279" s="972" t="e">
        <f t="shared" si="3"/>
        <v>#DIV/0!</v>
      </c>
      <c r="V279" s="972">
        <f t="shared" si="3"/>
        <v>0.61930066343637924</v>
      </c>
      <c r="W279" s="972">
        <f t="shared" si="3"/>
        <v>0.66063048438491867</v>
      </c>
      <c r="X279" s="972" t="e">
        <f t="shared" si="3"/>
        <v>#DIV/0!</v>
      </c>
      <c r="Y279" s="972">
        <f t="shared" si="3"/>
        <v>0.66189934012085772</v>
      </c>
      <c r="Z279" s="972">
        <f t="shared" si="3"/>
        <v>0.5226364848340781</v>
      </c>
      <c r="AA279" s="972">
        <f t="shared" si="3"/>
        <v>0.69682555260708745</v>
      </c>
      <c r="AB279" s="972" t="e">
        <f t="shared" si="3"/>
        <v>#DIV/0!</v>
      </c>
      <c r="AC279" s="972" t="e">
        <f t="shared" si="3"/>
        <v>#DIV/0!</v>
      </c>
      <c r="AD279" s="972">
        <f t="shared" si="3"/>
        <v>0.39014461706389258</v>
      </c>
      <c r="AE279" s="972">
        <f t="shared" si="3"/>
        <v>0.57893996335272124</v>
      </c>
      <c r="AF279" s="972">
        <f t="shared" si="3"/>
        <v>0.65488629741597304</v>
      </c>
      <c r="AG279" s="972" t="e">
        <f t="shared" si="3"/>
        <v>#DIV/0!</v>
      </c>
      <c r="AH279" s="972">
        <f t="shared" si="3"/>
        <v>0.49027758992336756</v>
      </c>
      <c r="AI279" s="972">
        <f t="shared" si="3"/>
        <v>0.39370341636070505</v>
      </c>
      <c r="AJ279" s="972">
        <f t="shared" ref="AJ279:BR279" si="4">1-((AJ123+AJ124+AJ125+AJ126)/(AJ115+AJ116+AJ117+AJ118))</f>
        <v>0.59605834711613292</v>
      </c>
      <c r="AK279" s="972">
        <f t="shared" si="4"/>
        <v>0.21934434282926862</v>
      </c>
      <c r="AL279" s="972">
        <f t="shared" si="4"/>
        <v>0.51911795128571714</v>
      </c>
      <c r="AM279" s="972" t="e">
        <f t="shared" si="4"/>
        <v>#DIV/0!</v>
      </c>
      <c r="AN279" s="972">
        <f t="shared" si="4"/>
        <v>0.62358957202096277</v>
      </c>
      <c r="AO279" s="972" t="e">
        <f t="shared" si="4"/>
        <v>#DIV/0!</v>
      </c>
      <c r="AP279" s="972" t="e">
        <f t="shared" si="4"/>
        <v>#DIV/0!</v>
      </c>
      <c r="AQ279" s="972">
        <f t="shared" si="4"/>
        <v>0.53545649738043632</v>
      </c>
      <c r="AR279" s="972" t="e">
        <f t="shared" si="4"/>
        <v>#DIV/0!</v>
      </c>
      <c r="AS279" s="972">
        <f t="shared" si="4"/>
        <v>0.45291048450706006</v>
      </c>
      <c r="AT279" s="972">
        <f t="shared" si="4"/>
        <v>0.53640856733351638</v>
      </c>
      <c r="AU279" s="972">
        <f t="shared" si="4"/>
        <v>0.50794045832692647</v>
      </c>
      <c r="AV279" s="972" t="e">
        <f t="shared" si="4"/>
        <v>#DIV/0!</v>
      </c>
      <c r="AW279" s="972" t="e">
        <f t="shared" si="4"/>
        <v>#DIV/0!</v>
      </c>
      <c r="AX279" s="972">
        <f t="shared" si="4"/>
        <v>0.67069001222202329</v>
      </c>
      <c r="AY279" s="972" t="e">
        <f t="shared" si="4"/>
        <v>#DIV/0!</v>
      </c>
      <c r="AZ279" s="972" t="e">
        <f t="shared" si="4"/>
        <v>#DIV/0!</v>
      </c>
      <c r="BA279" s="972">
        <f t="shared" si="4"/>
        <v>0.59191805529202446</v>
      </c>
      <c r="BB279" s="972">
        <f t="shared" si="4"/>
        <v>0.55241446502727476</v>
      </c>
      <c r="BC279" s="972">
        <f t="shared" si="4"/>
        <v>0.47054694791171758</v>
      </c>
      <c r="BD279" s="972" t="e">
        <f t="shared" si="4"/>
        <v>#DIV/0!</v>
      </c>
      <c r="BE279" s="972" t="e">
        <f t="shared" si="4"/>
        <v>#DIV/0!</v>
      </c>
      <c r="BF279" s="972">
        <f t="shared" si="4"/>
        <v>0.51146340181956673</v>
      </c>
      <c r="BG279" s="972" t="e">
        <f t="shared" si="4"/>
        <v>#DIV/0!</v>
      </c>
      <c r="BH279" s="972" t="e">
        <f t="shared" si="4"/>
        <v>#DIV/0!</v>
      </c>
      <c r="BI279" s="972">
        <f t="shared" si="4"/>
        <v>0.630427859663242</v>
      </c>
      <c r="BJ279" s="972" t="e">
        <f t="shared" si="4"/>
        <v>#DIV/0!</v>
      </c>
      <c r="BK279" s="972" t="e">
        <f t="shared" si="4"/>
        <v>#DIV/0!</v>
      </c>
      <c r="BL279" s="972">
        <f t="shared" si="4"/>
        <v>9.7353627591642677E-2</v>
      </c>
      <c r="BM279" s="972">
        <f t="shared" si="4"/>
        <v>0.57104736530230249</v>
      </c>
      <c r="BN279" s="972" t="e">
        <f t="shared" si="4"/>
        <v>#DIV/0!</v>
      </c>
      <c r="BO279" s="972">
        <f t="shared" si="4"/>
        <v>0.51286838427703541</v>
      </c>
      <c r="BP279" s="972">
        <f t="shared" si="4"/>
        <v>0.53449677055212452</v>
      </c>
      <c r="BQ279" s="972" t="e">
        <f t="shared" si="4"/>
        <v>#DIV/0!</v>
      </c>
      <c r="BR279" s="972" t="e">
        <f t="shared" si="4"/>
        <v>#DIV/0!</v>
      </c>
      <c r="BS279" s="972">
        <f t="shared" ref="BS279:CJ279" si="5">1-((BS123+BS124+BS125+BS126)/(BS115+BS116+BS117+BS118))</f>
        <v>0.32079050701806699</v>
      </c>
      <c r="BT279" s="972" t="e">
        <f t="shared" si="5"/>
        <v>#DIV/0!</v>
      </c>
      <c r="BU279" s="972" t="e">
        <f t="shared" si="5"/>
        <v>#DIV/0!</v>
      </c>
      <c r="BV279" s="972">
        <f t="shared" si="5"/>
        <v>0.49236463437575373</v>
      </c>
      <c r="BW279" s="972">
        <f t="shared" si="5"/>
        <v>0.4155993044658729</v>
      </c>
      <c r="BX279" s="972">
        <f t="shared" si="5"/>
        <v>0.51938327186719235</v>
      </c>
      <c r="BY279" s="972">
        <f t="shared" si="5"/>
        <v>0.44683386208309994</v>
      </c>
      <c r="BZ279" s="972">
        <f t="shared" si="5"/>
        <v>0.41221186101621887</v>
      </c>
      <c r="CA279" s="972">
        <f t="shared" si="5"/>
        <v>0.51578604309675224</v>
      </c>
      <c r="CB279" s="972">
        <f t="shared" si="5"/>
        <v>0.56867442250991551</v>
      </c>
      <c r="CC279" s="972">
        <f t="shared" si="5"/>
        <v>0.69474480111584025</v>
      </c>
      <c r="CD279" s="972" t="e">
        <f t="shared" si="5"/>
        <v>#DIV/0!</v>
      </c>
      <c r="CE279" s="972">
        <f t="shared" si="5"/>
        <v>0.58020666292547896</v>
      </c>
      <c r="CF279" s="972" t="e">
        <f t="shared" si="5"/>
        <v>#DIV/0!</v>
      </c>
      <c r="CG279" s="972">
        <f t="shared" si="5"/>
        <v>0.41658094895574338</v>
      </c>
      <c r="CH279" s="972" t="e">
        <f t="shared" si="5"/>
        <v>#DIV/0!</v>
      </c>
      <c r="CI279" s="972" t="e">
        <f t="shared" si="5"/>
        <v>#DIV/0!</v>
      </c>
      <c r="CJ279" s="972" t="e">
        <f t="shared" si="5"/>
        <v>#DIV/0!</v>
      </c>
    </row>
    <row r="280" spans="1:104" s="180" customFormat="1" x14ac:dyDescent="0.3">
      <c r="A280" s="155"/>
    </row>
    <row r="281" spans="1:104" s="180" customFormat="1" x14ac:dyDescent="0.3">
      <c r="A281" s="155"/>
    </row>
    <row r="282" spans="1:104" s="180" customFormat="1" hidden="1" x14ac:dyDescent="0.3">
      <c r="A282" s="155"/>
    </row>
    <row r="283" spans="1:104" s="180" customFormat="1" hidden="1" x14ac:dyDescent="0.3">
      <c r="A283" s="155"/>
    </row>
    <row r="284" spans="1:104" s="180" customFormat="1" hidden="1" x14ac:dyDescent="0.3">
      <c r="A284" s="155"/>
    </row>
    <row r="285" spans="1:104" hidden="1" x14ac:dyDescent="0.3">
      <c r="A285" s="553">
        <f>A201</f>
        <v>906</v>
      </c>
      <c r="B285" s="553" t="str">
        <f t="shared" ref="B285:BM285" si="6">B201</f>
        <v>TD-Was a Unmodified Audit Opinion issued?</v>
      </c>
      <c r="C285" s="553">
        <f t="shared" si="6"/>
        <v>0</v>
      </c>
      <c r="D285" s="553">
        <f t="shared" si="6"/>
        <v>1</v>
      </c>
      <c r="E285" s="553">
        <f t="shared" si="6"/>
        <v>1</v>
      </c>
      <c r="F285" s="553">
        <f t="shared" si="6"/>
        <v>1</v>
      </c>
      <c r="G285" s="553">
        <f t="shared" si="6"/>
        <v>1</v>
      </c>
      <c r="H285" s="553">
        <f t="shared" si="6"/>
        <v>0</v>
      </c>
      <c r="I285" s="553">
        <f t="shared" si="6"/>
        <v>1</v>
      </c>
      <c r="J285" s="553">
        <f t="shared" si="6"/>
        <v>1</v>
      </c>
      <c r="K285" s="553">
        <f t="shared" si="6"/>
        <v>1</v>
      </c>
      <c r="L285" s="553">
        <f t="shared" si="6"/>
        <v>1</v>
      </c>
      <c r="M285" s="553">
        <f t="shared" si="6"/>
        <v>1</v>
      </c>
      <c r="N285" s="553">
        <f t="shared" si="6"/>
        <v>1</v>
      </c>
      <c r="O285" s="553">
        <f t="shared" si="6"/>
        <v>1</v>
      </c>
      <c r="P285" s="553">
        <f t="shared" si="6"/>
        <v>1</v>
      </c>
      <c r="Q285" s="553">
        <f t="shared" si="6"/>
        <v>1</v>
      </c>
      <c r="R285" s="553">
        <f t="shared" si="6"/>
        <v>1</v>
      </c>
      <c r="S285" s="553">
        <f t="shared" si="6"/>
        <v>1</v>
      </c>
      <c r="T285" s="553">
        <f t="shared" si="6"/>
        <v>1</v>
      </c>
      <c r="U285" s="553">
        <f t="shared" si="6"/>
        <v>1</v>
      </c>
      <c r="V285" s="553">
        <f t="shared" si="6"/>
        <v>1</v>
      </c>
      <c r="W285" s="553">
        <f t="shared" si="6"/>
        <v>1</v>
      </c>
      <c r="X285" s="553">
        <f t="shared" si="6"/>
        <v>1</v>
      </c>
      <c r="Y285" s="553">
        <f t="shared" si="6"/>
        <v>1</v>
      </c>
      <c r="Z285" s="553">
        <f t="shared" si="6"/>
        <v>1</v>
      </c>
      <c r="AA285" s="553">
        <f t="shared" si="6"/>
        <v>1</v>
      </c>
      <c r="AB285" s="553">
        <f t="shared" si="6"/>
        <v>1</v>
      </c>
      <c r="AC285" s="553">
        <f t="shared" si="6"/>
        <v>0</v>
      </c>
      <c r="AD285" s="553">
        <f t="shared" si="6"/>
        <v>1</v>
      </c>
      <c r="AE285" s="553">
        <f t="shared" si="6"/>
        <v>1</v>
      </c>
      <c r="AF285" s="553">
        <f t="shared" si="6"/>
        <v>1</v>
      </c>
      <c r="AG285" s="553">
        <f t="shared" si="6"/>
        <v>1</v>
      </c>
      <c r="AH285" s="553">
        <f t="shared" si="6"/>
        <v>1</v>
      </c>
      <c r="AI285" s="553">
        <f t="shared" si="6"/>
        <v>1</v>
      </c>
      <c r="AJ285" s="553">
        <f t="shared" si="6"/>
        <v>1</v>
      </c>
      <c r="AK285" s="553">
        <f t="shared" si="6"/>
        <v>1</v>
      </c>
      <c r="AL285" s="553">
        <f t="shared" si="6"/>
        <v>1</v>
      </c>
      <c r="AM285" s="553">
        <f t="shared" si="6"/>
        <v>0</v>
      </c>
      <c r="AN285" s="553">
        <f t="shared" si="6"/>
        <v>1</v>
      </c>
      <c r="AO285" s="553">
        <f t="shared" si="6"/>
        <v>0</v>
      </c>
      <c r="AP285" s="553">
        <f t="shared" si="6"/>
        <v>1</v>
      </c>
      <c r="AQ285" s="553">
        <f t="shared" si="6"/>
        <v>1</v>
      </c>
      <c r="AR285" s="553">
        <f t="shared" si="6"/>
        <v>1</v>
      </c>
      <c r="AS285" s="553">
        <f t="shared" si="6"/>
        <v>1</v>
      </c>
      <c r="AT285" s="553">
        <f t="shared" si="6"/>
        <v>1</v>
      </c>
      <c r="AU285" s="553">
        <f t="shared" si="6"/>
        <v>1</v>
      </c>
      <c r="AV285" s="553">
        <f t="shared" si="6"/>
        <v>1</v>
      </c>
      <c r="AW285" s="553">
        <f t="shared" si="6"/>
        <v>1</v>
      </c>
      <c r="AX285" s="553">
        <f t="shared" si="6"/>
        <v>1</v>
      </c>
      <c r="AY285" s="553">
        <f t="shared" si="6"/>
        <v>1</v>
      </c>
      <c r="AZ285" s="553">
        <f t="shared" si="6"/>
        <v>1</v>
      </c>
      <c r="BA285" s="553">
        <f t="shared" si="6"/>
        <v>1</v>
      </c>
      <c r="BB285" s="553">
        <f t="shared" si="6"/>
        <v>1</v>
      </c>
      <c r="BC285" s="553">
        <f t="shared" si="6"/>
        <v>1</v>
      </c>
      <c r="BD285" s="553">
        <f t="shared" si="6"/>
        <v>1</v>
      </c>
      <c r="BE285" s="553">
        <f t="shared" si="6"/>
        <v>1</v>
      </c>
      <c r="BF285" s="553">
        <f t="shared" si="6"/>
        <v>1</v>
      </c>
      <c r="BG285" s="553">
        <f t="shared" si="6"/>
        <v>1</v>
      </c>
      <c r="BH285" s="553">
        <f t="shared" si="6"/>
        <v>1</v>
      </c>
      <c r="BI285" s="553">
        <f t="shared" si="6"/>
        <v>1</v>
      </c>
      <c r="BJ285" s="553">
        <f t="shared" si="6"/>
        <v>1</v>
      </c>
      <c r="BK285" s="553">
        <f t="shared" si="6"/>
        <v>0</v>
      </c>
      <c r="BL285" s="553">
        <f t="shared" si="6"/>
        <v>1</v>
      </c>
      <c r="BM285" s="553">
        <f t="shared" si="6"/>
        <v>1</v>
      </c>
      <c r="BN285" s="553">
        <f t="shared" ref="BN285:BR285" si="7">BN201</f>
        <v>1</v>
      </c>
      <c r="BO285" s="553">
        <f t="shared" si="7"/>
        <v>1</v>
      </c>
      <c r="BP285" s="553">
        <f t="shared" si="7"/>
        <v>1</v>
      </c>
      <c r="BQ285" s="553">
        <f t="shared" si="7"/>
        <v>1</v>
      </c>
      <c r="BR285" s="553">
        <f t="shared" si="7"/>
        <v>0</v>
      </c>
      <c r="BS285" s="553">
        <f t="shared" ref="BS285:CJ285" si="8">BS201</f>
        <v>1</v>
      </c>
      <c r="BT285" s="553">
        <f t="shared" si="8"/>
        <v>0</v>
      </c>
      <c r="BU285" s="553">
        <f t="shared" si="8"/>
        <v>1</v>
      </c>
      <c r="BV285" s="553">
        <f t="shared" si="8"/>
        <v>1</v>
      </c>
      <c r="BW285" s="553">
        <f t="shared" si="8"/>
        <v>1</v>
      </c>
      <c r="BX285" s="553">
        <f t="shared" si="8"/>
        <v>1</v>
      </c>
      <c r="BY285" s="553">
        <f t="shared" si="8"/>
        <v>1</v>
      </c>
      <c r="BZ285" s="553">
        <f t="shared" si="8"/>
        <v>1</v>
      </c>
      <c r="CA285" s="553">
        <f t="shared" si="8"/>
        <v>1</v>
      </c>
      <c r="CB285" s="553">
        <f t="shared" si="8"/>
        <v>1</v>
      </c>
      <c r="CC285" s="553">
        <f t="shared" si="8"/>
        <v>1</v>
      </c>
      <c r="CD285" s="553">
        <f t="shared" si="8"/>
        <v>0</v>
      </c>
      <c r="CE285" s="553">
        <f t="shared" si="8"/>
        <v>1</v>
      </c>
      <c r="CF285" s="553">
        <f t="shared" si="8"/>
        <v>1</v>
      </c>
      <c r="CG285" s="553">
        <f t="shared" si="8"/>
        <v>1</v>
      </c>
      <c r="CH285" s="553">
        <f t="shared" si="8"/>
        <v>1</v>
      </c>
      <c r="CI285" s="553">
        <f t="shared" si="8"/>
        <v>0</v>
      </c>
      <c r="CJ285" s="553">
        <f t="shared" si="8"/>
        <v>0</v>
      </c>
      <c r="CK285" s="180"/>
      <c r="CL285" s="180"/>
      <c r="CM285" s="180"/>
      <c r="CN285" s="180"/>
      <c r="CO285" s="180"/>
      <c r="CP285" s="180"/>
      <c r="CQ285" s="180"/>
      <c r="CR285" s="180"/>
      <c r="CS285" s="180"/>
      <c r="CT285" s="180"/>
      <c r="CU285" s="180"/>
      <c r="CV285" s="180"/>
      <c r="CW285" s="180"/>
      <c r="CX285" s="180"/>
      <c r="CY285" s="180"/>
      <c r="CZ285" s="180"/>
    </row>
    <row r="286" spans="1:104" hidden="1" x14ac:dyDescent="0.3">
      <c r="A286" s="553">
        <f>A202</f>
        <v>907</v>
      </c>
      <c r="B286" s="553" t="str">
        <f t="shared" ref="B286:BM286" si="9">B202</f>
        <v>TD-Was there a finding for lack of segregation of duties at this unit?</v>
      </c>
      <c r="C286" s="553">
        <f t="shared" si="9"/>
        <v>0</v>
      </c>
      <c r="D286" s="553">
        <f t="shared" si="9"/>
        <v>2</v>
      </c>
      <c r="E286" s="553">
        <f t="shared" si="9"/>
        <v>1</v>
      </c>
      <c r="F286" s="553">
        <f t="shared" si="9"/>
        <v>1</v>
      </c>
      <c r="G286" s="553">
        <f t="shared" si="9"/>
        <v>1</v>
      </c>
      <c r="H286" s="553">
        <f t="shared" si="9"/>
        <v>0</v>
      </c>
      <c r="I286" s="553">
        <f t="shared" si="9"/>
        <v>2</v>
      </c>
      <c r="J286" s="553">
        <f t="shared" si="9"/>
        <v>2</v>
      </c>
      <c r="K286" s="553">
        <f t="shared" si="9"/>
        <v>2</v>
      </c>
      <c r="L286" s="553">
        <f t="shared" si="9"/>
        <v>2</v>
      </c>
      <c r="M286" s="553">
        <f t="shared" si="9"/>
        <v>2</v>
      </c>
      <c r="N286" s="553">
        <f t="shared" si="9"/>
        <v>1</v>
      </c>
      <c r="O286" s="553">
        <f t="shared" si="9"/>
        <v>1</v>
      </c>
      <c r="P286" s="553">
        <f t="shared" si="9"/>
        <v>1</v>
      </c>
      <c r="Q286" s="553">
        <f t="shared" si="9"/>
        <v>1</v>
      </c>
      <c r="R286" s="553">
        <f t="shared" si="9"/>
        <v>1</v>
      </c>
      <c r="S286" s="553">
        <f t="shared" si="9"/>
        <v>2</v>
      </c>
      <c r="T286" s="553">
        <f t="shared" si="9"/>
        <v>2</v>
      </c>
      <c r="U286" s="553">
        <f t="shared" si="9"/>
        <v>2</v>
      </c>
      <c r="V286" s="553">
        <f t="shared" si="9"/>
        <v>1</v>
      </c>
      <c r="W286" s="553">
        <f t="shared" si="9"/>
        <v>2</v>
      </c>
      <c r="X286" s="553">
        <f t="shared" si="9"/>
        <v>2</v>
      </c>
      <c r="Y286" s="553">
        <f t="shared" si="9"/>
        <v>2</v>
      </c>
      <c r="Z286" s="553">
        <f t="shared" si="9"/>
        <v>2</v>
      </c>
      <c r="AA286" s="553">
        <f t="shared" si="9"/>
        <v>2</v>
      </c>
      <c r="AB286" s="553">
        <f t="shared" si="9"/>
        <v>2</v>
      </c>
      <c r="AC286" s="553">
        <f t="shared" si="9"/>
        <v>0</v>
      </c>
      <c r="AD286" s="553">
        <f t="shared" si="9"/>
        <v>2</v>
      </c>
      <c r="AE286" s="553">
        <f t="shared" si="9"/>
        <v>1</v>
      </c>
      <c r="AF286" s="553">
        <f t="shared" si="9"/>
        <v>2</v>
      </c>
      <c r="AG286" s="553">
        <f t="shared" si="9"/>
        <v>1</v>
      </c>
      <c r="AH286" s="553">
        <f t="shared" si="9"/>
        <v>2</v>
      </c>
      <c r="AI286" s="553">
        <f t="shared" si="9"/>
        <v>2</v>
      </c>
      <c r="AJ286" s="553">
        <f t="shared" si="9"/>
        <v>2</v>
      </c>
      <c r="AK286" s="553">
        <f t="shared" si="9"/>
        <v>1</v>
      </c>
      <c r="AL286" s="553">
        <f t="shared" si="9"/>
        <v>2</v>
      </c>
      <c r="AM286" s="553">
        <f t="shared" si="9"/>
        <v>0</v>
      </c>
      <c r="AN286" s="553">
        <f t="shared" si="9"/>
        <v>1</v>
      </c>
      <c r="AO286" s="553">
        <f t="shared" si="9"/>
        <v>0</v>
      </c>
      <c r="AP286" s="553">
        <f t="shared" si="9"/>
        <v>2</v>
      </c>
      <c r="AQ286" s="553">
        <f t="shared" si="9"/>
        <v>2</v>
      </c>
      <c r="AR286" s="553">
        <f t="shared" si="9"/>
        <v>1</v>
      </c>
      <c r="AS286" s="553">
        <f t="shared" si="9"/>
        <v>1</v>
      </c>
      <c r="AT286" s="553">
        <f t="shared" si="9"/>
        <v>2</v>
      </c>
      <c r="AU286" s="553">
        <f t="shared" si="9"/>
        <v>1</v>
      </c>
      <c r="AV286" s="553">
        <f t="shared" si="9"/>
        <v>1</v>
      </c>
      <c r="AW286" s="553">
        <f t="shared" si="9"/>
        <v>2</v>
      </c>
      <c r="AX286" s="553">
        <f t="shared" si="9"/>
        <v>1</v>
      </c>
      <c r="AY286" s="553">
        <f t="shared" si="9"/>
        <v>2</v>
      </c>
      <c r="AZ286" s="553">
        <f t="shared" si="9"/>
        <v>2</v>
      </c>
      <c r="BA286" s="553">
        <f t="shared" si="9"/>
        <v>2</v>
      </c>
      <c r="BB286" s="553">
        <f t="shared" si="9"/>
        <v>2</v>
      </c>
      <c r="BC286" s="553">
        <f t="shared" si="9"/>
        <v>2</v>
      </c>
      <c r="BD286" s="553">
        <f t="shared" si="9"/>
        <v>1</v>
      </c>
      <c r="BE286" s="553">
        <f t="shared" si="9"/>
        <v>2</v>
      </c>
      <c r="BF286" s="553">
        <f t="shared" si="9"/>
        <v>2</v>
      </c>
      <c r="BG286" s="553">
        <f t="shared" si="9"/>
        <v>1</v>
      </c>
      <c r="BH286" s="553">
        <f t="shared" si="9"/>
        <v>1</v>
      </c>
      <c r="BI286" s="553">
        <f t="shared" si="9"/>
        <v>2</v>
      </c>
      <c r="BJ286" s="553">
        <f t="shared" si="9"/>
        <v>2</v>
      </c>
      <c r="BK286" s="553">
        <f t="shared" si="9"/>
        <v>0</v>
      </c>
      <c r="BL286" s="553">
        <f t="shared" si="9"/>
        <v>2</v>
      </c>
      <c r="BM286" s="553">
        <f t="shared" si="9"/>
        <v>1</v>
      </c>
      <c r="BN286" s="553">
        <f t="shared" ref="BN286:BR286" si="10">BN202</f>
        <v>2</v>
      </c>
      <c r="BO286" s="553">
        <f t="shared" si="10"/>
        <v>2</v>
      </c>
      <c r="BP286" s="553">
        <f t="shared" si="10"/>
        <v>2</v>
      </c>
      <c r="BQ286" s="553">
        <f t="shared" si="10"/>
        <v>1</v>
      </c>
      <c r="BR286" s="553">
        <f t="shared" si="10"/>
        <v>0</v>
      </c>
      <c r="BS286" s="553">
        <f t="shared" ref="BS286:CJ286" si="11">BS202</f>
        <v>2</v>
      </c>
      <c r="BT286" s="553">
        <f t="shared" si="11"/>
        <v>0</v>
      </c>
      <c r="BU286" s="553">
        <f t="shared" si="11"/>
        <v>1</v>
      </c>
      <c r="BV286" s="553">
        <f t="shared" si="11"/>
        <v>2</v>
      </c>
      <c r="BW286" s="553">
        <f t="shared" si="11"/>
        <v>2</v>
      </c>
      <c r="BX286" s="553">
        <f t="shared" si="11"/>
        <v>2</v>
      </c>
      <c r="BY286" s="553">
        <f t="shared" si="11"/>
        <v>2</v>
      </c>
      <c r="BZ286" s="553">
        <f t="shared" si="11"/>
        <v>2</v>
      </c>
      <c r="CA286" s="553">
        <f t="shared" si="11"/>
        <v>2</v>
      </c>
      <c r="CB286" s="553">
        <f t="shared" si="11"/>
        <v>1</v>
      </c>
      <c r="CC286" s="553">
        <f t="shared" si="11"/>
        <v>1</v>
      </c>
      <c r="CD286" s="553">
        <f t="shared" si="11"/>
        <v>0</v>
      </c>
      <c r="CE286" s="553">
        <f t="shared" si="11"/>
        <v>2</v>
      </c>
      <c r="CF286" s="553">
        <f t="shared" si="11"/>
        <v>2</v>
      </c>
      <c r="CG286" s="553">
        <f t="shared" si="11"/>
        <v>2</v>
      </c>
      <c r="CH286" s="553">
        <f t="shared" si="11"/>
        <v>1</v>
      </c>
      <c r="CI286" s="553">
        <f t="shared" si="11"/>
        <v>0</v>
      </c>
      <c r="CJ286" s="553">
        <f t="shared" si="11"/>
        <v>0</v>
      </c>
      <c r="CK286" s="180"/>
      <c r="CL286" s="180"/>
      <c r="CM286" s="180"/>
      <c r="CN286" s="180"/>
      <c r="CO286" s="180"/>
      <c r="CP286" s="180"/>
      <c r="CQ286" s="180"/>
      <c r="CR286" s="180"/>
      <c r="CS286" s="180"/>
      <c r="CT286" s="180"/>
      <c r="CU286" s="180"/>
      <c r="CV286" s="180"/>
      <c r="CW286" s="180"/>
      <c r="CX286" s="180"/>
      <c r="CY286" s="180"/>
      <c r="CZ286" s="180"/>
    </row>
    <row r="287" spans="1:104" hidden="1" x14ac:dyDescent="0.3">
      <c r="A287" s="553">
        <f>A239</f>
        <v>1055</v>
      </c>
      <c r="B287" s="553" t="str">
        <f t="shared" ref="B287:BM287" si="12">B239</f>
        <v>Did your audit disclose as a finding bank reconciliations or subsidiary ledger reconciliations not performed timely? (Yes or No)</v>
      </c>
      <c r="C287" s="553">
        <f t="shared" si="12"/>
        <v>0</v>
      </c>
      <c r="D287" s="553">
        <f t="shared" si="12"/>
        <v>2</v>
      </c>
      <c r="E287" s="553">
        <f t="shared" si="12"/>
        <v>2</v>
      </c>
      <c r="F287" s="553">
        <f t="shared" si="12"/>
        <v>2</v>
      </c>
      <c r="G287" s="553">
        <f t="shared" si="12"/>
        <v>2</v>
      </c>
      <c r="H287" s="553">
        <f t="shared" si="12"/>
        <v>0</v>
      </c>
      <c r="I287" s="553">
        <f t="shared" si="12"/>
        <v>2</v>
      </c>
      <c r="J287" s="553">
        <f t="shared" si="12"/>
        <v>2</v>
      </c>
      <c r="K287" s="553">
        <f t="shared" si="12"/>
        <v>2</v>
      </c>
      <c r="L287" s="553">
        <f t="shared" si="12"/>
        <v>2</v>
      </c>
      <c r="M287" s="553">
        <f t="shared" si="12"/>
        <v>2</v>
      </c>
      <c r="N287" s="553">
        <f t="shared" si="12"/>
        <v>1</v>
      </c>
      <c r="O287" s="553">
        <f t="shared" si="12"/>
        <v>2</v>
      </c>
      <c r="P287" s="553">
        <f t="shared" si="12"/>
        <v>2</v>
      </c>
      <c r="Q287" s="553">
        <f t="shared" si="12"/>
        <v>2</v>
      </c>
      <c r="R287" s="553">
        <f t="shared" si="12"/>
        <v>2</v>
      </c>
      <c r="S287" s="553">
        <f t="shared" si="12"/>
        <v>2</v>
      </c>
      <c r="T287" s="553">
        <f t="shared" si="12"/>
        <v>2</v>
      </c>
      <c r="U287" s="553">
        <f t="shared" si="12"/>
        <v>2</v>
      </c>
      <c r="V287" s="553">
        <f t="shared" si="12"/>
        <v>2</v>
      </c>
      <c r="W287" s="553">
        <f t="shared" si="12"/>
        <v>2</v>
      </c>
      <c r="X287" s="553">
        <f t="shared" si="12"/>
        <v>2</v>
      </c>
      <c r="Y287" s="553">
        <f t="shared" si="12"/>
        <v>2</v>
      </c>
      <c r="Z287" s="553">
        <f t="shared" si="12"/>
        <v>2</v>
      </c>
      <c r="AA287" s="553">
        <f t="shared" si="12"/>
        <v>2</v>
      </c>
      <c r="AB287" s="553">
        <f t="shared" si="12"/>
        <v>2</v>
      </c>
      <c r="AC287" s="553">
        <f t="shared" si="12"/>
        <v>0</v>
      </c>
      <c r="AD287" s="553">
        <f t="shared" si="12"/>
        <v>2</v>
      </c>
      <c r="AE287" s="553">
        <f t="shared" si="12"/>
        <v>2</v>
      </c>
      <c r="AF287" s="553">
        <f t="shared" si="12"/>
        <v>2</v>
      </c>
      <c r="AG287" s="553">
        <f t="shared" si="12"/>
        <v>2</v>
      </c>
      <c r="AH287" s="553">
        <f t="shared" si="12"/>
        <v>2</v>
      </c>
      <c r="AI287" s="553">
        <f t="shared" si="12"/>
        <v>2</v>
      </c>
      <c r="AJ287" s="553">
        <f t="shared" si="12"/>
        <v>2</v>
      </c>
      <c r="AK287" s="553">
        <f t="shared" si="12"/>
        <v>2</v>
      </c>
      <c r="AL287" s="553">
        <f t="shared" si="12"/>
        <v>1</v>
      </c>
      <c r="AM287" s="553">
        <f t="shared" si="12"/>
        <v>0</v>
      </c>
      <c r="AN287" s="553">
        <f t="shared" si="12"/>
        <v>2</v>
      </c>
      <c r="AO287" s="553">
        <f t="shared" si="12"/>
        <v>0</v>
      </c>
      <c r="AP287" s="553">
        <f t="shared" si="12"/>
        <v>2</v>
      </c>
      <c r="AQ287" s="553">
        <f t="shared" si="12"/>
        <v>2</v>
      </c>
      <c r="AR287" s="553">
        <f t="shared" si="12"/>
        <v>2</v>
      </c>
      <c r="AS287" s="553">
        <f t="shared" si="12"/>
        <v>2</v>
      </c>
      <c r="AT287" s="553">
        <f t="shared" si="12"/>
        <v>2</v>
      </c>
      <c r="AU287" s="553">
        <f t="shared" si="12"/>
        <v>2</v>
      </c>
      <c r="AV287" s="553">
        <f t="shared" si="12"/>
        <v>2</v>
      </c>
      <c r="AW287" s="553">
        <f t="shared" si="12"/>
        <v>2</v>
      </c>
      <c r="AX287" s="553">
        <f t="shared" si="12"/>
        <v>1</v>
      </c>
      <c r="AY287" s="553">
        <f t="shared" si="12"/>
        <v>1</v>
      </c>
      <c r="AZ287" s="553">
        <f t="shared" si="12"/>
        <v>2</v>
      </c>
      <c r="BA287" s="553">
        <f t="shared" si="12"/>
        <v>2</v>
      </c>
      <c r="BB287" s="553">
        <f t="shared" si="12"/>
        <v>2</v>
      </c>
      <c r="BC287" s="553">
        <f t="shared" si="12"/>
        <v>2</v>
      </c>
      <c r="BD287" s="553">
        <f t="shared" si="12"/>
        <v>2</v>
      </c>
      <c r="BE287" s="553">
        <f t="shared" si="12"/>
        <v>2</v>
      </c>
      <c r="BF287" s="553">
        <f t="shared" si="12"/>
        <v>2</v>
      </c>
      <c r="BG287" s="553">
        <f t="shared" si="12"/>
        <v>2</v>
      </c>
      <c r="BH287" s="553">
        <f t="shared" si="12"/>
        <v>2</v>
      </c>
      <c r="BI287" s="553">
        <f t="shared" si="12"/>
        <v>2</v>
      </c>
      <c r="BJ287" s="553">
        <f t="shared" si="12"/>
        <v>2</v>
      </c>
      <c r="BK287" s="553">
        <f t="shared" si="12"/>
        <v>0</v>
      </c>
      <c r="BL287" s="553">
        <f t="shared" si="12"/>
        <v>2</v>
      </c>
      <c r="BM287" s="553">
        <f t="shared" si="12"/>
        <v>2</v>
      </c>
      <c r="BN287" s="553">
        <f t="shared" ref="BN287:BR287" si="13">BN239</f>
        <v>2</v>
      </c>
      <c r="BO287" s="553">
        <f t="shared" si="13"/>
        <v>2</v>
      </c>
      <c r="BP287" s="553">
        <f t="shared" si="13"/>
        <v>2</v>
      </c>
      <c r="BQ287" s="553">
        <f t="shared" si="13"/>
        <v>2</v>
      </c>
      <c r="BR287" s="553">
        <f t="shared" si="13"/>
        <v>0</v>
      </c>
      <c r="BS287" s="553">
        <f t="shared" ref="BS287:CJ287" si="14">BS239</f>
        <v>2</v>
      </c>
      <c r="BT287" s="553">
        <f t="shared" si="14"/>
        <v>0</v>
      </c>
      <c r="BU287" s="553">
        <f t="shared" si="14"/>
        <v>2</v>
      </c>
      <c r="BV287" s="553">
        <f t="shared" si="14"/>
        <v>2</v>
      </c>
      <c r="BW287" s="553">
        <f t="shared" si="14"/>
        <v>2</v>
      </c>
      <c r="BX287" s="553">
        <f t="shared" si="14"/>
        <v>2</v>
      </c>
      <c r="BY287" s="553">
        <f t="shared" si="14"/>
        <v>2</v>
      </c>
      <c r="BZ287" s="553">
        <f t="shared" si="14"/>
        <v>2</v>
      </c>
      <c r="CA287" s="553">
        <f t="shared" si="14"/>
        <v>2</v>
      </c>
      <c r="CB287" s="553">
        <f t="shared" si="14"/>
        <v>2</v>
      </c>
      <c r="CC287" s="553">
        <f t="shared" si="14"/>
        <v>1</v>
      </c>
      <c r="CD287" s="553">
        <f t="shared" si="14"/>
        <v>0</v>
      </c>
      <c r="CE287" s="553">
        <f t="shared" si="14"/>
        <v>2</v>
      </c>
      <c r="CF287" s="553">
        <f t="shared" si="14"/>
        <v>2</v>
      </c>
      <c r="CG287" s="553">
        <f t="shared" si="14"/>
        <v>2</v>
      </c>
      <c r="CH287" s="553">
        <f t="shared" si="14"/>
        <v>2</v>
      </c>
      <c r="CI287" s="553">
        <f t="shared" si="14"/>
        <v>0</v>
      </c>
      <c r="CJ287" s="553">
        <f t="shared" si="14"/>
        <v>0</v>
      </c>
      <c r="CK287" s="180"/>
      <c r="CL287" s="180"/>
      <c r="CM287" s="180"/>
      <c r="CN287" s="180"/>
      <c r="CO287" s="180"/>
      <c r="CP287" s="180"/>
      <c r="CQ287" s="180"/>
      <c r="CR287" s="180"/>
      <c r="CS287" s="180"/>
      <c r="CT287" s="180"/>
      <c r="CU287" s="180"/>
      <c r="CV287" s="180"/>
      <c r="CW287" s="180"/>
      <c r="CX287" s="180"/>
      <c r="CY287" s="180"/>
      <c r="CZ287" s="180"/>
    </row>
    <row r="288" spans="1:104" hidden="1" x14ac:dyDescent="0.3">
      <c r="A288" s="553">
        <f>A240</f>
        <v>1056</v>
      </c>
      <c r="B288" s="553" t="str">
        <f t="shared" ref="B288:BM288" si="15">B240</f>
        <v>Did your audit disclose as a finding that the unitGÇÖs records were not completed by the agreed upon time? (Yes or No)</v>
      </c>
      <c r="C288" s="553">
        <f t="shared" si="15"/>
        <v>0</v>
      </c>
      <c r="D288" s="553">
        <f t="shared" si="15"/>
        <v>2</v>
      </c>
      <c r="E288" s="553">
        <f t="shared" si="15"/>
        <v>2</v>
      </c>
      <c r="F288" s="553">
        <f t="shared" si="15"/>
        <v>2</v>
      </c>
      <c r="G288" s="553">
        <f t="shared" si="15"/>
        <v>2</v>
      </c>
      <c r="H288" s="553">
        <f t="shared" si="15"/>
        <v>0</v>
      </c>
      <c r="I288" s="553">
        <f t="shared" si="15"/>
        <v>2</v>
      </c>
      <c r="J288" s="553">
        <f t="shared" si="15"/>
        <v>2</v>
      </c>
      <c r="K288" s="553">
        <f t="shared" si="15"/>
        <v>2</v>
      </c>
      <c r="L288" s="553">
        <f t="shared" si="15"/>
        <v>2</v>
      </c>
      <c r="M288" s="553">
        <f t="shared" si="15"/>
        <v>2</v>
      </c>
      <c r="N288" s="553">
        <f t="shared" si="15"/>
        <v>1</v>
      </c>
      <c r="O288" s="553">
        <f t="shared" si="15"/>
        <v>2</v>
      </c>
      <c r="P288" s="553">
        <f t="shared" si="15"/>
        <v>2</v>
      </c>
      <c r="Q288" s="553">
        <f t="shared" si="15"/>
        <v>2</v>
      </c>
      <c r="R288" s="553">
        <f t="shared" si="15"/>
        <v>2</v>
      </c>
      <c r="S288" s="553">
        <f t="shared" si="15"/>
        <v>2</v>
      </c>
      <c r="T288" s="553">
        <f t="shared" si="15"/>
        <v>2</v>
      </c>
      <c r="U288" s="553">
        <f t="shared" si="15"/>
        <v>2</v>
      </c>
      <c r="V288" s="553">
        <f t="shared" si="15"/>
        <v>2</v>
      </c>
      <c r="W288" s="553">
        <f t="shared" si="15"/>
        <v>2</v>
      </c>
      <c r="X288" s="553">
        <f t="shared" si="15"/>
        <v>2</v>
      </c>
      <c r="Y288" s="553">
        <f t="shared" si="15"/>
        <v>2</v>
      </c>
      <c r="Z288" s="553">
        <f t="shared" si="15"/>
        <v>2</v>
      </c>
      <c r="AA288" s="553">
        <f t="shared" si="15"/>
        <v>2</v>
      </c>
      <c r="AB288" s="553">
        <f t="shared" si="15"/>
        <v>2</v>
      </c>
      <c r="AC288" s="553">
        <f t="shared" si="15"/>
        <v>0</v>
      </c>
      <c r="AD288" s="553">
        <f t="shared" si="15"/>
        <v>2</v>
      </c>
      <c r="AE288" s="553">
        <f t="shared" si="15"/>
        <v>2</v>
      </c>
      <c r="AF288" s="553">
        <f t="shared" si="15"/>
        <v>2</v>
      </c>
      <c r="AG288" s="553">
        <f t="shared" si="15"/>
        <v>2</v>
      </c>
      <c r="AH288" s="553">
        <f t="shared" si="15"/>
        <v>2</v>
      </c>
      <c r="AI288" s="553">
        <f t="shared" si="15"/>
        <v>2</v>
      </c>
      <c r="AJ288" s="553">
        <f t="shared" si="15"/>
        <v>2</v>
      </c>
      <c r="AK288" s="553">
        <f t="shared" si="15"/>
        <v>2</v>
      </c>
      <c r="AL288" s="553">
        <f t="shared" si="15"/>
        <v>1</v>
      </c>
      <c r="AM288" s="553">
        <f t="shared" si="15"/>
        <v>0</v>
      </c>
      <c r="AN288" s="553">
        <f t="shared" si="15"/>
        <v>2</v>
      </c>
      <c r="AO288" s="553">
        <f t="shared" si="15"/>
        <v>0</v>
      </c>
      <c r="AP288" s="553">
        <f t="shared" si="15"/>
        <v>2</v>
      </c>
      <c r="AQ288" s="553">
        <f t="shared" si="15"/>
        <v>2</v>
      </c>
      <c r="AR288" s="553">
        <f t="shared" si="15"/>
        <v>1</v>
      </c>
      <c r="AS288" s="553">
        <f t="shared" si="15"/>
        <v>2</v>
      </c>
      <c r="AT288" s="553">
        <f t="shared" si="15"/>
        <v>2</v>
      </c>
      <c r="AU288" s="553">
        <f t="shared" si="15"/>
        <v>1</v>
      </c>
      <c r="AV288" s="553">
        <f t="shared" si="15"/>
        <v>1</v>
      </c>
      <c r="AW288" s="553">
        <f t="shared" si="15"/>
        <v>2</v>
      </c>
      <c r="AX288" s="553">
        <f t="shared" si="15"/>
        <v>1</v>
      </c>
      <c r="AY288" s="553">
        <f t="shared" si="15"/>
        <v>1</v>
      </c>
      <c r="AZ288" s="553">
        <f t="shared" si="15"/>
        <v>2</v>
      </c>
      <c r="BA288" s="553">
        <f t="shared" si="15"/>
        <v>2</v>
      </c>
      <c r="BB288" s="553">
        <f t="shared" si="15"/>
        <v>2</v>
      </c>
      <c r="BC288" s="553">
        <f t="shared" si="15"/>
        <v>2</v>
      </c>
      <c r="BD288" s="553">
        <f t="shared" si="15"/>
        <v>2</v>
      </c>
      <c r="BE288" s="553">
        <f t="shared" si="15"/>
        <v>2</v>
      </c>
      <c r="BF288" s="553">
        <f t="shared" si="15"/>
        <v>2</v>
      </c>
      <c r="BG288" s="553">
        <f t="shared" si="15"/>
        <v>2</v>
      </c>
      <c r="BH288" s="553">
        <f t="shared" si="15"/>
        <v>1</v>
      </c>
      <c r="BI288" s="553">
        <f t="shared" si="15"/>
        <v>2</v>
      </c>
      <c r="BJ288" s="553">
        <f t="shared" si="15"/>
        <v>2</v>
      </c>
      <c r="BK288" s="553">
        <f t="shared" si="15"/>
        <v>0</v>
      </c>
      <c r="BL288" s="553">
        <f t="shared" si="15"/>
        <v>1</v>
      </c>
      <c r="BM288" s="553">
        <f t="shared" si="15"/>
        <v>2</v>
      </c>
      <c r="BN288" s="553">
        <f t="shared" ref="BN288:BR288" si="16">BN240</f>
        <v>2</v>
      </c>
      <c r="BO288" s="553">
        <f t="shared" si="16"/>
        <v>2</v>
      </c>
      <c r="BP288" s="553">
        <f t="shared" si="16"/>
        <v>2</v>
      </c>
      <c r="BQ288" s="553">
        <f t="shared" si="16"/>
        <v>2</v>
      </c>
      <c r="BR288" s="553">
        <f t="shared" si="16"/>
        <v>0</v>
      </c>
      <c r="BS288" s="553">
        <f t="shared" ref="BS288:CJ288" si="17">BS240</f>
        <v>2</v>
      </c>
      <c r="BT288" s="553">
        <f t="shared" si="17"/>
        <v>0</v>
      </c>
      <c r="BU288" s="553">
        <f t="shared" si="17"/>
        <v>2</v>
      </c>
      <c r="BV288" s="553">
        <f t="shared" si="17"/>
        <v>2</v>
      </c>
      <c r="BW288" s="553">
        <f t="shared" si="17"/>
        <v>2</v>
      </c>
      <c r="BX288" s="553">
        <f t="shared" si="17"/>
        <v>2</v>
      </c>
      <c r="BY288" s="553">
        <f t="shared" si="17"/>
        <v>2</v>
      </c>
      <c r="BZ288" s="553">
        <f t="shared" si="17"/>
        <v>2</v>
      </c>
      <c r="CA288" s="553">
        <f t="shared" si="17"/>
        <v>2</v>
      </c>
      <c r="CB288" s="553">
        <f t="shared" si="17"/>
        <v>2</v>
      </c>
      <c r="CC288" s="553">
        <f t="shared" si="17"/>
        <v>1</v>
      </c>
      <c r="CD288" s="553">
        <f t="shared" si="17"/>
        <v>0</v>
      </c>
      <c r="CE288" s="553">
        <f t="shared" si="17"/>
        <v>2</v>
      </c>
      <c r="CF288" s="553">
        <f t="shared" si="17"/>
        <v>2</v>
      </c>
      <c r="CG288" s="553">
        <f t="shared" si="17"/>
        <v>2</v>
      </c>
      <c r="CH288" s="553">
        <f t="shared" si="17"/>
        <v>2</v>
      </c>
      <c r="CI288" s="553">
        <f t="shared" si="17"/>
        <v>0</v>
      </c>
      <c r="CJ288" s="553">
        <f t="shared" si="17"/>
        <v>0</v>
      </c>
      <c r="CK288" s="180"/>
      <c r="CL288" s="180"/>
      <c r="CM288" s="180"/>
      <c r="CN288" s="180"/>
      <c r="CO288" s="180"/>
      <c r="CP288" s="180"/>
      <c r="CQ288" s="180"/>
      <c r="CR288" s="180"/>
      <c r="CS288" s="180"/>
      <c r="CT288" s="180"/>
      <c r="CU288" s="180"/>
      <c r="CV288" s="180"/>
      <c r="CW288" s="180"/>
      <c r="CX288" s="180"/>
      <c r="CY288" s="180"/>
      <c r="CZ288" s="180"/>
    </row>
    <row r="289" spans="1:104" hidden="1" x14ac:dyDescent="0.3">
      <c r="A289" s="553">
        <f>A241</f>
        <v>1057</v>
      </c>
      <c r="B289" s="553" t="str">
        <f t="shared" ref="B289:BM289" si="18">B241</f>
        <v>Did your audit disclose any budget violations at the adopted ordinance level? (Yes or No)</v>
      </c>
      <c r="C289" s="553">
        <f t="shared" si="18"/>
        <v>0</v>
      </c>
      <c r="D289" s="553">
        <f t="shared" si="18"/>
        <v>2</v>
      </c>
      <c r="E289" s="553">
        <f t="shared" si="18"/>
        <v>2</v>
      </c>
      <c r="F289" s="553">
        <f t="shared" si="18"/>
        <v>2</v>
      </c>
      <c r="G289" s="553">
        <f t="shared" si="18"/>
        <v>2</v>
      </c>
      <c r="H289" s="553">
        <f t="shared" si="18"/>
        <v>0</v>
      </c>
      <c r="I289" s="553">
        <f t="shared" si="18"/>
        <v>1</v>
      </c>
      <c r="J289" s="553">
        <f t="shared" si="18"/>
        <v>2</v>
      </c>
      <c r="K289" s="553">
        <f t="shared" si="18"/>
        <v>2</v>
      </c>
      <c r="L289" s="553">
        <f t="shared" si="18"/>
        <v>2</v>
      </c>
      <c r="M289" s="553">
        <f t="shared" si="18"/>
        <v>1</v>
      </c>
      <c r="N289" s="553">
        <f t="shared" si="18"/>
        <v>1</v>
      </c>
      <c r="O289" s="553">
        <f t="shared" si="18"/>
        <v>2</v>
      </c>
      <c r="P289" s="553">
        <f t="shared" si="18"/>
        <v>2</v>
      </c>
      <c r="Q289" s="553">
        <f t="shared" si="18"/>
        <v>2</v>
      </c>
      <c r="R289" s="553">
        <f t="shared" si="18"/>
        <v>1</v>
      </c>
      <c r="S289" s="553">
        <f t="shared" si="18"/>
        <v>2</v>
      </c>
      <c r="T289" s="553">
        <f t="shared" si="18"/>
        <v>1</v>
      </c>
      <c r="U289" s="553">
        <f t="shared" si="18"/>
        <v>2</v>
      </c>
      <c r="V289" s="553">
        <f t="shared" si="18"/>
        <v>1</v>
      </c>
      <c r="W289" s="553">
        <f t="shared" si="18"/>
        <v>1</v>
      </c>
      <c r="X289" s="553">
        <f t="shared" si="18"/>
        <v>2</v>
      </c>
      <c r="Y289" s="553">
        <f t="shared" si="18"/>
        <v>2</v>
      </c>
      <c r="Z289" s="553">
        <f t="shared" si="18"/>
        <v>2</v>
      </c>
      <c r="AA289" s="553">
        <f t="shared" si="18"/>
        <v>1</v>
      </c>
      <c r="AB289" s="553">
        <f t="shared" si="18"/>
        <v>2</v>
      </c>
      <c r="AC289" s="553">
        <f t="shared" si="18"/>
        <v>0</v>
      </c>
      <c r="AD289" s="553">
        <f t="shared" si="18"/>
        <v>2</v>
      </c>
      <c r="AE289" s="553">
        <f t="shared" si="18"/>
        <v>2</v>
      </c>
      <c r="AF289" s="553">
        <f t="shared" si="18"/>
        <v>2</v>
      </c>
      <c r="AG289" s="553">
        <f t="shared" si="18"/>
        <v>2</v>
      </c>
      <c r="AH289" s="553">
        <f t="shared" si="18"/>
        <v>2</v>
      </c>
      <c r="AI289" s="553">
        <f t="shared" si="18"/>
        <v>2</v>
      </c>
      <c r="AJ289" s="553">
        <f t="shared" si="18"/>
        <v>2</v>
      </c>
      <c r="AK289" s="553">
        <f t="shared" si="18"/>
        <v>2</v>
      </c>
      <c r="AL289" s="553">
        <f t="shared" si="18"/>
        <v>2</v>
      </c>
      <c r="AM289" s="553">
        <f t="shared" si="18"/>
        <v>0</v>
      </c>
      <c r="AN289" s="553">
        <f t="shared" si="18"/>
        <v>2</v>
      </c>
      <c r="AO289" s="553">
        <f t="shared" si="18"/>
        <v>0</v>
      </c>
      <c r="AP289" s="553">
        <f t="shared" si="18"/>
        <v>2</v>
      </c>
      <c r="AQ289" s="553">
        <f t="shared" si="18"/>
        <v>1</v>
      </c>
      <c r="AR289" s="553">
        <f t="shared" si="18"/>
        <v>1</v>
      </c>
      <c r="AS289" s="553">
        <f t="shared" si="18"/>
        <v>2</v>
      </c>
      <c r="AT289" s="553">
        <f t="shared" si="18"/>
        <v>2</v>
      </c>
      <c r="AU289" s="553">
        <f t="shared" si="18"/>
        <v>1</v>
      </c>
      <c r="AV289" s="553">
        <f t="shared" si="18"/>
        <v>1</v>
      </c>
      <c r="AW289" s="553">
        <f t="shared" si="18"/>
        <v>2</v>
      </c>
      <c r="AX289" s="553">
        <f t="shared" si="18"/>
        <v>1</v>
      </c>
      <c r="AY289" s="553">
        <f t="shared" si="18"/>
        <v>1</v>
      </c>
      <c r="AZ289" s="553">
        <f t="shared" si="18"/>
        <v>2</v>
      </c>
      <c r="BA289" s="553">
        <f t="shared" si="18"/>
        <v>1</v>
      </c>
      <c r="BB289" s="553">
        <f t="shared" si="18"/>
        <v>2</v>
      </c>
      <c r="BC289" s="553">
        <f t="shared" si="18"/>
        <v>2</v>
      </c>
      <c r="BD289" s="553">
        <f t="shared" si="18"/>
        <v>2</v>
      </c>
      <c r="BE289" s="553">
        <f t="shared" si="18"/>
        <v>2</v>
      </c>
      <c r="BF289" s="553">
        <f t="shared" si="18"/>
        <v>2</v>
      </c>
      <c r="BG289" s="553">
        <f t="shared" si="18"/>
        <v>1</v>
      </c>
      <c r="BH289" s="553">
        <f t="shared" si="18"/>
        <v>2</v>
      </c>
      <c r="BI289" s="553">
        <f t="shared" si="18"/>
        <v>1</v>
      </c>
      <c r="BJ289" s="553">
        <f t="shared" si="18"/>
        <v>2</v>
      </c>
      <c r="BK289" s="553">
        <f t="shared" si="18"/>
        <v>0</v>
      </c>
      <c r="BL289" s="553">
        <f t="shared" si="18"/>
        <v>2</v>
      </c>
      <c r="BM289" s="553">
        <f t="shared" si="18"/>
        <v>2</v>
      </c>
      <c r="BN289" s="553">
        <f t="shared" ref="BN289:BR289" si="19">BN241</f>
        <v>2</v>
      </c>
      <c r="BO289" s="553">
        <f t="shared" si="19"/>
        <v>2</v>
      </c>
      <c r="BP289" s="553">
        <f t="shared" si="19"/>
        <v>2</v>
      </c>
      <c r="BQ289" s="553">
        <f t="shared" si="19"/>
        <v>1</v>
      </c>
      <c r="BR289" s="553">
        <f t="shared" si="19"/>
        <v>0</v>
      </c>
      <c r="BS289" s="553">
        <f t="shared" ref="BS289:CJ289" si="20">BS241</f>
        <v>2</v>
      </c>
      <c r="BT289" s="553">
        <f t="shared" si="20"/>
        <v>0</v>
      </c>
      <c r="BU289" s="553">
        <f t="shared" si="20"/>
        <v>2</v>
      </c>
      <c r="BV289" s="553">
        <f t="shared" si="20"/>
        <v>2</v>
      </c>
      <c r="BW289" s="553">
        <f t="shared" si="20"/>
        <v>2</v>
      </c>
      <c r="BX289" s="553">
        <f t="shared" si="20"/>
        <v>1</v>
      </c>
      <c r="BY289" s="553">
        <f t="shared" si="20"/>
        <v>2</v>
      </c>
      <c r="BZ289" s="553">
        <f t="shared" si="20"/>
        <v>2</v>
      </c>
      <c r="CA289" s="553">
        <f t="shared" si="20"/>
        <v>2</v>
      </c>
      <c r="CB289" s="553">
        <f t="shared" si="20"/>
        <v>2</v>
      </c>
      <c r="CC289" s="553">
        <f t="shared" si="20"/>
        <v>2</v>
      </c>
      <c r="CD289" s="553">
        <f t="shared" si="20"/>
        <v>0</v>
      </c>
      <c r="CE289" s="553">
        <f t="shared" si="20"/>
        <v>2</v>
      </c>
      <c r="CF289" s="553">
        <f t="shared" si="20"/>
        <v>2</v>
      </c>
      <c r="CG289" s="553">
        <f t="shared" si="20"/>
        <v>2</v>
      </c>
      <c r="CH289" s="553">
        <f t="shared" si="20"/>
        <v>2</v>
      </c>
      <c r="CI289" s="553">
        <f t="shared" si="20"/>
        <v>0</v>
      </c>
      <c r="CJ289" s="553">
        <f t="shared" si="20"/>
        <v>0</v>
      </c>
      <c r="CK289" s="180"/>
      <c r="CL289" s="180"/>
      <c r="CM289" s="180"/>
      <c r="CN289" s="180"/>
      <c r="CO289" s="180"/>
      <c r="CP289" s="180"/>
      <c r="CQ289" s="180"/>
      <c r="CR289" s="180"/>
      <c r="CS289" s="180"/>
      <c r="CT289" s="180"/>
      <c r="CU289" s="180"/>
      <c r="CV289" s="180"/>
      <c r="CW289" s="180"/>
      <c r="CX289" s="180"/>
      <c r="CY289" s="180"/>
      <c r="CZ289" s="180"/>
    </row>
    <row r="290" spans="1:104" hidden="1" x14ac:dyDescent="0.3">
      <c r="A290" s="553">
        <f>A242</f>
        <v>1058</v>
      </c>
      <c r="B290" s="553" t="str">
        <f t="shared" ref="B290:BM290" si="21">B242</f>
        <v>Did your audit disclose as a finding any statutory violations? (not including budget violations) (Yes or No)</v>
      </c>
      <c r="C290" s="553">
        <f t="shared" si="21"/>
        <v>0</v>
      </c>
      <c r="D290" s="553">
        <f t="shared" si="21"/>
        <v>2</v>
      </c>
      <c r="E290" s="553">
        <f t="shared" si="21"/>
        <v>2</v>
      </c>
      <c r="F290" s="553">
        <f t="shared" si="21"/>
        <v>2</v>
      </c>
      <c r="G290" s="553">
        <f t="shared" si="21"/>
        <v>2</v>
      </c>
      <c r="H290" s="553">
        <f t="shared" si="21"/>
        <v>0</v>
      </c>
      <c r="I290" s="553">
        <f t="shared" si="21"/>
        <v>1</v>
      </c>
      <c r="J290" s="553">
        <f t="shared" si="21"/>
        <v>2</v>
      </c>
      <c r="K290" s="553">
        <f t="shared" si="21"/>
        <v>2</v>
      </c>
      <c r="L290" s="553">
        <f t="shared" si="21"/>
        <v>2</v>
      </c>
      <c r="M290" s="553">
        <f t="shared" si="21"/>
        <v>2</v>
      </c>
      <c r="N290" s="553">
        <f t="shared" si="21"/>
        <v>1</v>
      </c>
      <c r="O290" s="553">
        <f t="shared" si="21"/>
        <v>2</v>
      </c>
      <c r="P290" s="553">
        <f t="shared" si="21"/>
        <v>2</v>
      </c>
      <c r="Q290" s="553">
        <f t="shared" si="21"/>
        <v>2</v>
      </c>
      <c r="R290" s="553">
        <f t="shared" si="21"/>
        <v>2</v>
      </c>
      <c r="S290" s="553">
        <f t="shared" si="21"/>
        <v>2</v>
      </c>
      <c r="T290" s="553">
        <f t="shared" si="21"/>
        <v>2</v>
      </c>
      <c r="U290" s="553">
        <f t="shared" si="21"/>
        <v>2</v>
      </c>
      <c r="V290" s="553">
        <f t="shared" si="21"/>
        <v>2</v>
      </c>
      <c r="W290" s="553">
        <f t="shared" si="21"/>
        <v>1</v>
      </c>
      <c r="X290" s="553">
        <f t="shared" si="21"/>
        <v>2</v>
      </c>
      <c r="Y290" s="553">
        <f t="shared" si="21"/>
        <v>2</v>
      </c>
      <c r="Z290" s="553">
        <f t="shared" si="21"/>
        <v>2</v>
      </c>
      <c r="AA290" s="553">
        <f t="shared" si="21"/>
        <v>2</v>
      </c>
      <c r="AB290" s="553">
        <f t="shared" si="21"/>
        <v>2</v>
      </c>
      <c r="AC290" s="553">
        <f t="shared" si="21"/>
        <v>0</v>
      </c>
      <c r="AD290" s="553">
        <f t="shared" si="21"/>
        <v>2</v>
      </c>
      <c r="AE290" s="553">
        <f t="shared" si="21"/>
        <v>2</v>
      </c>
      <c r="AF290" s="553">
        <f t="shared" si="21"/>
        <v>2</v>
      </c>
      <c r="AG290" s="553">
        <f t="shared" si="21"/>
        <v>2</v>
      </c>
      <c r="AH290" s="553">
        <f t="shared" si="21"/>
        <v>2</v>
      </c>
      <c r="AI290" s="553">
        <f t="shared" si="21"/>
        <v>2</v>
      </c>
      <c r="AJ290" s="553">
        <f t="shared" si="21"/>
        <v>2</v>
      </c>
      <c r="AK290" s="553">
        <f t="shared" si="21"/>
        <v>2</v>
      </c>
      <c r="AL290" s="553">
        <f t="shared" si="21"/>
        <v>2</v>
      </c>
      <c r="AM290" s="553">
        <f t="shared" si="21"/>
        <v>0</v>
      </c>
      <c r="AN290" s="553">
        <f t="shared" si="21"/>
        <v>2</v>
      </c>
      <c r="AO290" s="553">
        <f t="shared" si="21"/>
        <v>0</v>
      </c>
      <c r="AP290" s="553">
        <f t="shared" si="21"/>
        <v>2</v>
      </c>
      <c r="AQ290" s="553">
        <f t="shared" si="21"/>
        <v>2</v>
      </c>
      <c r="AR290" s="553">
        <f t="shared" si="21"/>
        <v>1</v>
      </c>
      <c r="AS290" s="553">
        <f t="shared" si="21"/>
        <v>2</v>
      </c>
      <c r="AT290" s="553">
        <f t="shared" si="21"/>
        <v>2</v>
      </c>
      <c r="AU290" s="553">
        <f t="shared" si="21"/>
        <v>2</v>
      </c>
      <c r="AV290" s="553">
        <f t="shared" si="21"/>
        <v>1</v>
      </c>
      <c r="AW290" s="553">
        <f t="shared" si="21"/>
        <v>2</v>
      </c>
      <c r="AX290" s="553">
        <f t="shared" si="21"/>
        <v>2</v>
      </c>
      <c r="AY290" s="553">
        <f t="shared" si="21"/>
        <v>1</v>
      </c>
      <c r="AZ290" s="553">
        <f t="shared" si="21"/>
        <v>2</v>
      </c>
      <c r="BA290" s="553">
        <f t="shared" si="21"/>
        <v>2</v>
      </c>
      <c r="BB290" s="553">
        <f t="shared" si="21"/>
        <v>2</v>
      </c>
      <c r="BC290" s="553">
        <f t="shared" si="21"/>
        <v>2</v>
      </c>
      <c r="BD290" s="553">
        <f t="shared" si="21"/>
        <v>2</v>
      </c>
      <c r="BE290" s="553">
        <f t="shared" si="21"/>
        <v>2</v>
      </c>
      <c r="BF290" s="553">
        <f t="shared" si="21"/>
        <v>2</v>
      </c>
      <c r="BG290" s="553">
        <f t="shared" si="21"/>
        <v>2</v>
      </c>
      <c r="BH290" s="553">
        <f t="shared" si="21"/>
        <v>1</v>
      </c>
      <c r="BI290" s="553">
        <f t="shared" si="21"/>
        <v>2</v>
      </c>
      <c r="BJ290" s="553">
        <f t="shared" si="21"/>
        <v>2</v>
      </c>
      <c r="BK290" s="553">
        <f t="shared" si="21"/>
        <v>0</v>
      </c>
      <c r="BL290" s="553">
        <f t="shared" si="21"/>
        <v>2</v>
      </c>
      <c r="BM290" s="553">
        <f t="shared" si="21"/>
        <v>2</v>
      </c>
      <c r="BN290" s="553">
        <f t="shared" ref="BN290:BR290" si="22">BN242</f>
        <v>2</v>
      </c>
      <c r="BO290" s="553">
        <f t="shared" si="22"/>
        <v>2</v>
      </c>
      <c r="BP290" s="553">
        <f t="shared" si="22"/>
        <v>2</v>
      </c>
      <c r="BQ290" s="553">
        <f t="shared" si="22"/>
        <v>2</v>
      </c>
      <c r="BR290" s="553">
        <f t="shared" si="22"/>
        <v>0</v>
      </c>
      <c r="BS290" s="553">
        <f t="shared" ref="BS290:CJ290" si="23">BS242</f>
        <v>2</v>
      </c>
      <c r="BT290" s="553">
        <f t="shared" si="23"/>
        <v>0</v>
      </c>
      <c r="BU290" s="553">
        <f t="shared" si="23"/>
        <v>2</v>
      </c>
      <c r="BV290" s="553">
        <f t="shared" si="23"/>
        <v>2</v>
      </c>
      <c r="BW290" s="553">
        <f t="shared" si="23"/>
        <v>2</v>
      </c>
      <c r="BX290" s="553">
        <f t="shared" si="23"/>
        <v>1</v>
      </c>
      <c r="BY290" s="553">
        <f t="shared" si="23"/>
        <v>2</v>
      </c>
      <c r="BZ290" s="553">
        <f t="shared" si="23"/>
        <v>2</v>
      </c>
      <c r="CA290" s="553">
        <f t="shared" si="23"/>
        <v>2</v>
      </c>
      <c r="CB290" s="553">
        <f t="shared" si="23"/>
        <v>2</v>
      </c>
      <c r="CC290" s="553">
        <f t="shared" si="23"/>
        <v>2</v>
      </c>
      <c r="CD290" s="553">
        <f t="shared" si="23"/>
        <v>0</v>
      </c>
      <c r="CE290" s="553">
        <f t="shared" si="23"/>
        <v>2</v>
      </c>
      <c r="CF290" s="553">
        <f t="shared" si="23"/>
        <v>2</v>
      </c>
      <c r="CG290" s="553">
        <f t="shared" si="23"/>
        <v>2</v>
      </c>
      <c r="CH290" s="553">
        <f t="shared" si="23"/>
        <v>2</v>
      </c>
      <c r="CI290" s="553">
        <f t="shared" si="23"/>
        <v>0</v>
      </c>
      <c r="CJ290" s="553">
        <f t="shared" si="23"/>
        <v>0</v>
      </c>
      <c r="CK290" s="180"/>
      <c r="CL290" s="180"/>
      <c r="CM290" s="180"/>
      <c r="CN290" s="180"/>
      <c r="CO290" s="180"/>
      <c r="CP290" s="180"/>
      <c r="CQ290" s="180"/>
      <c r="CR290" s="180"/>
      <c r="CS290" s="180"/>
      <c r="CT290" s="180"/>
      <c r="CU290" s="180"/>
      <c r="CV290" s="180"/>
      <c r="CW290" s="180"/>
      <c r="CX290" s="180"/>
      <c r="CY290" s="180"/>
      <c r="CZ290" s="180"/>
    </row>
    <row r="291" spans="1:104" hidden="1" x14ac:dyDescent="0.3">
      <c r="A291" s="553">
        <f>A243</f>
        <v>1059</v>
      </c>
      <c r="B291" s="553" t="str">
        <f t="shared" ref="B291:BM291" si="24">B243</f>
        <v>Did the unit have a board-appointed finance officer the entire fiscal year? (Yes or No)?</v>
      </c>
      <c r="C291" s="553">
        <f t="shared" si="24"/>
        <v>0</v>
      </c>
      <c r="D291" s="553">
        <f t="shared" si="24"/>
        <v>1</v>
      </c>
      <c r="E291" s="553">
        <f t="shared" si="24"/>
        <v>1</v>
      </c>
      <c r="F291" s="553">
        <f t="shared" si="24"/>
        <v>1</v>
      </c>
      <c r="G291" s="553">
        <f t="shared" si="24"/>
        <v>1</v>
      </c>
      <c r="H291" s="553">
        <f t="shared" si="24"/>
        <v>0</v>
      </c>
      <c r="I291" s="553">
        <f t="shared" si="24"/>
        <v>1</v>
      </c>
      <c r="J291" s="553">
        <f t="shared" si="24"/>
        <v>1</v>
      </c>
      <c r="K291" s="553">
        <f t="shared" si="24"/>
        <v>1</v>
      </c>
      <c r="L291" s="553">
        <f t="shared" si="24"/>
        <v>1</v>
      </c>
      <c r="M291" s="553">
        <f t="shared" si="24"/>
        <v>1</v>
      </c>
      <c r="N291" s="553">
        <f t="shared" si="24"/>
        <v>1</v>
      </c>
      <c r="O291" s="553">
        <f t="shared" si="24"/>
        <v>1</v>
      </c>
      <c r="P291" s="553">
        <f t="shared" si="24"/>
        <v>1</v>
      </c>
      <c r="Q291" s="553">
        <f t="shared" si="24"/>
        <v>1</v>
      </c>
      <c r="R291" s="553">
        <f t="shared" si="24"/>
        <v>1</v>
      </c>
      <c r="S291" s="553">
        <f t="shared" si="24"/>
        <v>1</v>
      </c>
      <c r="T291" s="553">
        <f t="shared" si="24"/>
        <v>1</v>
      </c>
      <c r="U291" s="553">
        <f t="shared" si="24"/>
        <v>1</v>
      </c>
      <c r="V291" s="553">
        <f t="shared" si="24"/>
        <v>1</v>
      </c>
      <c r="W291" s="553">
        <f t="shared" si="24"/>
        <v>1</v>
      </c>
      <c r="X291" s="553">
        <f t="shared" si="24"/>
        <v>1</v>
      </c>
      <c r="Y291" s="553">
        <f t="shared" si="24"/>
        <v>1</v>
      </c>
      <c r="Z291" s="553">
        <f t="shared" si="24"/>
        <v>1</v>
      </c>
      <c r="AA291" s="553">
        <f t="shared" si="24"/>
        <v>1</v>
      </c>
      <c r="AB291" s="553">
        <f t="shared" si="24"/>
        <v>1</v>
      </c>
      <c r="AC291" s="553">
        <f t="shared" si="24"/>
        <v>0</v>
      </c>
      <c r="AD291" s="553">
        <f t="shared" si="24"/>
        <v>1</v>
      </c>
      <c r="AE291" s="553">
        <f t="shared" si="24"/>
        <v>1</v>
      </c>
      <c r="AF291" s="553">
        <f t="shared" si="24"/>
        <v>1</v>
      </c>
      <c r="AG291" s="553">
        <f t="shared" si="24"/>
        <v>1</v>
      </c>
      <c r="AH291" s="553">
        <f t="shared" si="24"/>
        <v>1</v>
      </c>
      <c r="AI291" s="553">
        <f t="shared" si="24"/>
        <v>1</v>
      </c>
      <c r="AJ291" s="553">
        <f t="shared" si="24"/>
        <v>1</v>
      </c>
      <c r="AK291" s="553">
        <f t="shared" si="24"/>
        <v>1</v>
      </c>
      <c r="AL291" s="553">
        <f t="shared" si="24"/>
        <v>1</v>
      </c>
      <c r="AM291" s="553">
        <f t="shared" si="24"/>
        <v>0</v>
      </c>
      <c r="AN291" s="553">
        <f t="shared" si="24"/>
        <v>1</v>
      </c>
      <c r="AO291" s="553">
        <f t="shared" si="24"/>
        <v>0</v>
      </c>
      <c r="AP291" s="553">
        <f t="shared" si="24"/>
        <v>1</v>
      </c>
      <c r="AQ291" s="553">
        <f t="shared" si="24"/>
        <v>1</v>
      </c>
      <c r="AR291" s="553">
        <f t="shared" si="24"/>
        <v>1</v>
      </c>
      <c r="AS291" s="553">
        <f t="shared" si="24"/>
        <v>1</v>
      </c>
      <c r="AT291" s="553">
        <f t="shared" si="24"/>
        <v>1</v>
      </c>
      <c r="AU291" s="553">
        <f t="shared" si="24"/>
        <v>1</v>
      </c>
      <c r="AV291" s="553">
        <f t="shared" si="24"/>
        <v>1</v>
      </c>
      <c r="AW291" s="553">
        <f t="shared" si="24"/>
        <v>1</v>
      </c>
      <c r="AX291" s="553">
        <f t="shared" si="24"/>
        <v>1</v>
      </c>
      <c r="AY291" s="553">
        <f t="shared" si="24"/>
        <v>1</v>
      </c>
      <c r="AZ291" s="553">
        <f t="shared" si="24"/>
        <v>1</v>
      </c>
      <c r="BA291" s="553">
        <f t="shared" si="24"/>
        <v>1</v>
      </c>
      <c r="BB291" s="553">
        <f t="shared" si="24"/>
        <v>1</v>
      </c>
      <c r="BC291" s="553">
        <f t="shared" si="24"/>
        <v>1</v>
      </c>
      <c r="BD291" s="553">
        <f t="shared" si="24"/>
        <v>1</v>
      </c>
      <c r="BE291" s="553">
        <f t="shared" si="24"/>
        <v>1</v>
      </c>
      <c r="BF291" s="553">
        <f t="shared" si="24"/>
        <v>1</v>
      </c>
      <c r="BG291" s="553">
        <f t="shared" si="24"/>
        <v>1</v>
      </c>
      <c r="BH291" s="553">
        <f t="shared" si="24"/>
        <v>1</v>
      </c>
      <c r="BI291" s="553">
        <f t="shared" si="24"/>
        <v>1</v>
      </c>
      <c r="BJ291" s="553">
        <f t="shared" si="24"/>
        <v>1</v>
      </c>
      <c r="BK291" s="553">
        <f t="shared" si="24"/>
        <v>0</v>
      </c>
      <c r="BL291" s="553">
        <f t="shared" si="24"/>
        <v>1</v>
      </c>
      <c r="BM291" s="553">
        <f t="shared" si="24"/>
        <v>1</v>
      </c>
      <c r="BN291" s="553">
        <f t="shared" ref="BN291:BR291" si="25">BN243</f>
        <v>1</v>
      </c>
      <c r="BO291" s="553">
        <f t="shared" si="25"/>
        <v>1</v>
      </c>
      <c r="BP291" s="553">
        <f t="shared" si="25"/>
        <v>1</v>
      </c>
      <c r="BQ291" s="553">
        <f t="shared" si="25"/>
        <v>1</v>
      </c>
      <c r="BR291" s="553">
        <f t="shared" si="25"/>
        <v>0</v>
      </c>
      <c r="BS291" s="553">
        <f t="shared" ref="BS291:CJ291" si="26">BS243</f>
        <v>1</v>
      </c>
      <c r="BT291" s="553">
        <f t="shared" si="26"/>
        <v>0</v>
      </c>
      <c r="BU291" s="553">
        <f t="shared" si="26"/>
        <v>1</v>
      </c>
      <c r="BV291" s="553">
        <f t="shared" si="26"/>
        <v>1</v>
      </c>
      <c r="BW291" s="553">
        <f t="shared" si="26"/>
        <v>1</v>
      </c>
      <c r="BX291" s="553">
        <f t="shared" si="26"/>
        <v>1</v>
      </c>
      <c r="BY291" s="553">
        <f t="shared" si="26"/>
        <v>1</v>
      </c>
      <c r="BZ291" s="553">
        <f t="shared" si="26"/>
        <v>1</v>
      </c>
      <c r="CA291" s="553">
        <f t="shared" si="26"/>
        <v>1</v>
      </c>
      <c r="CB291" s="553">
        <f t="shared" si="26"/>
        <v>1</v>
      </c>
      <c r="CC291" s="553">
        <f t="shared" si="26"/>
        <v>1</v>
      </c>
      <c r="CD291" s="553">
        <f t="shared" si="26"/>
        <v>0</v>
      </c>
      <c r="CE291" s="553">
        <f t="shared" si="26"/>
        <v>1</v>
      </c>
      <c r="CF291" s="553">
        <f t="shared" si="26"/>
        <v>1</v>
      </c>
      <c r="CG291" s="553">
        <f t="shared" si="26"/>
        <v>1</v>
      </c>
      <c r="CH291" s="553">
        <f t="shared" si="26"/>
        <v>1</v>
      </c>
      <c r="CI291" s="553">
        <f t="shared" si="26"/>
        <v>0</v>
      </c>
      <c r="CJ291" s="553">
        <f t="shared" si="26"/>
        <v>0</v>
      </c>
      <c r="CK291" s="180"/>
      <c r="CL291" s="180"/>
      <c r="CM291" s="180"/>
      <c r="CN291" s="180"/>
      <c r="CO291" s="180"/>
      <c r="CP291" s="180"/>
      <c r="CQ291" s="180"/>
      <c r="CR291" s="180"/>
      <c r="CS291" s="180"/>
      <c r="CT291" s="180"/>
      <c r="CU291" s="180"/>
      <c r="CV291" s="180"/>
      <c r="CW291" s="180"/>
      <c r="CX291" s="180"/>
      <c r="CY291" s="180"/>
      <c r="CZ291" s="180"/>
    </row>
    <row r="292" spans="1:104" hidden="1" x14ac:dyDescent="0.3">
      <c r="A292" s="553">
        <f>A257</f>
        <v>1078</v>
      </c>
      <c r="B292" s="553" t="str">
        <f t="shared" ref="B292:BM292" si="27">B257</f>
        <v>If the answer to 1059 is "No" then was the unit without a board-appointed interim or permanent finance officer for more than 2 weeks at any time in the fiscal year? (Note:  Please include a noncompliance finding related to GS 159-24, GS 159-25(a)(2) or GS</v>
      </c>
      <c r="C292" s="553">
        <f t="shared" si="27"/>
        <v>0</v>
      </c>
      <c r="D292" s="553">
        <f t="shared" si="27"/>
        <v>2</v>
      </c>
      <c r="E292" s="553">
        <f t="shared" si="27"/>
        <v>3</v>
      </c>
      <c r="F292" s="553">
        <f t="shared" si="27"/>
        <v>3</v>
      </c>
      <c r="G292" s="553">
        <f t="shared" si="27"/>
        <v>3</v>
      </c>
      <c r="H292" s="553">
        <f t="shared" si="27"/>
        <v>0</v>
      </c>
      <c r="I292" s="553">
        <f t="shared" si="27"/>
        <v>3</v>
      </c>
      <c r="J292" s="553">
        <f t="shared" si="27"/>
        <v>3</v>
      </c>
      <c r="K292" s="553">
        <f t="shared" si="27"/>
        <v>3</v>
      </c>
      <c r="L292" s="553">
        <f t="shared" si="27"/>
        <v>3</v>
      </c>
      <c r="M292" s="553">
        <f t="shared" si="27"/>
        <v>3</v>
      </c>
      <c r="N292" s="553">
        <f t="shared" si="27"/>
        <v>3</v>
      </c>
      <c r="O292" s="553">
        <f t="shared" si="27"/>
        <v>3</v>
      </c>
      <c r="P292" s="553">
        <f t="shared" si="27"/>
        <v>3</v>
      </c>
      <c r="Q292" s="553">
        <f t="shared" si="27"/>
        <v>3</v>
      </c>
      <c r="R292" s="553">
        <f t="shared" si="27"/>
        <v>3</v>
      </c>
      <c r="S292" s="553">
        <f t="shared" si="27"/>
        <v>3</v>
      </c>
      <c r="T292" s="553">
        <f t="shared" si="27"/>
        <v>3</v>
      </c>
      <c r="U292" s="553">
        <f t="shared" si="27"/>
        <v>3</v>
      </c>
      <c r="V292" s="553">
        <f t="shared" si="27"/>
        <v>3</v>
      </c>
      <c r="W292" s="553">
        <f t="shared" si="27"/>
        <v>3</v>
      </c>
      <c r="X292" s="553">
        <f t="shared" si="27"/>
        <v>3</v>
      </c>
      <c r="Y292" s="553">
        <f t="shared" si="27"/>
        <v>3</v>
      </c>
      <c r="Z292" s="553">
        <f t="shared" si="27"/>
        <v>3</v>
      </c>
      <c r="AA292" s="553">
        <f t="shared" si="27"/>
        <v>3</v>
      </c>
      <c r="AB292" s="553">
        <f t="shared" si="27"/>
        <v>3</v>
      </c>
      <c r="AC292" s="553">
        <f t="shared" si="27"/>
        <v>0</v>
      </c>
      <c r="AD292" s="553">
        <f t="shared" si="27"/>
        <v>3</v>
      </c>
      <c r="AE292" s="553">
        <f t="shared" si="27"/>
        <v>3</v>
      </c>
      <c r="AF292" s="553">
        <f t="shared" si="27"/>
        <v>3</v>
      </c>
      <c r="AG292" s="553">
        <f t="shared" si="27"/>
        <v>3</v>
      </c>
      <c r="AH292" s="553">
        <f t="shared" si="27"/>
        <v>3</v>
      </c>
      <c r="AI292" s="553">
        <f t="shared" si="27"/>
        <v>3</v>
      </c>
      <c r="AJ292" s="553">
        <f t="shared" si="27"/>
        <v>3</v>
      </c>
      <c r="AK292" s="553">
        <f t="shared" si="27"/>
        <v>3</v>
      </c>
      <c r="AL292" s="553">
        <f t="shared" si="27"/>
        <v>3</v>
      </c>
      <c r="AM292" s="553">
        <f t="shared" si="27"/>
        <v>0</v>
      </c>
      <c r="AN292" s="553">
        <f t="shared" si="27"/>
        <v>3</v>
      </c>
      <c r="AO292" s="553">
        <f t="shared" si="27"/>
        <v>0</v>
      </c>
      <c r="AP292" s="553">
        <f t="shared" si="27"/>
        <v>3</v>
      </c>
      <c r="AQ292" s="553">
        <f t="shared" si="27"/>
        <v>3</v>
      </c>
      <c r="AR292" s="553">
        <f t="shared" si="27"/>
        <v>3</v>
      </c>
      <c r="AS292" s="553">
        <f t="shared" si="27"/>
        <v>2</v>
      </c>
      <c r="AT292" s="553">
        <f t="shared" si="27"/>
        <v>3</v>
      </c>
      <c r="AU292" s="553">
        <f t="shared" si="27"/>
        <v>2</v>
      </c>
      <c r="AV292" s="553">
        <f t="shared" si="27"/>
        <v>3</v>
      </c>
      <c r="AW292" s="553">
        <f t="shared" si="27"/>
        <v>3</v>
      </c>
      <c r="AX292" s="553">
        <f t="shared" si="27"/>
        <v>3</v>
      </c>
      <c r="AY292" s="553">
        <f t="shared" si="27"/>
        <v>3</v>
      </c>
      <c r="AZ292" s="553">
        <f t="shared" si="27"/>
        <v>3</v>
      </c>
      <c r="BA292" s="553">
        <f t="shared" si="27"/>
        <v>3</v>
      </c>
      <c r="BB292" s="553">
        <f t="shared" si="27"/>
        <v>2</v>
      </c>
      <c r="BC292" s="553">
        <f t="shared" si="27"/>
        <v>3</v>
      </c>
      <c r="BD292" s="553">
        <f t="shared" si="27"/>
        <v>3</v>
      </c>
      <c r="BE292" s="553">
        <f t="shared" si="27"/>
        <v>3</v>
      </c>
      <c r="BF292" s="553">
        <f t="shared" si="27"/>
        <v>3</v>
      </c>
      <c r="BG292" s="553">
        <f t="shared" si="27"/>
        <v>3</v>
      </c>
      <c r="BH292" s="553">
        <f t="shared" si="27"/>
        <v>3</v>
      </c>
      <c r="BI292" s="553">
        <f t="shared" si="27"/>
        <v>3</v>
      </c>
      <c r="BJ292" s="553">
        <f t="shared" si="27"/>
        <v>3</v>
      </c>
      <c r="BK292" s="553">
        <f t="shared" si="27"/>
        <v>0</v>
      </c>
      <c r="BL292" s="553">
        <f t="shared" si="27"/>
        <v>2</v>
      </c>
      <c r="BM292" s="553">
        <f t="shared" si="27"/>
        <v>3</v>
      </c>
      <c r="BN292" s="553">
        <f t="shared" ref="BN292:BR292" si="28">BN257</f>
        <v>3</v>
      </c>
      <c r="BO292" s="553">
        <f t="shared" si="28"/>
        <v>3</v>
      </c>
      <c r="BP292" s="553">
        <f t="shared" si="28"/>
        <v>3</v>
      </c>
      <c r="BQ292" s="553">
        <f t="shared" si="28"/>
        <v>3</v>
      </c>
      <c r="BR292" s="553">
        <f t="shared" si="28"/>
        <v>0</v>
      </c>
      <c r="BS292" s="553">
        <f t="shared" ref="BS292:CJ292" si="29">BS257</f>
        <v>3</v>
      </c>
      <c r="BT292" s="553">
        <f t="shared" si="29"/>
        <v>0</v>
      </c>
      <c r="BU292" s="553">
        <f t="shared" si="29"/>
        <v>3</v>
      </c>
      <c r="BV292" s="553">
        <f t="shared" si="29"/>
        <v>0</v>
      </c>
      <c r="BW292" s="553">
        <f t="shared" si="29"/>
        <v>3</v>
      </c>
      <c r="BX292" s="553">
        <f t="shared" si="29"/>
        <v>3</v>
      </c>
      <c r="BY292" s="553">
        <f t="shared" si="29"/>
        <v>3</v>
      </c>
      <c r="BZ292" s="553">
        <f t="shared" si="29"/>
        <v>3</v>
      </c>
      <c r="CA292" s="553">
        <f t="shared" si="29"/>
        <v>3</v>
      </c>
      <c r="CB292" s="553">
        <f t="shared" si="29"/>
        <v>3</v>
      </c>
      <c r="CC292" s="553">
        <f t="shared" si="29"/>
        <v>3</v>
      </c>
      <c r="CD292" s="553">
        <f t="shared" si="29"/>
        <v>0</v>
      </c>
      <c r="CE292" s="553">
        <f t="shared" si="29"/>
        <v>3</v>
      </c>
      <c r="CF292" s="553">
        <f t="shared" si="29"/>
        <v>3</v>
      </c>
      <c r="CG292" s="553">
        <f t="shared" si="29"/>
        <v>3</v>
      </c>
      <c r="CH292" s="553">
        <f t="shared" si="29"/>
        <v>3</v>
      </c>
      <c r="CI292" s="553">
        <f t="shared" si="29"/>
        <v>0</v>
      </c>
      <c r="CJ292" s="553">
        <f t="shared" si="29"/>
        <v>0</v>
      </c>
      <c r="CK292" s="180"/>
      <c r="CL292" s="180"/>
      <c r="CM292" s="180"/>
      <c r="CN292" s="180"/>
      <c r="CO292" s="180"/>
      <c r="CP292" s="180"/>
      <c r="CQ292" s="180"/>
      <c r="CR292" s="180"/>
      <c r="CS292" s="180"/>
      <c r="CT292" s="180"/>
      <c r="CU292" s="180"/>
      <c r="CV292" s="180"/>
      <c r="CW292" s="180"/>
      <c r="CX292" s="180"/>
      <c r="CY292" s="180"/>
      <c r="CZ292" s="180"/>
    </row>
    <row r="293" spans="1:104" hidden="1" x14ac:dyDescent="0.3">
      <c r="A293" s="553">
        <f>A249</f>
        <v>1067</v>
      </c>
      <c r="B293" s="553" t="str">
        <f t="shared" ref="B293:BM293" si="30">B249</f>
        <v>Was the finance officer or interim finance officer bonded pursuant to G.S. 159-29 which requires that the finance officer give a true accounting and faithful performance bond in an amount not less than the greater of (1) $50,000 or (2) an amount equal to</v>
      </c>
      <c r="C293" s="553">
        <f t="shared" si="30"/>
        <v>0</v>
      </c>
      <c r="D293" s="553">
        <f t="shared" si="30"/>
        <v>1</v>
      </c>
      <c r="E293" s="553">
        <f t="shared" si="30"/>
        <v>1</v>
      </c>
      <c r="F293" s="553">
        <f t="shared" si="30"/>
        <v>1</v>
      </c>
      <c r="G293" s="553">
        <f t="shared" si="30"/>
        <v>1</v>
      </c>
      <c r="H293" s="553">
        <f t="shared" si="30"/>
        <v>0</v>
      </c>
      <c r="I293" s="553">
        <f t="shared" si="30"/>
        <v>1</v>
      </c>
      <c r="J293" s="553">
        <f t="shared" si="30"/>
        <v>1</v>
      </c>
      <c r="K293" s="553">
        <f t="shared" si="30"/>
        <v>1</v>
      </c>
      <c r="L293" s="553">
        <f t="shared" si="30"/>
        <v>1</v>
      </c>
      <c r="M293" s="553">
        <f t="shared" si="30"/>
        <v>1</v>
      </c>
      <c r="N293" s="553">
        <f t="shared" si="30"/>
        <v>1</v>
      </c>
      <c r="O293" s="553">
        <f t="shared" si="30"/>
        <v>1</v>
      </c>
      <c r="P293" s="553">
        <f t="shared" si="30"/>
        <v>1</v>
      </c>
      <c r="Q293" s="553">
        <f t="shared" si="30"/>
        <v>1</v>
      </c>
      <c r="R293" s="553">
        <f t="shared" si="30"/>
        <v>1</v>
      </c>
      <c r="S293" s="553">
        <f t="shared" si="30"/>
        <v>1</v>
      </c>
      <c r="T293" s="553">
        <f t="shared" si="30"/>
        <v>1</v>
      </c>
      <c r="U293" s="553">
        <f t="shared" si="30"/>
        <v>1</v>
      </c>
      <c r="V293" s="553">
        <f t="shared" si="30"/>
        <v>1</v>
      </c>
      <c r="W293" s="553">
        <f t="shared" si="30"/>
        <v>2</v>
      </c>
      <c r="X293" s="553">
        <f t="shared" si="30"/>
        <v>1</v>
      </c>
      <c r="Y293" s="553">
        <f t="shared" si="30"/>
        <v>1</v>
      </c>
      <c r="Z293" s="553">
        <f t="shared" si="30"/>
        <v>1</v>
      </c>
      <c r="AA293" s="553">
        <f t="shared" si="30"/>
        <v>1</v>
      </c>
      <c r="AB293" s="553">
        <f t="shared" si="30"/>
        <v>1</v>
      </c>
      <c r="AC293" s="553">
        <f t="shared" si="30"/>
        <v>0</v>
      </c>
      <c r="AD293" s="553">
        <f t="shared" si="30"/>
        <v>1</v>
      </c>
      <c r="AE293" s="553">
        <f t="shared" si="30"/>
        <v>1</v>
      </c>
      <c r="AF293" s="553">
        <f t="shared" si="30"/>
        <v>1</v>
      </c>
      <c r="AG293" s="553">
        <f t="shared" si="30"/>
        <v>1</v>
      </c>
      <c r="AH293" s="553">
        <f t="shared" si="30"/>
        <v>1</v>
      </c>
      <c r="AI293" s="553">
        <f t="shared" si="30"/>
        <v>1</v>
      </c>
      <c r="AJ293" s="553">
        <f t="shared" si="30"/>
        <v>1</v>
      </c>
      <c r="AK293" s="553">
        <f t="shared" si="30"/>
        <v>1</v>
      </c>
      <c r="AL293" s="553">
        <f t="shared" si="30"/>
        <v>1</v>
      </c>
      <c r="AM293" s="553">
        <f t="shared" si="30"/>
        <v>0</v>
      </c>
      <c r="AN293" s="553">
        <f t="shared" si="30"/>
        <v>1</v>
      </c>
      <c r="AO293" s="553">
        <f t="shared" si="30"/>
        <v>0</v>
      </c>
      <c r="AP293" s="553">
        <f t="shared" si="30"/>
        <v>1</v>
      </c>
      <c r="AQ293" s="553">
        <f t="shared" si="30"/>
        <v>1</v>
      </c>
      <c r="AR293" s="553">
        <f t="shared" si="30"/>
        <v>1</v>
      </c>
      <c r="AS293" s="553">
        <f t="shared" si="30"/>
        <v>1</v>
      </c>
      <c r="AT293" s="553">
        <f t="shared" si="30"/>
        <v>1</v>
      </c>
      <c r="AU293" s="553">
        <f t="shared" si="30"/>
        <v>1</v>
      </c>
      <c r="AV293" s="553">
        <f t="shared" si="30"/>
        <v>1</v>
      </c>
      <c r="AW293" s="553">
        <f t="shared" si="30"/>
        <v>1</v>
      </c>
      <c r="AX293" s="553">
        <f t="shared" si="30"/>
        <v>1</v>
      </c>
      <c r="AY293" s="553">
        <f t="shared" si="30"/>
        <v>1</v>
      </c>
      <c r="AZ293" s="553">
        <f t="shared" si="30"/>
        <v>1</v>
      </c>
      <c r="BA293" s="553">
        <f t="shared" si="30"/>
        <v>1</v>
      </c>
      <c r="BB293" s="553">
        <f t="shared" si="30"/>
        <v>1</v>
      </c>
      <c r="BC293" s="553">
        <f t="shared" si="30"/>
        <v>1</v>
      </c>
      <c r="BD293" s="553">
        <f t="shared" si="30"/>
        <v>1</v>
      </c>
      <c r="BE293" s="553">
        <f t="shared" si="30"/>
        <v>1</v>
      </c>
      <c r="BF293" s="553">
        <f t="shared" si="30"/>
        <v>1</v>
      </c>
      <c r="BG293" s="553">
        <f t="shared" si="30"/>
        <v>1</v>
      </c>
      <c r="BH293" s="553">
        <f t="shared" si="30"/>
        <v>1</v>
      </c>
      <c r="BI293" s="553">
        <f t="shared" si="30"/>
        <v>1</v>
      </c>
      <c r="BJ293" s="553">
        <f t="shared" si="30"/>
        <v>1</v>
      </c>
      <c r="BK293" s="553">
        <f t="shared" si="30"/>
        <v>0</v>
      </c>
      <c r="BL293" s="553">
        <f t="shared" si="30"/>
        <v>1</v>
      </c>
      <c r="BM293" s="553">
        <f t="shared" si="30"/>
        <v>1</v>
      </c>
      <c r="BN293" s="553">
        <f t="shared" ref="BN293:BR293" si="31">BN249</f>
        <v>1</v>
      </c>
      <c r="BO293" s="553">
        <f t="shared" si="31"/>
        <v>1</v>
      </c>
      <c r="BP293" s="553">
        <f t="shared" si="31"/>
        <v>1</v>
      </c>
      <c r="BQ293" s="553">
        <f t="shared" si="31"/>
        <v>1</v>
      </c>
      <c r="BR293" s="553">
        <f t="shared" si="31"/>
        <v>0</v>
      </c>
      <c r="BS293" s="553">
        <f t="shared" ref="BS293:CJ293" si="32">BS249</f>
        <v>1</v>
      </c>
      <c r="BT293" s="553">
        <f t="shared" si="32"/>
        <v>0</v>
      </c>
      <c r="BU293" s="553">
        <f t="shared" si="32"/>
        <v>1</v>
      </c>
      <c r="BV293" s="553">
        <f t="shared" si="32"/>
        <v>1</v>
      </c>
      <c r="BW293" s="553">
        <f t="shared" si="32"/>
        <v>1</v>
      </c>
      <c r="BX293" s="553">
        <f t="shared" si="32"/>
        <v>1</v>
      </c>
      <c r="BY293" s="553">
        <f t="shared" si="32"/>
        <v>1</v>
      </c>
      <c r="BZ293" s="553">
        <f t="shared" si="32"/>
        <v>1</v>
      </c>
      <c r="CA293" s="553">
        <f t="shared" si="32"/>
        <v>1</v>
      </c>
      <c r="CB293" s="553">
        <f t="shared" si="32"/>
        <v>1</v>
      </c>
      <c r="CC293" s="553">
        <f t="shared" si="32"/>
        <v>1</v>
      </c>
      <c r="CD293" s="553">
        <f t="shared" si="32"/>
        <v>0</v>
      </c>
      <c r="CE293" s="553">
        <f t="shared" si="32"/>
        <v>1</v>
      </c>
      <c r="CF293" s="553">
        <f t="shared" si="32"/>
        <v>1</v>
      </c>
      <c r="CG293" s="553">
        <f t="shared" si="32"/>
        <v>1</v>
      </c>
      <c r="CH293" s="553">
        <f t="shared" si="32"/>
        <v>1</v>
      </c>
      <c r="CI293" s="553">
        <f t="shared" si="32"/>
        <v>0</v>
      </c>
      <c r="CJ293" s="553">
        <f t="shared" si="32"/>
        <v>0</v>
      </c>
      <c r="CK293" s="180"/>
      <c r="CL293" s="180"/>
      <c r="CM293" s="180"/>
      <c r="CN293" s="180"/>
      <c r="CO293" s="180"/>
      <c r="CP293" s="180"/>
      <c r="CQ293" s="180"/>
      <c r="CR293" s="180"/>
      <c r="CS293" s="180"/>
      <c r="CT293" s="180"/>
      <c r="CU293" s="180"/>
      <c r="CV293" s="180"/>
      <c r="CW293" s="180"/>
      <c r="CX293" s="180"/>
      <c r="CY293" s="180"/>
      <c r="CZ293" s="180"/>
    </row>
    <row r="294" spans="1:104" hidden="1" x14ac:dyDescent="0.3">
      <c r="A294" s="553">
        <f>A207</f>
        <v>951</v>
      </c>
      <c r="B294" s="553" t="str">
        <f t="shared" ref="B294:BM294" si="33">B207</f>
        <v>TD-Is there a finding for lack of technical skills, knowledge and experience (SKE) at this unit?</v>
      </c>
      <c r="C294" s="553">
        <f t="shared" si="33"/>
        <v>0</v>
      </c>
      <c r="D294" s="553">
        <f t="shared" si="33"/>
        <v>2</v>
      </c>
      <c r="E294" s="553">
        <f t="shared" si="33"/>
        <v>2</v>
      </c>
      <c r="F294" s="553">
        <f t="shared" si="33"/>
        <v>2</v>
      </c>
      <c r="G294" s="553">
        <f t="shared" si="33"/>
        <v>1</v>
      </c>
      <c r="H294" s="553">
        <f t="shared" si="33"/>
        <v>0</v>
      </c>
      <c r="I294" s="553">
        <f t="shared" si="33"/>
        <v>2</v>
      </c>
      <c r="J294" s="553">
        <f t="shared" si="33"/>
        <v>2</v>
      </c>
      <c r="K294" s="553">
        <f t="shared" si="33"/>
        <v>2</v>
      </c>
      <c r="L294" s="553">
        <f t="shared" si="33"/>
        <v>2</v>
      </c>
      <c r="M294" s="553">
        <f t="shared" si="33"/>
        <v>2</v>
      </c>
      <c r="N294" s="553">
        <f t="shared" si="33"/>
        <v>2</v>
      </c>
      <c r="O294" s="553">
        <f t="shared" si="33"/>
        <v>2</v>
      </c>
      <c r="P294" s="553">
        <f t="shared" si="33"/>
        <v>1</v>
      </c>
      <c r="Q294" s="553">
        <f t="shared" si="33"/>
        <v>1</v>
      </c>
      <c r="R294" s="553">
        <f t="shared" si="33"/>
        <v>2</v>
      </c>
      <c r="S294" s="553">
        <f t="shared" si="33"/>
        <v>2</v>
      </c>
      <c r="T294" s="553">
        <f t="shared" si="33"/>
        <v>2</v>
      </c>
      <c r="U294" s="553">
        <f t="shared" si="33"/>
        <v>2</v>
      </c>
      <c r="V294" s="553">
        <f t="shared" si="33"/>
        <v>1</v>
      </c>
      <c r="W294" s="553">
        <f t="shared" si="33"/>
        <v>2</v>
      </c>
      <c r="X294" s="553">
        <f t="shared" si="33"/>
        <v>2</v>
      </c>
      <c r="Y294" s="553">
        <f t="shared" si="33"/>
        <v>2</v>
      </c>
      <c r="Z294" s="553">
        <f t="shared" si="33"/>
        <v>2</v>
      </c>
      <c r="AA294" s="553">
        <f t="shared" si="33"/>
        <v>2</v>
      </c>
      <c r="AB294" s="553">
        <f t="shared" si="33"/>
        <v>2</v>
      </c>
      <c r="AC294" s="553">
        <f t="shared" si="33"/>
        <v>0</v>
      </c>
      <c r="AD294" s="553">
        <f t="shared" si="33"/>
        <v>2</v>
      </c>
      <c r="AE294" s="553">
        <f t="shared" si="33"/>
        <v>2</v>
      </c>
      <c r="AF294" s="553">
        <f t="shared" si="33"/>
        <v>2</v>
      </c>
      <c r="AG294" s="553">
        <f t="shared" si="33"/>
        <v>2</v>
      </c>
      <c r="AH294" s="553">
        <f t="shared" si="33"/>
        <v>2</v>
      </c>
      <c r="AI294" s="553">
        <f t="shared" si="33"/>
        <v>2</v>
      </c>
      <c r="AJ294" s="553">
        <f t="shared" si="33"/>
        <v>2</v>
      </c>
      <c r="AK294" s="553">
        <f t="shared" si="33"/>
        <v>2</v>
      </c>
      <c r="AL294" s="553">
        <f t="shared" si="33"/>
        <v>2</v>
      </c>
      <c r="AM294" s="553">
        <f t="shared" si="33"/>
        <v>0</v>
      </c>
      <c r="AN294" s="553">
        <f t="shared" si="33"/>
        <v>2</v>
      </c>
      <c r="AO294" s="553">
        <f t="shared" si="33"/>
        <v>0</v>
      </c>
      <c r="AP294" s="553">
        <f t="shared" si="33"/>
        <v>2</v>
      </c>
      <c r="AQ294" s="553">
        <f t="shared" si="33"/>
        <v>2</v>
      </c>
      <c r="AR294" s="553">
        <f t="shared" si="33"/>
        <v>1</v>
      </c>
      <c r="AS294" s="553">
        <f t="shared" si="33"/>
        <v>2</v>
      </c>
      <c r="AT294" s="553">
        <f t="shared" si="33"/>
        <v>2</v>
      </c>
      <c r="AU294" s="553">
        <f t="shared" si="33"/>
        <v>1</v>
      </c>
      <c r="AV294" s="553">
        <f t="shared" si="33"/>
        <v>2</v>
      </c>
      <c r="AW294" s="553">
        <f t="shared" si="33"/>
        <v>2</v>
      </c>
      <c r="AX294" s="553">
        <f t="shared" si="33"/>
        <v>2</v>
      </c>
      <c r="AY294" s="553">
        <f t="shared" si="33"/>
        <v>2</v>
      </c>
      <c r="AZ294" s="553">
        <f t="shared" si="33"/>
        <v>2</v>
      </c>
      <c r="BA294" s="553">
        <f t="shared" si="33"/>
        <v>2</v>
      </c>
      <c r="BB294" s="553">
        <f t="shared" si="33"/>
        <v>2</v>
      </c>
      <c r="BC294" s="553">
        <f t="shared" si="33"/>
        <v>2</v>
      </c>
      <c r="BD294" s="553">
        <f t="shared" si="33"/>
        <v>2</v>
      </c>
      <c r="BE294" s="553">
        <f t="shared" si="33"/>
        <v>2</v>
      </c>
      <c r="BF294" s="553">
        <f t="shared" si="33"/>
        <v>2</v>
      </c>
      <c r="BG294" s="553">
        <f t="shared" si="33"/>
        <v>2</v>
      </c>
      <c r="BH294" s="553">
        <f t="shared" si="33"/>
        <v>2</v>
      </c>
      <c r="BI294" s="553">
        <f t="shared" si="33"/>
        <v>2</v>
      </c>
      <c r="BJ294" s="553">
        <f t="shared" si="33"/>
        <v>2</v>
      </c>
      <c r="BK294" s="553">
        <f t="shared" si="33"/>
        <v>0</v>
      </c>
      <c r="BL294" s="553">
        <f t="shared" si="33"/>
        <v>2</v>
      </c>
      <c r="BM294" s="553">
        <f t="shared" si="33"/>
        <v>2</v>
      </c>
      <c r="BN294" s="553">
        <f t="shared" ref="BN294:BR294" si="34">BN207</f>
        <v>2</v>
      </c>
      <c r="BO294" s="553">
        <f t="shared" si="34"/>
        <v>2</v>
      </c>
      <c r="BP294" s="553">
        <f t="shared" si="34"/>
        <v>2</v>
      </c>
      <c r="BQ294" s="553">
        <f t="shared" si="34"/>
        <v>1</v>
      </c>
      <c r="BR294" s="553">
        <f t="shared" si="34"/>
        <v>0</v>
      </c>
      <c r="BS294" s="553">
        <f t="shared" ref="BS294:CJ294" si="35">BS207</f>
        <v>2</v>
      </c>
      <c r="BT294" s="553">
        <f t="shared" si="35"/>
        <v>0</v>
      </c>
      <c r="BU294" s="553">
        <f t="shared" si="35"/>
        <v>2</v>
      </c>
      <c r="BV294" s="553">
        <f t="shared" si="35"/>
        <v>2</v>
      </c>
      <c r="BW294" s="553">
        <f t="shared" si="35"/>
        <v>2</v>
      </c>
      <c r="BX294" s="553">
        <f t="shared" si="35"/>
        <v>2</v>
      </c>
      <c r="BY294" s="553">
        <f t="shared" si="35"/>
        <v>2</v>
      </c>
      <c r="BZ294" s="553">
        <f t="shared" si="35"/>
        <v>2</v>
      </c>
      <c r="CA294" s="553">
        <f t="shared" si="35"/>
        <v>2</v>
      </c>
      <c r="CB294" s="553">
        <f t="shared" si="35"/>
        <v>1</v>
      </c>
      <c r="CC294" s="553">
        <f t="shared" si="35"/>
        <v>2</v>
      </c>
      <c r="CD294" s="553">
        <f t="shared" si="35"/>
        <v>0</v>
      </c>
      <c r="CE294" s="553">
        <f t="shared" si="35"/>
        <v>2</v>
      </c>
      <c r="CF294" s="553">
        <f t="shared" si="35"/>
        <v>2</v>
      </c>
      <c r="CG294" s="553">
        <f t="shared" si="35"/>
        <v>2</v>
      </c>
      <c r="CH294" s="553">
        <f t="shared" si="35"/>
        <v>2</v>
      </c>
      <c r="CI294" s="553">
        <f t="shared" si="35"/>
        <v>0</v>
      </c>
      <c r="CJ294" s="553">
        <f t="shared" si="35"/>
        <v>0</v>
      </c>
      <c r="CK294" s="180"/>
      <c r="CL294" s="180"/>
      <c r="CM294" s="180"/>
      <c r="CN294" s="180"/>
      <c r="CO294" s="180"/>
      <c r="CP294" s="180"/>
      <c r="CQ294" s="180"/>
      <c r="CR294" s="180"/>
      <c r="CS294" s="180"/>
      <c r="CT294" s="180"/>
      <c r="CU294" s="180"/>
      <c r="CV294" s="180"/>
      <c r="CW294" s="180"/>
      <c r="CX294" s="180"/>
      <c r="CY294" s="180"/>
      <c r="CZ294" s="180"/>
    </row>
    <row r="295" spans="1:104" hidden="1" x14ac:dyDescent="0.3">
      <c r="A295" s="553">
        <f>A209</f>
        <v>953</v>
      </c>
      <c r="B295" s="553" t="str">
        <f t="shared" ref="B295:BM295" si="36">B209</f>
        <v>TD-Is there is a going concern finding noted in the audit report?</v>
      </c>
      <c r="C295" s="553">
        <f t="shared" si="36"/>
        <v>0</v>
      </c>
      <c r="D295" s="553">
        <f t="shared" si="36"/>
        <v>2</v>
      </c>
      <c r="E295" s="553">
        <f t="shared" si="36"/>
        <v>2</v>
      </c>
      <c r="F295" s="553">
        <f t="shared" si="36"/>
        <v>2</v>
      </c>
      <c r="G295" s="553">
        <f t="shared" si="36"/>
        <v>2</v>
      </c>
      <c r="H295" s="553">
        <f t="shared" si="36"/>
        <v>0</v>
      </c>
      <c r="I295" s="553">
        <f t="shared" si="36"/>
        <v>2</v>
      </c>
      <c r="J295" s="553">
        <f t="shared" si="36"/>
        <v>2</v>
      </c>
      <c r="K295" s="553">
        <f t="shared" si="36"/>
        <v>2</v>
      </c>
      <c r="L295" s="553">
        <f t="shared" si="36"/>
        <v>2</v>
      </c>
      <c r="M295" s="553">
        <f t="shared" si="36"/>
        <v>2</v>
      </c>
      <c r="N295" s="553">
        <f t="shared" si="36"/>
        <v>2</v>
      </c>
      <c r="O295" s="553">
        <f t="shared" si="36"/>
        <v>2</v>
      </c>
      <c r="P295" s="553">
        <f t="shared" si="36"/>
        <v>2</v>
      </c>
      <c r="Q295" s="553">
        <f t="shared" si="36"/>
        <v>2</v>
      </c>
      <c r="R295" s="553">
        <f t="shared" si="36"/>
        <v>2</v>
      </c>
      <c r="S295" s="553">
        <f t="shared" si="36"/>
        <v>2</v>
      </c>
      <c r="T295" s="553">
        <f t="shared" si="36"/>
        <v>2</v>
      </c>
      <c r="U295" s="553">
        <f t="shared" si="36"/>
        <v>2</v>
      </c>
      <c r="V295" s="553">
        <f t="shared" si="36"/>
        <v>2</v>
      </c>
      <c r="W295" s="553">
        <f t="shared" si="36"/>
        <v>2</v>
      </c>
      <c r="X295" s="553">
        <f t="shared" si="36"/>
        <v>2</v>
      </c>
      <c r="Y295" s="553">
        <f t="shared" si="36"/>
        <v>2</v>
      </c>
      <c r="Z295" s="553">
        <f t="shared" si="36"/>
        <v>2</v>
      </c>
      <c r="AA295" s="553">
        <f t="shared" si="36"/>
        <v>2</v>
      </c>
      <c r="AB295" s="553">
        <f t="shared" si="36"/>
        <v>2</v>
      </c>
      <c r="AC295" s="553">
        <f t="shared" si="36"/>
        <v>0</v>
      </c>
      <c r="AD295" s="553">
        <f t="shared" si="36"/>
        <v>2</v>
      </c>
      <c r="AE295" s="553">
        <f t="shared" si="36"/>
        <v>2</v>
      </c>
      <c r="AF295" s="553">
        <f t="shared" si="36"/>
        <v>2</v>
      </c>
      <c r="AG295" s="553">
        <f t="shared" si="36"/>
        <v>2</v>
      </c>
      <c r="AH295" s="553">
        <f t="shared" si="36"/>
        <v>2</v>
      </c>
      <c r="AI295" s="553">
        <f t="shared" si="36"/>
        <v>2</v>
      </c>
      <c r="AJ295" s="553">
        <f t="shared" si="36"/>
        <v>2</v>
      </c>
      <c r="AK295" s="553">
        <f t="shared" si="36"/>
        <v>2</v>
      </c>
      <c r="AL295" s="553">
        <f t="shared" si="36"/>
        <v>2</v>
      </c>
      <c r="AM295" s="553">
        <f t="shared" si="36"/>
        <v>0</v>
      </c>
      <c r="AN295" s="553">
        <f t="shared" si="36"/>
        <v>2</v>
      </c>
      <c r="AO295" s="553">
        <f t="shared" si="36"/>
        <v>0</v>
      </c>
      <c r="AP295" s="553">
        <f t="shared" si="36"/>
        <v>2</v>
      </c>
      <c r="AQ295" s="553">
        <f t="shared" si="36"/>
        <v>2</v>
      </c>
      <c r="AR295" s="553">
        <f t="shared" si="36"/>
        <v>2</v>
      </c>
      <c r="AS295" s="553">
        <f t="shared" si="36"/>
        <v>2</v>
      </c>
      <c r="AT295" s="553">
        <f t="shared" si="36"/>
        <v>2</v>
      </c>
      <c r="AU295" s="553">
        <f t="shared" si="36"/>
        <v>2</v>
      </c>
      <c r="AV295" s="553">
        <f t="shared" si="36"/>
        <v>2</v>
      </c>
      <c r="AW295" s="553">
        <f t="shared" si="36"/>
        <v>2</v>
      </c>
      <c r="AX295" s="553">
        <f t="shared" si="36"/>
        <v>2</v>
      </c>
      <c r="AY295" s="553">
        <f t="shared" si="36"/>
        <v>2</v>
      </c>
      <c r="AZ295" s="553">
        <f t="shared" si="36"/>
        <v>2</v>
      </c>
      <c r="BA295" s="553">
        <f t="shared" si="36"/>
        <v>2</v>
      </c>
      <c r="BB295" s="553">
        <f t="shared" si="36"/>
        <v>2</v>
      </c>
      <c r="BC295" s="553">
        <f t="shared" si="36"/>
        <v>2</v>
      </c>
      <c r="BD295" s="553">
        <f t="shared" si="36"/>
        <v>2</v>
      </c>
      <c r="BE295" s="553">
        <f t="shared" si="36"/>
        <v>2</v>
      </c>
      <c r="BF295" s="553">
        <f t="shared" si="36"/>
        <v>2</v>
      </c>
      <c r="BG295" s="553">
        <f t="shared" si="36"/>
        <v>2</v>
      </c>
      <c r="BH295" s="553">
        <f t="shared" si="36"/>
        <v>2</v>
      </c>
      <c r="BI295" s="553">
        <f t="shared" si="36"/>
        <v>2</v>
      </c>
      <c r="BJ295" s="553">
        <f t="shared" si="36"/>
        <v>2</v>
      </c>
      <c r="BK295" s="553">
        <f t="shared" si="36"/>
        <v>0</v>
      </c>
      <c r="BL295" s="553">
        <f t="shared" si="36"/>
        <v>2</v>
      </c>
      <c r="BM295" s="553">
        <f t="shared" si="36"/>
        <v>2</v>
      </c>
      <c r="BN295" s="553">
        <f t="shared" ref="BN295:BR295" si="37">BN209</f>
        <v>2</v>
      </c>
      <c r="BO295" s="553">
        <f t="shared" si="37"/>
        <v>2</v>
      </c>
      <c r="BP295" s="553">
        <f t="shared" si="37"/>
        <v>2</v>
      </c>
      <c r="BQ295" s="553">
        <f t="shared" si="37"/>
        <v>2</v>
      </c>
      <c r="BR295" s="553">
        <f t="shared" si="37"/>
        <v>0</v>
      </c>
      <c r="BS295" s="553">
        <f t="shared" ref="BS295:CJ295" si="38">BS209</f>
        <v>2</v>
      </c>
      <c r="BT295" s="553">
        <f t="shared" si="38"/>
        <v>0</v>
      </c>
      <c r="BU295" s="553">
        <f t="shared" si="38"/>
        <v>2</v>
      </c>
      <c r="BV295" s="553">
        <f t="shared" si="38"/>
        <v>2</v>
      </c>
      <c r="BW295" s="553">
        <f t="shared" si="38"/>
        <v>2</v>
      </c>
      <c r="BX295" s="553">
        <f t="shared" si="38"/>
        <v>2</v>
      </c>
      <c r="BY295" s="553">
        <f t="shared" si="38"/>
        <v>2</v>
      </c>
      <c r="BZ295" s="553">
        <f t="shared" si="38"/>
        <v>2</v>
      </c>
      <c r="CA295" s="553">
        <f t="shared" si="38"/>
        <v>2</v>
      </c>
      <c r="CB295" s="553">
        <f t="shared" si="38"/>
        <v>2</v>
      </c>
      <c r="CC295" s="553">
        <f t="shared" si="38"/>
        <v>2</v>
      </c>
      <c r="CD295" s="553">
        <f t="shared" si="38"/>
        <v>0</v>
      </c>
      <c r="CE295" s="553">
        <f t="shared" si="38"/>
        <v>2</v>
      </c>
      <c r="CF295" s="553">
        <f t="shared" si="38"/>
        <v>2</v>
      </c>
      <c r="CG295" s="553">
        <f t="shared" si="38"/>
        <v>2</v>
      </c>
      <c r="CH295" s="553">
        <f t="shared" si="38"/>
        <v>2</v>
      </c>
      <c r="CI295" s="553">
        <f t="shared" si="38"/>
        <v>0</v>
      </c>
      <c r="CJ295" s="553">
        <f t="shared" si="38"/>
        <v>0</v>
      </c>
      <c r="CK295" s="180"/>
      <c r="CL295" s="180"/>
      <c r="CM295" s="180"/>
      <c r="CN295" s="180"/>
      <c r="CO295" s="180"/>
      <c r="CP295" s="180"/>
      <c r="CQ295" s="180"/>
      <c r="CR295" s="180"/>
      <c r="CS295" s="180"/>
      <c r="CT295" s="180"/>
      <c r="CU295" s="180"/>
      <c r="CV295" s="180"/>
      <c r="CW295" s="180"/>
      <c r="CX295" s="180"/>
      <c r="CY295" s="180"/>
      <c r="CZ295" s="180"/>
    </row>
    <row r="296" spans="1:104" hidden="1" x14ac:dyDescent="0.3">
      <c r="A296" s="553">
        <f>A210</f>
        <v>955</v>
      </c>
      <c r="B296" s="553" t="str">
        <f t="shared" ref="B296:BM296" si="39">B210</f>
        <v>TD-Number of significant deficiency findings (other than in Questions 10-13 )</v>
      </c>
      <c r="C296" s="553">
        <f t="shared" si="39"/>
        <v>0</v>
      </c>
      <c r="D296" s="553">
        <f t="shared" si="39"/>
        <v>1</v>
      </c>
      <c r="E296" s="553">
        <f t="shared" si="39"/>
        <v>0</v>
      </c>
      <c r="F296" s="553">
        <f t="shared" si="39"/>
        <v>0</v>
      </c>
      <c r="G296" s="553">
        <f t="shared" si="39"/>
        <v>0</v>
      </c>
      <c r="H296" s="553">
        <f t="shared" si="39"/>
        <v>0</v>
      </c>
      <c r="I296" s="553">
        <f t="shared" si="39"/>
        <v>0</v>
      </c>
      <c r="J296" s="553">
        <f t="shared" si="39"/>
        <v>1</v>
      </c>
      <c r="K296" s="553">
        <f t="shared" si="39"/>
        <v>0</v>
      </c>
      <c r="L296" s="553">
        <f t="shared" si="39"/>
        <v>0</v>
      </c>
      <c r="M296" s="553">
        <f t="shared" si="39"/>
        <v>0</v>
      </c>
      <c r="N296" s="553">
        <f t="shared" si="39"/>
        <v>0</v>
      </c>
      <c r="O296" s="553">
        <f t="shared" si="39"/>
        <v>0</v>
      </c>
      <c r="P296" s="553">
        <f t="shared" si="39"/>
        <v>0</v>
      </c>
      <c r="Q296" s="553">
        <f t="shared" si="39"/>
        <v>0</v>
      </c>
      <c r="R296" s="553">
        <f t="shared" si="39"/>
        <v>1</v>
      </c>
      <c r="S296" s="553">
        <f t="shared" si="39"/>
        <v>0</v>
      </c>
      <c r="T296" s="553">
        <f t="shared" si="39"/>
        <v>1</v>
      </c>
      <c r="U296" s="553">
        <f t="shared" si="39"/>
        <v>0</v>
      </c>
      <c r="V296" s="553">
        <f t="shared" si="39"/>
        <v>2</v>
      </c>
      <c r="W296" s="553">
        <f t="shared" si="39"/>
        <v>2</v>
      </c>
      <c r="X296" s="553">
        <f t="shared" si="39"/>
        <v>0</v>
      </c>
      <c r="Y296" s="553">
        <f t="shared" si="39"/>
        <v>0</v>
      </c>
      <c r="Z296" s="553">
        <f t="shared" si="39"/>
        <v>0</v>
      </c>
      <c r="AA296" s="553">
        <f t="shared" si="39"/>
        <v>0</v>
      </c>
      <c r="AB296" s="553">
        <f t="shared" si="39"/>
        <v>0</v>
      </c>
      <c r="AC296" s="553">
        <f t="shared" si="39"/>
        <v>0</v>
      </c>
      <c r="AD296" s="553">
        <f t="shared" si="39"/>
        <v>0</v>
      </c>
      <c r="AE296" s="553">
        <f t="shared" si="39"/>
        <v>0</v>
      </c>
      <c r="AF296" s="553">
        <f t="shared" si="39"/>
        <v>0</v>
      </c>
      <c r="AG296" s="553">
        <f t="shared" si="39"/>
        <v>0</v>
      </c>
      <c r="AH296" s="553">
        <f t="shared" si="39"/>
        <v>0</v>
      </c>
      <c r="AI296" s="553">
        <f t="shared" si="39"/>
        <v>0</v>
      </c>
      <c r="AJ296" s="553">
        <f t="shared" si="39"/>
        <v>0</v>
      </c>
      <c r="AK296" s="553">
        <f t="shared" si="39"/>
        <v>0</v>
      </c>
      <c r="AL296" s="553">
        <f t="shared" si="39"/>
        <v>0</v>
      </c>
      <c r="AM296" s="553">
        <f t="shared" si="39"/>
        <v>0</v>
      </c>
      <c r="AN296" s="553">
        <f t="shared" si="39"/>
        <v>0</v>
      </c>
      <c r="AO296" s="553">
        <f t="shared" si="39"/>
        <v>0</v>
      </c>
      <c r="AP296" s="553">
        <f t="shared" si="39"/>
        <v>0</v>
      </c>
      <c r="AQ296" s="553">
        <f t="shared" si="39"/>
        <v>0</v>
      </c>
      <c r="AR296" s="553">
        <f t="shared" si="39"/>
        <v>0</v>
      </c>
      <c r="AS296" s="553">
        <f t="shared" si="39"/>
        <v>0</v>
      </c>
      <c r="AT296" s="553">
        <f t="shared" si="39"/>
        <v>0</v>
      </c>
      <c r="AU296" s="553">
        <f t="shared" si="39"/>
        <v>0</v>
      </c>
      <c r="AV296" s="553">
        <f t="shared" si="39"/>
        <v>0</v>
      </c>
      <c r="AW296" s="553">
        <f t="shared" si="39"/>
        <v>0</v>
      </c>
      <c r="AX296" s="553">
        <f t="shared" si="39"/>
        <v>4</v>
      </c>
      <c r="AY296" s="553">
        <f t="shared" si="39"/>
        <v>1</v>
      </c>
      <c r="AZ296" s="553">
        <f t="shared" si="39"/>
        <v>0</v>
      </c>
      <c r="BA296" s="553">
        <f t="shared" si="39"/>
        <v>0</v>
      </c>
      <c r="BB296" s="553">
        <f t="shared" si="39"/>
        <v>0</v>
      </c>
      <c r="BC296" s="553">
        <f t="shared" si="39"/>
        <v>0</v>
      </c>
      <c r="BD296" s="553">
        <f t="shared" si="39"/>
        <v>0</v>
      </c>
      <c r="BE296" s="553">
        <f t="shared" si="39"/>
        <v>0</v>
      </c>
      <c r="BF296" s="553">
        <f t="shared" si="39"/>
        <v>0</v>
      </c>
      <c r="BG296" s="553">
        <f t="shared" si="39"/>
        <v>0</v>
      </c>
      <c r="BH296" s="553">
        <f t="shared" si="39"/>
        <v>1</v>
      </c>
      <c r="BI296" s="553">
        <f t="shared" si="39"/>
        <v>0</v>
      </c>
      <c r="BJ296" s="553">
        <f t="shared" si="39"/>
        <v>0</v>
      </c>
      <c r="BK296" s="553">
        <f t="shared" si="39"/>
        <v>0</v>
      </c>
      <c r="BL296" s="553">
        <f t="shared" si="39"/>
        <v>1</v>
      </c>
      <c r="BM296" s="553">
        <f t="shared" si="39"/>
        <v>0</v>
      </c>
      <c r="BN296" s="553">
        <f t="shared" ref="BN296:BR296" si="40">BN210</f>
        <v>0</v>
      </c>
      <c r="BO296" s="553">
        <f t="shared" si="40"/>
        <v>1</v>
      </c>
      <c r="BP296" s="553">
        <f t="shared" si="40"/>
        <v>1</v>
      </c>
      <c r="BQ296" s="553">
        <f t="shared" si="40"/>
        <v>0</v>
      </c>
      <c r="BR296" s="553">
        <f t="shared" si="40"/>
        <v>0</v>
      </c>
      <c r="BS296" s="553">
        <f t="shared" ref="BS296:CJ296" si="41">BS210</f>
        <v>0</v>
      </c>
      <c r="BT296" s="553">
        <f t="shared" si="41"/>
        <v>0</v>
      </c>
      <c r="BU296" s="553">
        <f t="shared" si="41"/>
        <v>1</v>
      </c>
      <c r="BV296" s="553">
        <f t="shared" si="41"/>
        <v>0</v>
      </c>
      <c r="BW296" s="553">
        <f t="shared" si="41"/>
        <v>0</v>
      </c>
      <c r="BX296" s="553">
        <f t="shared" si="41"/>
        <v>0</v>
      </c>
      <c r="BY296" s="553">
        <f t="shared" si="41"/>
        <v>0</v>
      </c>
      <c r="BZ296" s="553">
        <f t="shared" si="41"/>
        <v>0</v>
      </c>
      <c r="CA296" s="553">
        <f t="shared" si="41"/>
        <v>0</v>
      </c>
      <c r="CB296" s="553">
        <f t="shared" si="41"/>
        <v>0</v>
      </c>
      <c r="CC296" s="553">
        <f t="shared" si="41"/>
        <v>1</v>
      </c>
      <c r="CD296" s="553">
        <f t="shared" si="41"/>
        <v>0</v>
      </c>
      <c r="CE296" s="553">
        <f t="shared" si="41"/>
        <v>0</v>
      </c>
      <c r="CF296" s="553">
        <f t="shared" si="41"/>
        <v>0</v>
      </c>
      <c r="CG296" s="553">
        <f t="shared" si="41"/>
        <v>0</v>
      </c>
      <c r="CH296" s="553">
        <f t="shared" si="41"/>
        <v>0</v>
      </c>
      <c r="CI296" s="553">
        <f t="shared" si="41"/>
        <v>0</v>
      </c>
      <c r="CJ296" s="553">
        <f t="shared" si="41"/>
        <v>0</v>
      </c>
      <c r="CK296" s="180"/>
      <c r="CL296" s="180"/>
      <c r="CM296" s="180"/>
      <c r="CN296" s="180"/>
      <c r="CO296" s="180"/>
      <c r="CP296" s="180"/>
      <c r="CQ296" s="180"/>
      <c r="CR296" s="180"/>
      <c r="CS296" s="180"/>
      <c r="CT296" s="180"/>
      <c r="CU296" s="180"/>
      <c r="CV296" s="180"/>
      <c r="CW296" s="180"/>
      <c r="CX296" s="180"/>
      <c r="CY296" s="180"/>
      <c r="CZ296" s="180"/>
    </row>
    <row r="297" spans="1:104" hidden="1" x14ac:dyDescent="0.3">
      <c r="A297" s="553">
        <f>A211</f>
        <v>957</v>
      </c>
      <c r="B297" s="553" t="str">
        <f t="shared" ref="B297:BM297" si="42">B211</f>
        <v>TD-Number of material weaknesses findings (other than in Questions 10-13)</v>
      </c>
      <c r="C297" s="553">
        <f t="shared" si="42"/>
        <v>0</v>
      </c>
      <c r="D297" s="553">
        <f t="shared" si="42"/>
        <v>0</v>
      </c>
      <c r="E297" s="553">
        <f t="shared" si="42"/>
        <v>0</v>
      </c>
      <c r="F297" s="553">
        <f t="shared" si="42"/>
        <v>0</v>
      </c>
      <c r="G297" s="553">
        <f t="shared" si="42"/>
        <v>0</v>
      </c>
      <c r="H297" s="553">
        <f t="shared" si="42"/>
        <v>0</v>
      </c>
      <c r="I297" s="553">
        <f t="shared" si="42"/>
        <v>1</v>
      </c>
      <c r="J297" s="553">
        <f t="shared" si="42"/>
        <v>0</v>
      </c>
      <c r="K297" s="553">
        <f t="shared" si="42"/>
        <v>0</v>
      </c>
      <c r="L297" s="553">
        <f t="shared" si="42"/>
        <v>0</v>
      </c>
      <c r="M297" s="553">
        <f t="shared" si="42"/>
        <v>1</v>
      </c>
      <c r="N297" s="553">
        <f t="shared" si="42"/>
        <v>1</v>
      </c>
      <c r="O297" s="553">
        <f t="shared" si="42"/>
        <v>0</v>
      </c>
      <c r="P297" s="553">
        <f t="shared" si="42"/>
        <v>0</v>
      </c>
      <c r="Q297" s="553">
        <f t="shared" si="42"/>
        <v>0</v>
      </c>
      <c r="R297" s="553">
        <f t="shared" si="42"/>
        <v>1</v>
      </c>
      <c r="S297" s="553">
        <f t="shared" si="42"/>
        <v>0</v>
      </c>
      <c r="T297" s="553">
        <f t="shared" si="42"/>
        <v>0</v>
      </c>
      <c r="U297" s="553">
        <f t="shared" si="42"/>
        <v>0</v>
      </c>
      <c r="V297" s="553">
        <f t="shared" si="42"/>
        <v>1</v>
      </c>
      <c r="W297" s="553">
        <f t="shared" si="42"/>
        <v>0</v>
      </c>
      <c r="X297" s="553">
        <f t="shared" si="42"/>
        <v>0</v>
      </c>
      <c r="Y297" s="553">
        <f t="shared" si="42"/>
        <v>0</v>
      </c>
      <c r="Z297" s="553">
        <f t="shared" si="42"/>
        <v>0</v>
      </c>
      <c r="AA297" s="553">
        <f t="shared" si="42"/>
        <v>0</v>
      </c>
      <c r="AB297" s="553">
        <f t="shared" si="42"/>
        <v>0</v>
      </c>
      <c r="AC297" s="553">
        <f t="shared" si="42"/>
        <v>0</v>
      </c>
      <c r="AD297" s="553">
        <f t="shared" si="42"/>
        <v>0</v>
      </c>
      <c r="AE297" s="553">
        <f t="shared" si="42"/>
        <v>0</v>
      </c>
      <c r="AF297" s="553">
        <f t="shared" si="42"/>
        <v>0</v>
      </c>
      <c r="AG297" s="553">
        <f t="shared" si="42"/>
        <v>1</v>
      </c>
      <c r="AH297" s="553">
        <f t="shared" si="42"/>
        <v>0</v>
      </c>
      <c r="AI297" s="553">
        <f t="shared" si="42"/>
        <v>0</v>
      </c>
      <c r="AJ297" s="553">
        <f t="shared" si="42"/>
        <v>0</v>
      </c>
      <c r="AK297" s="553">
        <f t="shared" si="42"/>
        <v>1</v>
      </c>
      <c r="AL297" s="553">
        <f t="shared" si="42"/>
        <v>1</v>
      </c>
      <c r="AM297" s="553">
        <f t="shared" si="42"/>
        <v>0</v>
      </c>
      <c r="AN297" s="553">
        <f t="shared" si="42"/>
        <v>0</v>
      </c>
      <c r="AO297" s="553">
        <f t="shared" si="42"/>
        <v>0</v>
      </c>
      <c r="AP297" s="553">
        <f t="shared" si="42"/>
        <v>0</v>
      </c>
      <c r="AQ297" s="553">
        <f t="shared" si="42"/>
        <v>0</v>
      </c>
      <c r="AR297" s="553">
        <f t="shared" si="42"/>
        <v>2</v>
      </c>
      <c r="AS297" s="553">
        <f t="shared" si="42"/>
        <v>0</v>
      </c>
      <c r="AT297" s="553">
        <f t="shared" si="42"/>
        <v>0</v>
      </c>
      <c r="AU297" s="553">
        <f t="shared" si="42"/>
        <v>0</v>
      </c>
      <c r="AV297" s="553">
        <f t="shared" si="42"/>
        <v>1</v>
      </c>
      <c r="AW297" s="553">
        <f t="shared" si="42"/>
        <v>0</v>
      </c>
      <c r="AX297" s="553">
        <f t="shared" si="42"/>
        <v>0</v>
      </c>
      <c r="AY297" s="553">
        <f t="shared" si="42"/>
        <v>2</v>
      </c>
      <c r="AZ297" s="553">
        <f t="shared" si="42"/>
        <v>0</v>
      </c>
      <c r="BA297" s="553">
        <f t="shared" si="42"/>
        <v>2</v>
      </c>
      <c r="BB297" s="553">
        <f t="shared" si="42"/>
        <v>0</v>
      </c>
      <c r="BC297" s="553">
        <f t="shared" si="42"/>
        <v>1</v>
      </c>
      <c r="BD297" s="553">
        <f t="shared" si="42"/>
        <v>0</v>
      </c>
      <c r="BE297" s="553">
        <f t="shared" si="42"/>
        <v>0</v>
      </c>
      <c r="BF297" s="553">
        <f t="shared" si="42"/>
        <v>0</v>
      </c>
      <c r="BG297" s="553">
        <f t="shared" si="42"/>
        <v>0</v>
      </c>
      <c r="BH297" s="553">
        <f t="shared" si="42"/>
        <v>0</v>
      </c>
      <c r="BI297" s="553">
        <f t="shared" si="42"/>
        <v>1</v>
      </c>
      <c r="BJ297" s="553">
        <f t="shared" si="42"/>
        <v>0</v>
      </c>
      <c r="BK297" s="553">
        <f t="shared" si="42"/>
        <v>0</v>
      </c>
      <c r="BL297" s="553">
        <f t="shared" si="42"/>
        <v>0</v>
      </c>
      <c r="BM297" s="553">
        <f t="shared" si="42"/>
        <v>0</v>
      </c>
      <c r="BN297" s="553">
        <f t="shared" ref="BN297:BR297" si="43">BN211</f>
        <v>0</v>
      </c>
      <c r="BO297" s="553">
        <f t="shared" si="43"/>
        <v>0</v>
      </c>
      <c r="BP297" s="553">
        <f t="shared" si="43"/>
        <v>0</v>
      </c>
      <c r="BQ297" s="553">
        <f t="shared" si="43"/>
        <v>0</v>
      </c>
      <c r="BR297" s="553">
        <f t="shared" si="43"/>
        <v>0</v>
      </c>
      <c r="BS297" s="553">
        <f t="shared" ref="BS297:CJ297" si="44">BS211</f>
        <v>0</v>
      </c>
      <c r="BT297" s="553">
        <f t="shared" si="44"/>
        <v>0</v>
      </c>
      <c r="BU297" s="553">
        <f t="shared" si="44"/>
        <v>0</v>
      </c>
      <c r="BV297" s="553">
        <f t="shared" si="44"/>
        <v>0</v>
      </c>
      <c r="BW297" s="553">
        <f t="shared" si="44"/>
        <v>0</v>
      </c>
      <c r="BX297" s="553">
        <f t="shared" si="44"/>
        <v>3</v>
      </c>
      <c r="BY297" s="553">
        <f t="shared" si="44"/>
        <v>0</v>
      </c>
      <c r="BZ297" s="553">
        <f t="shared" si="44"/>
        <v>0</v>
      </c>
      <c r="CA297" s="553">
        <f t="shared" si="44"/>
        <v>0</v>
      </c>
      <c r="CB297" s="553">
        <f t="shared" si="44"/>
        <v>0</v>
      </c>
      <c r="CC297" s="553">
        <f t="shared" si="44"/>
        <v>0</v>
      </c>
      <c r="CD297" s="553">
        <f t="shared" si="44"/>
        <v>0</v>
      </c>
      <c r="CE297" s="553">
        <f t="shared" si="44"/>
        <v>0</v>
      </c>
      <c r="CF297" s="553">
        <f t="shared" si="44"/>
        <v>0</v>
      </c>
      <c r="CG297" s="553">
        <f t="shared" si="44"/>
        <v>0</v>
      </c>
      <c r="CH297" s="553">
        <f t="shared" si="44"/>
        <v>0</v>
      </c>
      <c r="CI297" s="553">
        <f t="shared" si="44"/>
        <v>0</v>
      </c>
      <c r="CJ297" s="553">
        <f t="shared" si="44"/>
        <v>0</v>
      </c>
      <c r="CK297" s="180"/>
      <c r="CL297" s="180"/>
      <c r="CM297" s="180"/>
      <c r="CN297" s="180"/>
      <c r="CO297" s="180"/>
      <c r="CP297" s="180"/>
      <c r="CQ297" s="180"/>
      <c r="CR297" s="180"/>
      <c r="CS297" s="180"/>
      <c r="CT297" s="180"/>
      <c r="CU297" s="180"/>
      <c r="CV297" s="180"/>
      <c r="CW297" s="180"/>
      <c r="CX297" s="180"/>
      <c r="CY297" s="180"/>
      <c r="CZ297" s="180"/>
    </row>
    <row r="298" spans="1:104" hidden="1" x14ac:dyDescent="0.3">
      <c r="A298" s="553">
        <f>A218</f>
        <v>973</v>
      </c>
      <c r="B298" s="553" t="str">
        <f t="shared" ref="B298:BM298" si="45">B218</f>
        <v>Were there any issues or other matters presented to the Governing Board regarding internal controls (not already listed as a material weakness or significant deficiency?</v>
      </c>
      <c r="C298" s="553">
        <f t="shared" si="45"/>
        <v>0</v>
      </c>
      <c r="D298" s="553">
        <f t="shared" si="45"/>
        <v>0</v>
      </c>
      <c r="E298" s="553">
        <f t="shared" si="45"/>
        <v>0</v>
      </c>
      <c r="F298" s="553">
        <f t="shared" si="45"/>
        <v>0</v>
      </c>
      <c r="G298" s="553">
        <f t="shared" si="45"/>
        <v>0</v>
      </c>
      <c r="H298" s="553">
        <f t="shared" si="45"/>
        <v>0</v>
      </c>
      <c r="I298" s="553">
        <f t="shared" si="45"/>
        <v>0</v>
      </c>
      <c r="J298" s="553">
        <f t="shared" si="45"/>
        <v>0</v>
      </c>
      <c r="K298" s="553">
        <f t="shared" si="45"/>
        <v>0</v>
      </c>
      <c r="L298" s="553">
        <f t="shared" si="45"/>
        <v>0</v>
      </c>
      <c r="M298" s="553">
        <f t="shared" si="45"/>
        <v>0</v>
      </c>
      <c r="N298" s="553">
        <f t="shared" si="45"/>
        <v>0</v>
      </c>
      <c r="O298" s="553">
        <f t="shared" si="45"/>
        <v>0</v>
      </c>
      <c r="P298" s="553">
        <f t="shared" si="45"/>
        <v>0</v>
      </c>
      <c r="Q298" s="553">
        <f t="shared" si="45"/>
        <v>0</v>
      </c>
      <c r="R298" s="553">
        <f t="shared" si="45"/>
        <v>0</v>
      </c>
      <c r="S298" s="553">
        <f t="shared" si="45"/>
        <v>0</v>
      </c>
      <c r="T298" s="553">
        <f t="shared" si="45"/>
        <v>0</v>
      </c>
      <c r="U298" s="553">
        <f t="shared" si="45"/>
        <v>0</v>
      </c>
      <c r="V298" s="553">
        <f t="shared" si="45"/>
        <v>0</v>
      </c>
      <c r="W298" s="553">
        <f t="shared" si="45"/>
        <v>0</v>
      </c>
      <c r="X298" s="553">
        <f t="shared" si="45"/>
        <v>0</v>
      </c>
      <c r="Y298" s="553">
        <f t="shared" si="45"/>
        <v>0</v>
      </c>
      <c r="Z298" s="553">
        <f t="shared" si="45"/>
        <v>0</v>
      </c>
      <c r="AA298" s="553">
        <f t="shared" si="45"/>
        <v>0</v>
      </c>
      <c r="AB298" s="553">
        <f t="shared" si="45"/>
        <v>0</v>
      </c>
      <c r="AC298" s="553">
        <f t="shared" si="45"/>
        <v>0</v>
      </c>
      <c r="AD298" s="553">
        <f t="shared" si="45"/>
        <v>0</v>
      </c>
      <c r="AE298" s="553">
        <f t="shared" si="45"/>
        <v>0</v>
      </c>
      <c r="AF298" s="553">
        <f t="shared" si="45"/>
        <v>0</v>
      </c>
      <c r="AG298" s="553">
        <f t="shared" si="45"/>
        <v>0</v>
      </c>
      <c r="AH298" s="553">
        <f t="shared" si="45"/>
        <v>0</v>
      </c>
      <c r="AI298" s="553">
        <f t="shared" si="45"/>
        <v>0</v>
      </c>
      <c r="AJ298" s="553">
        <f t="shared" si="45"/>
        <v>0</v>
      </c>
      <c r="AK298" s="553">
        <f t="shared" si="45"/>
        <v>0</v>
      </c>
      <c r="AL298" s="553">
        <f t="shared" si="45"/>
        <v>0</v>
      </c>
      <c r="AM298" s="553">
        <f t="shared" si="45"/>
        <v>0</v>
      </c>
      <c r="AN298" s="553">
        <f t="shared" si="45"/>
        <v>0</v>
      </c>
      <c r="AO298" s="553">
        <f t="shared" si="45"/>
        <v>0</v>
      </c>
      <c r="AP298" s="553">
        <f t="shared" si="45"/>
        <v>0</v>
      </c>
      <c r="AQ298" s="553">
        <f t="shared" si="45"/>
        <v>0</v>
      </c>
      <c r="AR298" s="553">
        <f t="shared" si="45"/>
        <v>1</v>
      </c>
      <c r="AS298" s="553">
        <f t="shared" si="45"/>
        <v>0</v>
      </c>
      <c r="AT298" s="553">
        <f t="shared" si="45"/>
        <v>0</v>
      </c>
      <c r="AU298" s="553">
        <f t="shared" si="45"/>
        <v>0</v>
      </c>
      <c r="AV298" s="553">
        <f t="shared" si="45"/>
        <v>0</v>
      </c>
      <c r="AW298" s="553">
        <f t="shared" si="45"/>
        <v>0</v>
      </c>
      <c r="AX298" s="553">
        <f t="shared" si="45"/>
        <v>0</v>
      </c>
      <c r="AY298" s="553">
        <f t="shared" si="45"/>
        <v>0</v>
      </c>
      <c r="AZ298" s="553">
        <f t="shared" si="45"/>
        <v>0</v>
      </c>
      <c r="BA298" s="553">
        <f t="shared" si="45"/>
        <v>1</v>
      </c>
      <c r="BB298" s="553">
        <f t="shared" si="45"/>
        <v>0</v>
      </c>
      <c r="BC298" s="553">
        <f t="shared" si="45"/>
        <v>0</v>
      </c>
      <c r="BD298" s="553">
        <f t="shared" si="45"/>
        <v>0</v>
      </c>
      <c r="BE298" s="553">
        <f t="shared" si="45"/>
        <v>0</v>
      </c>
      <c r="BF298" s="553">
        <f t="shared" si="45"/>
        <v>0</v>
      </c>
      <c r="BG298" s="553">
        <f t="shared" si="45"/>
        <v>0</v>
      </c>
      <c r="BH298" s="553">
        <f t="shared" si="45"/>
        <v>1</v>
      </c>
      <c r="BI298" s="553">
        <f t="shared" si="45"/>
        <v>0</v>
      </c>
      <c r="BJ298" s="553">
        <f t="shared" si="45"/>
        <v>0</v>
      </c>
      <c r="BK298" s="553">
        <f t="shared" si="45"/>
        <v>0</v>
      </c>
      <c r="BL298" s="553">
        <f t="shared" si="45"/>
        <v>0</v>
      </c>
      <c r="BM298" s="553">
        <f t="shared" si="45"/>
        <v>0</v>
      </c>
      <c r="BN298" s="553">
        <f t="shared" ref="BN298:BR298" si="46">BN218</f>
        <v>0</v>
      </c>
      <c r="BO298" s="553">
        <f t="shared" si="46"/>
        <v>0</v>
      </c>
      <c r="BP298" s="553">
        <f t="shared" si="46"/>
        <v>0</v>
      </c>
      <c r="BQ298" s="553">
        <f t="shared" si="46"/>
        <v>0</v>
      </c>
      <c r="BR298" s="553">
        <f t="shared" si="46"/>
        <v>0</v>
      </c>
      <c r="BS298" s="553">
        <f t="shared" ref="BS298:CJ298" si="47">BS218</f>
        <v>0</v>
      </c>
      <c r="BT298" s="553">
        <f t="shared" si="47"/>
        <v>0</v>
      </c>
      <c r="BU298" s="553">
        <f t="shared" si="47"/>
        <v>0</v>
      </c>
      <c r="BV298" s="553">
        <f t="shared" si="47"/>
        <v>0</v>
      </c>
      <c r="BW298" s="553">
        <f t="shared" si="47"/>
        <v>0</v>
      </c>
      <c r="BX298" s="553">
        <f t="shared" si="47"/>
        <v>1</v>
      </c>
      <c r="BY298" s="553">
        <f t="shared" si="47"/>
        <v>0</v>
      </c>
      <c r="BZ298" s="553">
        <f t="shared" si="47"/>
        <v>0</v>
      </c>
      <c r="CA298" s="553">
        <f t="shared" si="47"/>
        <v>0</v>
      </c>
      <c r="CB298" s="553">
        <f t="shared" si="47"/>
        <v>0</v>
      </c>
      <c r="CC298" s="553">
        <f t="shared" si="47"/>
        <v>1</v>
      </c>
      <c r="CD298" s="553">
        <f t="shared" si="47"/>
        <v>0</v>
      </c>
      <c r="CE298" s="553">
        <f t="shared" si="47"/>
        <v>0</v>
      </c>
      <c r="CF298" s="553">
        <f t="shared" si="47"/>
        <v>0</v>
      </c>
      <c r="CG298" s="553">
        <f t="shared" si="47"/>
        <v>0</v>
      </c>
      <c r="CH298" s="553">
        <f t="shared" si="47"/>
        <v>0</v>
      </c>
      <c r="CI298" s="553">
        <f t="shared" si="47"/>
        <v>0</v>
      </c>
      <c r="CJ298" s="553">
        <f t="shared" si="47"/>
        <v>0</v>
      </c>
      <c r="CK298" s="180"/>
      <c r="CL298" s="180"/>
      <c r="CM298" s="180"/>
      <c r="CN298" s="180"/>
      <c r="CO298" s="180"/>
      <c r="CP298" s="180"/>
      <c r="CQ298" s="180"/>
      <c r="CR298" s="180"/>
      <c r="CS298" s="180"/>
      <c r="CT298" s="180"/>
      <c r="CU298" s="180"/>
      <c r="CV298" s="180"/>
      <c r="CW298" s="180"/>
      <c r="CX298" s="180"/>
      <c r="CY298" s="180"/>
      <c r="CZ298" s="180"/>
    </row>
    <row r="299" spans="1:104" hidden="1" x14ac:dyDescent="0.3">
      <c r="A299" s="553">
        <f>A212</f>
        <v>959</v>
      </c>
      <c r="B299" s="553" t="str">
        <f t="shared" ref="B299:BM299" si="48">B212</f>
        <v>TD-Did unit have their debt service payments restructured in this fiscal year? (does not include refinancings designed to take advantage of lower interest rates)</v>
      </c>
      <c r="C299" s="553">
        <f t="shared" si="48"/>
        <v>0</v>
      </c>
      <c r="D299" s="553">
        <f t="shared" si="48"/>
        <v>2</v>
      </c>
      <c r="E299" s="553">
        <f t="shared" si="48"/>
        <v>2</v>
      </c>
      <c r="F299" s="553">
        <f t="shared" si="48"/>
        <v>2</v>
      </c>
      <c r="G299" s="553">
        <f t="shared" si="48"/>
        <v>2</v>
      </c>
      <c r="H299" s="553">
        <f t="shared" si="48"/>
        <v>0</v>
      </c>
      <c r="I299" s="553">
        <f t="shared" si="48"/>
        <v>2</v>
      </c>
      <c r="J299" s="553">
        <f t="shared" si="48"/>
        <v>2</v>
      </c>
      <c r="K299" s="553">
        <f t="shared" si="48"/>
        <v>2</v>
      </c>
      <c r="L299" s="553">
        <f t="shared" si="48"/>
        <v>3</v>
      </c>
      <c r="M299" s="553">
        <f t="shared" si="48"/>
        <v>2</v>
      </c>
      <c r="N299" s="553">
        <f t="shared" si="48"/>
        <v>3</v>
      </c>
      <c r="O299" s="553">
        <f t="shared" si="48"/>
        <v>2</v>
      </c>
      <c r="P299" s="553">
        <f t="shared" si="48"/>
        <v>3</v>
      </c>
      <c r="Q299" s="553">
        <f t="shared" si="48"/>
        <v>3</v>
      </c>
      <c r="R299" s="553">
        <f t="shared" si="48"/>
        <v>3</v>
      </c>
      <c r="S299" s="553">
        <f t="shared" si="48"/>
        <v>3</v>
      </c>
      <c r="T299" s="553">
        <f t="shared" si="48"/>
        <v>2</v>
      </c>
      <c r="U299" s="553">
        <f t="shared" si="48"/>
        <v>2</v>
      </c>
      <c r="V299" s="553">
        <f t="shared" si="48"/>
        <v>3</v>
      </c>
      <c r="W299" s="553">
        <f t="shared" si="48"/>
        <v>2</v>
      </c>
      <c r="X299" s="553">
        <f t="shared" si="48"/>
        <v>2</v>
      </c>
      <c r="Y299" s="553">
        <f t="shared" si="48"/>
        <v>2</v>
      </c>
      <c r="Z299" s="553">
        <f t="shared" si="48"/>
        <v>2</v>
      </c>
      <c r="AA299" s="553">
        <f t="shared" si="48"/>
        <v>2</v>
      </c>
      <c r="AB299" s="553">
        <f t="shared" si="48"/>
        <v>2</v>
      </c>
      <c r="AC299" s="553">
        <f t="shared" si="48"/>
        <v>0</v>
      </c>
      <c r="AD299" s="553">
        <f t="shared" si="48"/>
        <v>2</v>
      </c>
      <c r="AE299" s="553">
        <f t="shared" si="48"/>
        <v>3</v>
      </c>
      <c r="AF299" s="553">
        <f t="shared" si="48"/>
        <v>2</v>
      </c>
      <c r="AG299" s="553">
        <f t="shared" si="48"/>
        <v>2</v>
      </c>
      <c r="AH299" s="553">
        <f t="shared" si="48"/>
        <v>2</v>
      </c>
      <c r="AI299" s="553">
        <f t="shared" si="48"/>
        <v>2</v>
      </c>
      <c r="AJ299" s="553">
        <f t="shared" si="48"/>
        <v>2</v>
      </c>
      <c r="AK299" s="553">
        <f t="shared" si="48"/>
        <v>2</v>
      </c>
      <c r="AL299" s="553">
        <f t="shared" si="48"/>
        <v>2</v>
      </c>
      <c r="AM299" s="553">
        <f t="shared" si="48"/>
        <v>0</v>
      </c>
      <c r="AN299" s="553">
        <f t="shared" si="48"/>
        <v>2</v>
      </c>
      <c r="AO299" s="553">
        <f t="shared" si="48"/>
        <v>0</v>
      </c>
      <c r="AP299" s="553">
        <f t="shared" si="48"/>
        <v>2</v>
      </c>
      <c r="AQ299" s="553">
        <f t="shared" si="48"/>
        <v>2</v>
      </c>
      <c r="AR299" s="553">
        <f t="shared" si="48"/>
        <v>3</v>
      </c>
      <c r="AS299" s="553">
        <f t="shared" si="48"/>
        <v>2</v>
      </c>
      <c r="AT299" s="553">
        <f t="shared" si="48"/>
        <v>2</v>
      </c>
      <c r="AU299" s="553">
        <f t="shared" si="48"/>
        <v>2</v>
      </c>
      <c r="AV299" s="553">
        <f t="shared" si="48"/>
        <v>3</v>
      </c>
      <c r="AW299" s="553">
        <f t="shared" si="48"/>
        <v>2</v>
      </c>
      <c r="AX299" s="553">
        <f t="shared" si="48"/>
        <v>2</v>
      </c>
      <c r="AY299" s="553">
        <f t="shared" si="48"/>
        <v>2</v>
      </c>
      <c r="AZ299" s="553">
        <f t="shared" si="48"/>
        <v>2</v>
      </c>
      <c r="BA299" s="553">
        <f t="shared" si="48"/>
        <v>2</v>
      </c>
      <c r="BB299" s="553">
        <f t="shared" si="48"/>
        <v>3</v>
      </c>
      <c r="BC299" s="553">
        <f t="shared" si="48"/>
        <v>2</v>
      </c>
      <c r="BD299" s="553">
        <f t="shared" si="48"/>
        <v>3</v>
      </c>
      <c r="BE299" s="553">
        <f t="shared" si="48"/>
        <v>2</v>
      </c>
      <c r="BF299" s="553">
        <f t="shared" si="48"/>
        <v>2</v>
      </c>
      <c r="BG299" s="553">
        <f t="shared" si="48"/>
        <v>3</v>
      </c>
      <c r="BH299" s="553">
        <f t="shared" si="48"/>
        <v>3</v>
      </c>
      <c r="BI299" s="553">
        <f t="shared" si="48"/>
        <v>2</v>
      </c>
      <c r="BJ299" s="553">
        <f t="shared" si="48"/>
        <v>3</v>
      </c>
      <c r="BK299" s="553">
        <f t="shared" si="48"/>
        <v>0</v>
      </c>
      <c r="BL299" s="553">
        <f t="shared" si="48"/>
        <v>2</v>
      </c>
      <c r="BM299" s="553">
        <f t="shared" si="48"/>
        <v>3</v>
      </c>
      <c r="BN299" s="553">
        <f t="shared" ref="BN299:BR299" si="49">BN212</f>
        <v>2</v>
      </c>
      <c r="BO299" s="553">
        <f t="shared" si="49"/>
        <v>2</v>
      </c>
      <c r="BP299" s="553">
        <f t="shared" si="49"/>
        <v>2</v>
      </c>
      <c r="BQ299" s="553">
        <f t="shared" si="49"/>
        <v>3</v>
      </c>
      <c r="BR299" s="553">
        <f t="shared" si="49"/>
        <v>0</v>
      </c>
      <c r="BS299" s="553">
        <f t="shared" ref="BS299:CJ299" si="50">BS212</f>
        <v>2</v>
      </c>
      <c r="BT299" s="553">
        <f t="shared" si="50"/>
        <v>0</v>
      </c>
      <c r="BU299" s="553">
        <f t="shared" si="50"/>
        <v>3</v>
      </c>
      <c r="BV299" s="553">
        <f t="shared" si="50"/>
        <v>2</v>
      </c>
      <c r="BW299" s="553">
        <f t="shared" si="50"/>
        <v>2</v>
      </c>
      <c r="BX299" s="553">
        <f t="shared" si="50"/>
        <v>3</v>
      </c>
      <c r="BY299" s="553">
        <f t="shared" si="50"/>
        <v>2</v>
      </c>
      <c r="BZ299" s="553">
        <f t="shared" si="50"/>
        <v>2</v>
      </c>
      <c r="CA299" s="553">
        <f t="shared" si="50"/>
        <v>3</v>
      </c>
      <c r="CB299" s="553">
        <f t="shared" si="50"/>
        <v>3</v>
      </c>
      <c r="CC299" s="553">
        <f t="shared" si="50"/>
        <v>2</v>
      </c>
      <c r="CD299" s="553">
        <f t="shared" si="50"/>
        <v>0</v>
      </c>
      <c r="CE299" s="553">
        <f t="shared" si="50"/>
        <v>2</v>
      </c>
      <c r="CF299" s="553">
        <f t="shared" si="50"/>
        <v>2</v>
      </c>
      <c r="CG299" s="553">
        <f t="shared" si="50"/>
        <v>2</v>
      </c>
      <c r="CH299" s="553">
        <f t="shared" si="50"/>
        <v>3</v>
      </c>
      <c r="CI299" s="553">
        <f t="shared" si="50"/>
        <v>0</v>
      </c>
      <c r="CJ299" s="553">
        <f t="shared" si="50"/>
        <v>0</v>
      </c>
      <c r="CK299" s="180"/>
      <c r="CL299" s="180"/>
      <c r="CM299" s="180"/>
      <c r="CN299" s="180"/>
      <c r="CO299" s="180"/>
      <c r="CP299" s="180"/>
      <c r="CQ299" s="180"/>
      <c r="CR299" s="180"/>
      <c r="CS299" s="180"/>
      <c r="CT299" s="180"/>
      <c r="CU299" s="180"/>
      <c r="CV299" s="180"/>
      <c r="CW299" s="180"/>
      <c r="CX299" s="180"/>
      <c r="CY299" s="180"/>
      <c r="CZ299" s="180"/>
    </row>
    <row r="300" spans="1:104" hidden="1" x14ac:dyDescent="0.3">
      <c r="A300" s="553">
        <f>A219</f>
        <v>974</v>
      </c>
      <c r="B300" s="553" t="str">
        <f t="shared" ref="B300:BM300" si="51">B219</f>
        <v>Did the Unit have any of the following occur:
1.  Were any debt service payments deferred or restructured in this fiscal year? (does not include refinancings designed to take advantage of lower interest rates)
2.  Bond covenants were not met
3.  Debt serv</v>
      </c>
      <c r="C300" s="553">
        <f t="shared" si="51"/>
        <v>0</v>
      </c>
      <c r="D300" s="553">
        <f t="shared" si="51"/>
        <v>2</v>
      </c>
      <c r="E300" s="553">
        <f t="shared" si="51"/>
        <v>2</v>
      </c>
      <c r="F300" s="553">
        <f t="shared" si="51"/>
        <v>3</v>
      </c>
      <c r="G300" s="553">
        <f t="shared" si="51"/>
        <v>2</v>
      </c>
      <c r="H300" s="553">
        <f t="shared" si="51"/>
        <v>0</v>
      </c>
      <c r="I300" s="553">
        <f t="shared" si="51"/>
        <v>2</v>
      </c>
      <c r="J300" s="553">
        <f t="shared" si="51"/>
        <v>2</v>
      </c>
      <c r="K300" s="553">
        <f t="shared" si="51"/>
        <v>2</v>
      </c>
      <c r="L300" s="553">
        <f t="shared" si="51"/>
        <v>3</v>
      </c>
      <c r="M300" s="553">
        <f t="shared" si="51"/>
        <v>2</v>
      </c>
      <c r="N300" s="553">
        <f t="shared" si="51"/>
        <v>3</v>
      </c>
      <c r="O300" s="553">
        <f t="shared" si="51"/>
        <v>2</v>
      </c>
      <c r="P300" s="553">
        <f t="shared" si="51"/>
        <v>3</v>
      </c>
      <c r="Q300" s="553">
        <f t="shared" si="51"/>
        <v>3</v>
      </c>
      <c r="R300" s="553">
        <f t="shared" si="51"/>
        <v>3</v>
      </c>
      <c r="S300" s="553">
        <f t="shared" si="51"/>
        <v>3</v>
      </c>
      <c r="T300" s="553">
        <f t="shared" si="51"/>
        <v>2</v>
      </c>
      <c r="U300" s="553">
        <f t="shared" si="51"/>
        <v>2</v>
      </c>
      <c r="V300" s="553">
        <f t="shared" si="51"/>
        <v>3</v>
      </c>
      <c r="W300" s="553">
        <f t="shared" si="51"/>
        <v>2</v>
      </c>
      <c r="X300" s="553">
        <f t="shared" si="51"/>
        <v>2</v>
      </c>
      <c r="Y300" s="553">
        <f t="shared" si="51"/>
        <v>2</v>
      </c>
      <c r="Z300" s="553">
        <f t="shared" si="51"/>
        <v>2</v>
      </c>
      <c r="AA300" s="553">
        <f t="shared" si="51"/>
        <v>2</v>
      </c>
      <c r="AB300" s="553">
        <f t="shared" si="51"/>
        <v>2</v>
      </c>
      <c r="AC300" s="553">
        <f t="shared" si="51"/>
        <v>0</v>
      </c>
      <c r="AD300" s="553">
        <f t="shared" si="51"/>
        <v>2</v>
      </c>
      <c r="AE300" s="553">
        <f t="shared" si="51"/>
        <v>3</v>
      </c>
      <c r="AF300" s="553">
        <f t="shared" si="51"/>
        <v>2</v>
      </c>
      <c r="AG300" s="553">
        <f t="shared" si="51"/>
        <v>3</v>
      </c>
      <c r="AH300" s="553">
        <f t="shared" si="51"/>
        <v>3</v>
      </c>
      <c r="AI300" s="553">
        <f t="shared" si="51"/>
        <v>2</v>
      </c>
      <c r="AJ300" s="553">
        <f t="shared" si="51"/>
        <v>2</v>
      </c>
      <c r="AK300" s="553">
        <f t="shared" si="51"/>
        <v>2</v>
      </c>
      <c r="AL300" s="553">
        <f t="shared" si="51"/>
        <v>2</v>
      </c>
      <c r="AM300" s="553">
        <f t="shared" si="51"/>
        <v>0</v>
      </c>
      <c r="AN300" s="553">
        <f t="shared" si="51"/>
        <v>2</v>
      </c>
      <c r="AO300" s="553">
        <f t="shared" si="51"/>
        <v>0</v>
      </c>
      <c r="AP300" s="553">
        <f t="shared" si="51"/>
        <v>2</v>
      </c>
      <c r="AQ300" s="553">
        <f t="shared" si="51"/>
        <v>2</v>
      </c>
      <c r="AR300" s="553">
        <f t="shared" si="51"/>
        <v>3</v>
      </c>
      <c r="AS300" s="553">
        <f t="shared" si="51"/>
        <v>2</v>
      </c>
      <c r="AT300" s="553">
        <f t="shared" si="51"/>
        <v>2</v>
      </c>
      <c r="AU300" s="553">
        <f t="shared" si="51"/>
        <v>1</v>
      </c>
      <c r="AV300" s="553">
        <f t="shared" si="51"/>
        <v>3</v>
      </c>
      <c r="AW300" s="553">
        <f t="shared" si="51"/>
        <v>2</v>
      </c>
      <c r="AX300" s="553">
        <f t="shared" si="51"/>
        <v>2</v>
      </c>
      <c r="AY300" s="553">
        <f t="shared" si="51"/>
        <v>2</v>
      </c>
      <c r="AZ300" s="553">
        <f t="shared" si="51"/>
        <v>3</v>
      </c>
      <c r="BA300" s="553">
        <f t="shared" si="51"/>
        <v>2</v>
      </c>
      <c r="BB300" s="553">
        <f t="shared" si="51"/>
        <v>2</v>
      </c>
      <c r="BC300" s="553">
        <f t="shared" si="51"/>
        <v>2</v>
      </c>
      <c r="BD300" s="553">
        <f t="shared" si="51"/>
        <v>3</v>
      </c>
      <c r="BE300" s="553">
        <f t="shared" si="51"/>
        <v>2</v>
      </c>
      <c r="BF300" s="553">
        <f t="shared" si="51"/>
        <v>2</v>
      </c>
      <c r="BG300" s="553">
        <f t="shared" si="51"/>
        <v>3</v>
      </c>
      <c r="BH300" s="553">
        <f t="shared" si="51"/>
        <v>3</v>
      </c>
      <c r="BI300" s="553">
        <f t="shared" si="51"/>
        <v>2</v>
      </c>
      <c r="BJ300" s="553">
        <f t="shared" si="51"/>
        <v>3</v>
      </c>
      <c r="BK300" s="553">
        <f t="shared" si="51"/>
        <v>0</v>
      </c>
      <c r="BL300" s="553">
        <f t="shared" si="51"/>
        <v>2</v>
      </c>
      <c r="BM300" s="553">
        <f t="shared" si="51"/>
        <v>3</v>
      </c>
      <c r="BN300" s="553">
        <f t="shared" ref="BN300:BR300" si="52">BN219</f>
        <v>2</v>
      </c>
      <c r="BO300" s="553">
        <f t="shared" si="52"/>
        <v>2</v>
      </c>
      <c r="BP300" s="553">
        <f t="shared" si="52"/>
        <v>2</v>
      </c>
      <c r="BQ300" s="553">
        <f t="shared" si="52"/>
        <v>3</v>
      </c>
      <c r="BR300" s="553">
        <f t="shared" si="52"/>
        <v>0</v>
      </c>
      <c r="BS300" s="553">
        <f t="shared" ref="BS300:CJ300" si="53">BS219</f>
        <v>2</v>
      </c>
      <c r="BT300" s="553">
        <f t="shared" si="53"/>
        <v>0</v>
      </c>
      <c r="BU300" s="553">
        <f t="shared" si="53"/>
        <v>3</v>
      </c>
      <c r="BV300" s="553">
        <f t="shared" si="53"/>
        <v>2</v>
      </c>
      <c r="BW300" s="553">
        <f t="shared" si="53"/>
        <v>2</v>
      </c>
      <c r="BX300" s="553">
        <f t="shared" si="53"/>
        <v>3</v>
      </c>
      <c r="BY300" s="553">
        <f t="shared" si="53"/>
        <v>2</v>
      </c>
      <c r="BZ300" s="553">
        <f t="shared" si="53"/>
        <v>2</v>
      </c>
      <c r="CA300" s="553">
        <f t="shared" si="53"/>
        <v>2</v>
      </c>
      <c r="CB300" s="553">
        <f t="shared" si="53"/>
        <v>3</v>
      </c>
      <c r="CC300" s="553">
        <f t="shared" si="53"/>
        <v>2</v>
      </c>
      <c r="CD300" s="553">
        <f t="shared" si="53"/>
        <v>0</v>
      </c>
      <c r="CE300" s="553">
        <f t="shared" si="53"/>
        <v>2</v>
      </c>
      <c r="CF300" s="553">
        <f t="shared" si="53"/>
        <v>2</v>
      </c>
      <c r="CG300" s="553">
        <f t="shared" si="53"/>
        <v>2</v>
      </c>
      <c r="CH300" s="553">
        <f t="shared" si="53"/>
        <v>3</v>
      </c>
      <c r="CI300" s="553">
        <f t="shared" si="53"/>
        <v>0</v>
      </c>
      <c r="CJ300" s="553">
        <f t="shared" si="53"/>
        <v>0</v>
      </c>
      <c r="CK300" s="552"/>
      <c r="CL300" s="552"/>
      <c r="CM300" s="552"/>
      <c r="CN300" s="552"/>
      <c r="CO300" s="552"/>
      <c r="CP300" s="552"/>
      <c r="CQ300" s="552"/>
      <c r="CR300" s="552"/>
      <c r="CS300" s="552"/>
      <c r="CT300" s="552"/>
      <c r="CU300" s="552"/>
      <c r="CV300" s="552"/>
      <c r="CW300" s="552"/>
      <c r="CX300" s="552"/>
      <c r="CY300" s="552"/>
      <c r="CZ300" s="552"/>
    </row>
    <row r="301" spans="1:104" hidden="1" x14ac:dyDescent="0.3">
      <c r="A301" s="553">
        <f>A220</f>
        <v>975</v>
      </c>
      <c r="B301" s="553" t="str">
        <f t="shared" ref="B301:BM301" si="54">B220</f>
        <v>Does the Performance Indicator Print worksheet in this workbook have a red shaded cell?</v>
      </c>
      <c r="C301" s="553">
        <f t="shared" si="54"/>
        <v>0</v>
      </c>
      <c r="D301" s="553">
        <f t="shared" si="54"/>
        <v>1</v>
      </c>
      <c r="E301" s="553">
        <f t="shared" si="54"/>
        <v>2</v>
      </c>
      <c r="F301" s="553">
        <f t="shared" si="54"/>
        <v>1</v>
      </c>
      <c r="G301" s="553">
        <f t="shared" si="54"/>
        <v>1</v>
      </c>
      <c r="H301" s="553">
        <f t="shared" si="54"/>
        <v>0</v>
      </c>
      <c r="I301" s="553">
        <f t="shared" si="54"/>
        <v>1</v>
      </c>
      <c r="J301" s="553">
        <f t="shared" si="54"/>
        <v>1</v>
      </c>
      <c r="K301" s="553">
        <f t="shared" si="54"/>
        <v>2</v>
      </c>
      <c r="L301" s="553">
        <f t="shared" si="54"/>
        <v>1</v>
      </c>
      <c r="M301" s="553">
        <f t="shared" si="54"/>
        <v>1</v>
      </c>
      <c r="N301" s="553">
        <f t="shared" si="54"/>
        <v>1</v>
      </c>
      <c r="O301" s="553">
        <f t="shared" si="54"/>
        <v>2</v>
      </c>
      <c r="P301" s="553">
        <f t="shared" si="54"/>
        <v>1</v>
      </c>
      <c r="Q301" s="553">
        <f t="shared" si="54"/>
        <v>2</v>
      </c>
      <c r="R301" s="553">
        <f t="shared" si="54"/>
        <v>1</v>
      </c>
      <c r="S301" s="553">
        <f t="shared" si="54"/>
        <v>2</v>
      </c>
      <c r="T301" s="553">
        <f t="shared" si="54"/>
        <v>1</v>
      </c>
      <c r="U301" s="553">
        <f t="shared" si="54"/>
        <v>1</v>
      </c>
      <c r="V301" s="553">
        <f t="shared" si="54"/>
        <v>1</v>
      </c>
      <c r="W301" s="553">
        <f t="shared" si="54"/>
        <v>1</v>
      </c>
      <c r="X301" s="553">
        <f t="shared" si="54"/>
        <v>2</v>
      </c>
      <c r="Y301" s="553">
        <f t="shared" si="54"/>
        <v>2</v>
      </c>
      <c r="Z301" s="553">
        <f t="shared" si="54"/>
        <v>2</v>
      </c>
      <c r="AA301" s="553">
        <f t="shared" si="54"/>
        <v>1</v>
      </c>
      <c r="AB301" s="553">
        <f t="shared" si="54"/>
        <v>2</v>
      </c>
      <c r="AC301" s="553">
        <f t="shared" si="54"/>
        <v>0</v>
      </c>
      <c r="AD301" s="553">
        <f t="shared" si="54"/>
        <v>1</v>
      </c>
      <c r="AE301" s="553">
        <f t="shared" si="54"/>
        <v>2</v>
      </c>
      <c r="AF301" s="553">
        <f t="shared" si="54"/>
        <v>2</v>
      </c>
      <c r="AG301" s="553">
        <f t="shared" si="54"/>
        <v>1</v>
      </c>
      <c r="AH301" s="553">
        <f t="shared" si="54"/>
        <v>1</v>
      </c>
      <c r="AI301" s="553">
        <f t="shared" si="54"/>
        <v>1</v>
      </c>
      <c r="AJ301" s="553">
        <f t="shared" si="54"/>
        <v>2</v>
      </c>
      <c r="AK301" s="553">
        <f t="shared" si="54"/>
        <v>1</v>
      </c>
      <c r="AL301" s="553">
        <f t="shared" si="54"/>
        <v>1</v>
      </c>
      <c r="AM301" s="553">
        <f t="shared" si="54"/>
        <v>0</v>
      </c>
      <c r="AN301" s="553">
        <f t="shared" si="54"/>
        <v>2</v>
      </c>
      <c r="AO301" s="553">
        <f t="shared" si="54"/>
        <v>0</v>
      </c>
      <c r="AP301" s="553">
        <f t="shared" si="54"/>
        <v>2</v>
      </c>
      <c r="AQ301" s="553">
        <f t="shared" si="54"/>
        <v>1</v>
      </c>
      <c r="AR301" s="553">
        <f t="shared" si="54"/>
        <v>1</v>
      </c>
      <c r="AS301" s="553">
        <f t="shared" si="54"/>
        <v>1</v>
      </c>
      <c r="AT301" s="553">
        <f t="shared" si="54"/>
        <v>2</v>
      </c>
      <c r="AU301" s="553">
        <f t="shared" si="54"/>
        <v>1</v>
      </c>
      <c r="AV301" s="553">
        <f t="shared" si="54"/>
        <v>1</v>
      </c>
      <c r="AW301" s="553">
        <f t="shared" si="54"/>
        <v>2</v>
      </c>
      <c r="AX301" s="553">
        <f t="shared" si="54"/>
        <v>1</v>
      </c>
      <c r="AY301" s="553">
        <f t="shared" si="54"/>
        <v>1</v>
      </c>
      <c r="AZ301" s="553">
        <f t="shared" si="54"/>
        <v>2</v>
      </c>
      <c r="BA301" s="553">
        <f t="shared" si="54"/>
        <v>1</v>
      </c>
      <c r="BB301" s="553">
        <f t="shared" si="54"/>
        <v>2</v>
      </c>
      <c r="BC301" s="553">
        <f t="shared" si="54"/>
        <v>1</v>
      </c>
      <c r="BD301" s="553">
        <f t="shared" si="54"/>
        <v>2</v>
      </c>
      <c r="BE301" s="553">
        <f t="shared" si="54"/>
        <v>2</v>
      </c>
      <c r="BF301" s="553">
        <f t="shared" si="54"/>
        <v>2</v>
      </c>
      <c r="BG301" s="553">
        <f t="shared" si="54"/>
        <v>1</v>
      </c>
      <c r="BH301" s="553">
        <f t="shared" si="54"/>
        <v>1</v>
      </c>
      <c r="BI301" s="553">
        <f t="shared" si="54"/>
        <v>1</v>
      </c>
      <c r="BJ301" s="553">
        <f t="shared" si="54"/>
        <v>2</v>
      </c>
      <c r="BK301" s="553">
        <f t="shared" si="54"/>
        <v>0</v>
      </c>
      <c r="BL301" s="553">
        <f t="shared" si="54"/>
        <v>1</v>
      </c>
      <c r="BM301" s="553">
        <f t="shared" si="54"/>
        <v>1</v>
      </c>
      <c r="BN301" s="553">
        <f t="shared" ref="BN301:BR301" si="55">BN220</f>
        <v>2</v>
      </c>
      <c r="BO301" s="553">
        <f t="shared" si="55"/>
        <v>1</v>
      </c>
      <c r="BP301" s="553">
        <f t="shared" si="55"/>
        <v>1</v>
      </c>
      <c r="BQ301" s="553">
        <f t="shared" si="55"/>
        <v>1</v>
      </c>
      <c r="BR301" s="553">
        <f t="shared" si="55"/>
        <v>0</v>
      </c>
      <c r="BS301" s="553">
        <f t="shared" ref="BS301:CJ301" si="56">BS220</f>
        <v>1</v>
      </c>
      <c r="BT301" s="553">
        <f t="shared" si="56"/>
        <v>0</v>
      </c>
      <c r="BU301" s="553">
        <f t="shared" si="56"/>
        <v>1</v>
      </c>
      <c r="BV301" s="553">
        <f t="shared" si="56"/>
        <v>1</v>
      </c>
      <c r="BW301" s="553">
        <f t="shared" si="56"/>
        <v>1</v>
      </c>
      <c r="BX301" s="553">
        <f t="shared" si="56"/>
        <v>1</v>
      </c>
      <c r="BY301" s="553">
        <f t="shared" si="56"/>
        <v>1</v>
      </c>
      <c r="BZ301" s="553">
        <f t="shared" si="56"/>
        <v>1</v>
      </c>
      <c r="CA301" s="553">
        <f t="shared" si="56"/>
        <v>2</v>
      </c>
      <c r="CB301" s="553">
        <f t="shared" si="56"/>
        <v>1</v>
      </c>
      <c r="CC301" s="553">
        <f t="shared" si="56"/>
        <v>1</v>
      </c>
      <c r="CD301" s="553">
        <f t="shared" si="56"/>
        <v>0</v>
      </c>
      <c r="CE301" s="553">
        <f t="shared" si="56"/>
        <v>2</v>
      </c>
      <c r="CF301" s="553">
        <f t="shared" si="56"/>
        <v>1</v>
      </c>
      <c r="CG301" s="553">
        <f t="shared" si="56"/>
        <v>1</v>
      </c>
      <c r="CH301" s="553">
        <f t="shared" si="56"/>
        <v>2</v>
      </c>
      <c r="CI301" s="553">
        <f t="shared" si="56"/>
        <v>0</v>
      </c>
      <c r="CJ301" s="553">
        <f t="shared" si="56"/>
        <v>0</v>
      </c>
      <c r="CK301" s="552"/>
      <c r="CL301" s="552"/>
      <c r="CM301" s="552"/>
      <c r="CN301" s="552"/>
      <c r="CO301" s="552"/>
      <c r="CP301" s="552"/>
      <c r="CQ301" s="552"/>
      <c r="CR301" s="552"/>
      <c r="CS301" s="552"/>
      <c r="CT301" s="552"/>
      <c r="CU301" s="552"/>
      <c r="CV301" s="552"/>
      <c r="CW301" s="552"/>
      <c r="CX301" s="552"/>
      <c r="CY301" s="552"/>
      <c r="CZ301" s="552"/>
    </row>
    <row r="302" spans="1:104" hidden="1" x14ac:dyDescent="0.3">
      <c r="A302" s="553">
        <f>A250</f>
        <v>1068</v>
      </c>
      <c r="B302" s="553" t="str">
        <f t="shared" ref="B302:BM302" si="57">B250</f>
        <v>Does the unit have a self-insurance fund?</v>
      </c>
      <c r="C302" s="553">
        <f t="shared" si="57"/>
        <v>0</v>
      </c>
      <c r="D302" s="553">
        <f t="shared" si="57"/>
        <v>2</v>
      </c>
      <c r="E302" s="553">
        <f t="shared" si="57"/>
        <v>2</v>
      </c>
      <c r="F302" s="553">
        <f t="shared" si="57"/>
        <v>2</v>
      </c>
      <c r="G302" s="553">
        <f t="shared" si="57"/>
        <v>2</v>
      </c>
      <c r="H302" s="553">
        <f t="shared" si="57"/>
        <v>0</v>
      </c>
      <c r="I302" s="553">
        <f t="shared" si="57"/>
        <v>2</v>
      </c>
      <c r="J302" s="553">
        <f t="shared" si="57"/>
        <v>2</v>
      </c>
      <c r="K302" s="553">
        <f t="shared" si="57"/>
        <v>2</v>
      </c>
      <c r="L302" s="553">
        <f t="shared" si="57"/>
        <v>2</v>
      </c>
      <c r="M302" s="553">
        <f t="shared" si="57"/>
        <v>2</v>
      </c>
      <c r="N302" s="553">
        <f t="shared" si="57"/>
        <v>2</v>
      </c>
      <c r="O302" s="553">
        <f t="shared" si="57"/>
        <v>1</v>
      </c>
      <c r="P302" s="553">
        <f t="shared" si="57"/>
        <v>2</v>
      </c>
      <c r="Q302" s="553">
        <f t="shared" si="57"/>
        <v>2</v>
      </c>
      <c r="R302" s="553">
        <f t="shared" si="57"/>
        <v>2</v>
      </c>
      <c r="S302" s="553">
        <f t="shared" si="57"/>
        <v>2</v>
      </c>
      <c r="T302" s="553">
        <f t="shared" si="57"/>
        <v>2</v>
      </c>
      <c r="U302" s="553">
        <f t="shared" si="57"/>
        <v>2</v>
      </c>
      <c r="V302" s="553">
        <f t="shared" si="57"/>
        <v>2</v>
      </c>
      <c r="W302" s="553">
        <f t="shared" si="57"/>
        <v>2</v>
      </c>
      <c r="X302" s="553">
        <f t="shared" si="57"/>
        <v>2</v>
      </c>
      <c r="Y302" s="553">
        <f t="shared" si="57"/>
        <v>1</v>
      </c>
      <c r="Z302" s="553">
        <f t="shared" si="57"/>
        <v>2</v>
      </c>
      <c r="AA302" s="553">
        <f t="shared" si="57"/>
        <v>2</v>
      </c>
      <c r="AB302" s="553">
        <f t="shared" si="57"/>
        <v>2</v>
      </c>
      <c r="AC302" s="553">
        <f t="shared" si="57"/>
        <v>0</v>
      </c>
      <c r="AD302" s="553">
        <f t="shared" si="57"/>
        <v>2</v>
      </c>
      <c r="AE302" s="553">
        <f t="shared" si="57"/>
        <v>2</v>
      </c>
      <c r="AF302" s="553">
        <f t="shared" si="57"/>
        <v>2</v>
      </c>
      <c r="AG302" s="553">
        <f t="shared" si="57"/>
        <v>2</v>
      </c>
      <c r="AH302" s="553">
        <f t="shared" si="57"/>
        <v>2</v>
      </c>
      <c r="AI302" s="553">
        <f t="shared" si="57"/>
        <v>2</v>
      </c>
      <c r="AJ302" s="553">
        <f t="shared" si="57"/>
        <v>2</v>
      </c>
      <c r="AK302" s="553">
        <f t="shared" si="57"/>
        <v>2</v>
      </c>
      <c r="AL302" s="553">
        <f t="shared" si="57"/>
        <v>2</v>
      </c>
      <c r="AM302" s="553">
        <f t="shared" si="57"/>
        <v>0</v>
      </c>
      <c r="AN302" s="553">
        <f t="shared" si="57"/>
        <v>2</v>
      </c>
      <c r="AO302" s="553">
        <f t="shared" si="57"/>
        <v>0</v>
      </c>
      <c r="AP302" s="553">
        <f t="shared" si="57"/>
        <v>2</v>
      </c>
      <c r="AQ302" s="553">
        <f t="shared" si="57"/>
        <v>1</v>
      </c>
      <c r="AR302" s="553">
        <f t="shared" si="57"/>
        <v>2</v>
      </c>
      <c r="AS302" s="553">
        <f t="shared" si="57"/>
        <v>2</v>
      </c>
      <c r="AT302" s="553">
        <f t="shared" si="57"/>
        <v>2</v>
      </c>
      <c r="AU302" s="553">
        <f t="shared" si="57"/>
        <v>2</v>
      </c>
      <c r="AV302" s="553">
        <f t="shared" si="57"/>
        <v>2</v>
      </c>
      <c r="AW302" s="553">
        <f t="shared" si="57"/>
        <v>2</v>
      </c>
      <c r="AX302" s="553">
        <f t="shared" si="57"/>
        <v>2</v>
      </c>
      <c r="AY302" s="553">
        <f t="shared" si="57"/>
        <v>2</v>
      </c>
      <c r="AZ302" s="553">
        <f t="shared" si="57"/>
        <v>2</v>
      </c>
      <c r="BA302" s="553">
        <f t="shared" si="57"/>
        <v>2</v>
      </c>
      <c r="BB302" s="553">
        <f t="shared" si="57"/>
        <v>2</v>
      </c>
      <c r="BC302" s="553">
        <f t="shared" si="57"/>
        <v>2</v>
      </c>
      <c r="BD302" s="553">
        <f t="shared" si="57"/>
        <v>2</v>
      </c>
      <c r="BE302" s="553">
        <f t="shared" si="57"/>
        <v>2</v>
      </c>
      <c r="BF302" s="553">
        <f t="shared" si="57"/>
        <v>2</v>
      </c>
      <c r="BG302" s="553">
        <f t="shared" si="57"/>
        <v>2</v>
      </c>
      <c r="BH302" s="553">
        <f t="shared" si="57"/>
        <v>2</v>
      </c>
      <c r="BI302" s="553">
        <f t="shared" si="57"/>
        <v>2</v>
      </c>
      <c r="BJ302" s="553">
        <f t="shared" si="57"/>
        <v>2</v>
      </c>
      <c r="BK302" s="553">
        <f t="shared" si="57"/>
        <v>0</v>
      </c>
      <c r="BL302" s="553">
        <f t="shared" si="57"/>
        <v>2</v>
      </c>
      <c r="BM302" s="553">
        <f t="shared" si="57"/>
        <v>2</v>
      </c>
      <c r="BN302" s="553">
        <f t="shared" ref="BN302:BR302" si="58">BN250</f>
        <v>2</v>
      </c>
      <c r="BO302" s="553">
        <f t="shared" si="58"/>
        <v>2</v>
      </c>
      <c r="BP302" s="553">
        <f t="shared" si="58"/>
        <v>1</v>
      </c>
      <c r="BQ302" s="553">
        <f t="shared" si="58"/>
        <v>2</v>
      </c>
      <c r="BR302" s="553">
        <f t="shared" si="58"/>
        <v>0</v>
      </c>
      <c r="BS302" s="553">
        <f t="shared" ref="BS302:CJ302" si="59">BS250</f>
        <v>2</v>
      </c>
      <c r="BT302" s="553">
        <f t="shared" si="59"/>
        <v>0</v>
      </c>
      <c r="BU302" s="553">
        <f t="shared" si="59"/>
        <v>2</v>
      </c>
      <c r="BV302" s="553">
        <f t="shared" si="59"/>
        <v>1</v>
      </c>
      <c r="BW302" s="553">
        <f t="shared" si="59"/>
        <v>2</v>
      </c>
      <c r="BX302" s="553">
        <f t="shared" si="59"/>
        <v>2</v>
      </c>
      <c r="BY302" s="553">
        <f t="shared" si="59"/>
        <v>2</v>
      </c>
      <c r="BZ302" s="553">
        <f t="shared" si="59"/>
        <v>2</v>
      </c>
      <c r="CA302" s="553">
        <f t="shared" si="59"/>
        <v>2</v>
      </c>
      <c r="CB302" s="553">
        <f t="shared" si="59"/>
        <v>2</v>
      </c>
      <c r="CC302" s="553">
        <f t="shared" si="59"/>
        <v>0</v>
      </c>
      <c r="CD302" s="553">
        <f t="shared" si="59"/>
        <v>0</v>
      </c>
      <c r="CE302" s="553">
        <f t="shared" si="59"/>
        <v>2</v>
      </c>
      <c r="CF302" s="553">
        <f t="shared" si="59"/>
        <v>2</v>
      </c>
      <c r="CG302" s="553">
        <f t="shared" si="59"/>
        <v>2</v>
      </c>
      <c r="CH302" s="553">
        <f t="shared" si="59"/>
        <v>2</v>
      </c>
      <c r="CI302" s="553">
        <f t="shared" si="59"/>
        <v>0</v>
      </c>
      <c r="CJ302" s="553">
        <f t="shared" si="59"/>
        <v>0</v>
      </c>
      <c r="CK302" s="552"/>
      <c r="CL302" s="552"/>
      <c r="CM302" s="552"/>
      <c r="CN302" s="552"/>
      <c r="CO302" s="552"/>
      <c r="CP302" s="552"/>
      <c r="CQ302" s="552"/>
      <c r="CR302" s="552"/>
      <c r="CS302" s="552"/>
      <c r="CT302" s="552"/>
      <c r="CU302" s="552"/>
      <c r="CV302" s="552"/>
      <c r="CW302" s="552"/>
      <c r="CX302" s="552"/>
      <c r="CY302" s="552"/>
      <c r="CZ302" s="552"/>
    </row>
    <row r="303" spans="1:104" hidden="1" x14ac:dyDescent="0.3">
      <c r="A303" s="553">
        <f>A251</f>
        <v>1069</v>
      </c>
      <c r="B303" s="553" t="str">
        <f t="shared" ref="B303:BM303" si="60">B251</f>
        <v>If the unit is self-insured for employee health care, does the unit use a qualified consultant to establish rates and appropriate reserve levels?</v>
      </c>
      <c r="C303" s="553">
        <f t="shared" si="60"/>
        <v>0</v>
      </c>
      <c r="D303" s="553">
        <f t="shared" si="60"/>
        <v>2</v>
      </c>
      <c r="E303" s="553">
        <f t="shared" si="60"/>
        <v>3</v>
      </c>
      <c r="F303" s="553">
        <f t="shared" si="60"/>
        <v>3</v>
      </c>
      <c r="G303" s="553">
        <f t="shared" si="60"/>
        <v>3</v>
      </c>
      <c r="H303" s="553">
        <f t="shared" si="60"/>
        <v>0</v>
      </c>
      <c r="I303" s="553">
        <f t="shared" si="60"/>
        <v>3</v>
      </c>
      <c r="J303" s="553">
        <f t="shared" si="60"/>
        <v>3</v>
      </c>
      <c r="K303" s="553">
        <f t="shared" si="60"/>
        <v>3</v>
      </c>
      <c r="L303" s="553">
        <f t="shared" si="60"/>
        <v>3</v>
      </c>
      <c r="M303" s="553">
        <f t="shared" si="60"/>
        <v>3</v>
      </c>
      <c r="N303" s="553">
        <f t="shared" si="60"/>
        <v>3</v>
      </c>
      <c r="O303" s="553">
        <f t="shared" si="60"/>
        <v>1</v>
      </c>
      <c r="P303" s="553">
        <f t="shared" si="60"/>
        <v>3</v>
      </c>
      <c r="Q303" s="553">
        <f t="shared" si="60"/>
        <v>3</v>
      </c>
      <c r="R303" s="553">
        <f t="shared" si="60"/>
        <v>3</v>
      </c>
      <c r="S303" s="553">
        <f t="shared" si="60"/>
        <v>3</v>
      </c>
      <c r="T303" s="553">
        <f t="shared" si="60"/>
        <v>2</v>
      </c>
      <c r="U303" s="553">
        <f t="shared" si="60"/>
        <v>3</v>
      </c>
      <c r="V303" s="553">
        <f t="shared" si="60"/>
        <v>3</v>
      </c>
      <c r="W303" s="553">
        <f t="shared" si="60"/>
        <v>3</v>
      </c>
      <c r="X303" s="553">
        <f t="shared" si="60"/>
        <v>3</v>
      </c>
      <c r="Y303" s="553">
        <f t="shared" si="60"/>
        <v>1</v>
      </c>
      <c r="Z303" s="553">
        <f t="shared" si="60"/>
        <v>3</v>
      </c>
      <c r="AA303" s="553">
        <f t="shared" si="60"/>
        <v>3</v>
      </c>
      <c r="AB303" s="553">
        <f t="shared" si="60"/>
        <v>3</v>
      </c>
      <c r="AC303" s="553">
        <f t="shared" si="60"/>
        <v>0</v>
      </c>
      <c r="AD303" s="553">
        <f t="shared" si="60"/>
        <v>3</v>
      </c>
      <c r="AE303" s="553">
        <f t="shared" si="60"/>
        <v>3</v>
      </c>
      <c r="AF303" s="553">
        <f t="shared" si="60"/>
        <v>2</v>
      </c>
      <c r="AG303" s="553">
        <f t="shared" si="60"/>
        <v>3</v>
      </c>
      <c r="AH303" s="553">
        <f t="shared" si="60"/>
        <v>3</v>
      </c>
      <c r="AI303" s="553">
        <f t="shared" si="60"/>
        <v>2</v>
      </c>
      <c r="AJ303" s="553">
        <f t="shared" si="60"/>
        <v>3</v>
      </c>
      <c r="AK303" s="553">
        <f t="shared" si="60"/>
        <v>3</v>
      </c>
      <c r="AL303" s="553">
        <f t="shared" si="60"/>
        <v>3</v>
      </c>
      <c r="AM303" s="553">
        <f t="shared" si="60"/>
        <v>0</v>
      </c>
      <c r="AN303" s="553">
        <f t="shared" si="60"/>
        <v>3</v>
      </c>
      <c r="AO303" s="553">
        <f t="shared" si="60"/>
        <v>0</v>
      </c>
      <c r="AP303" s="553">
        <f t="shared" si="60"/>
        <v>3</v>
      </c>
      <c r="AQ303" s="553">
        <f t="shared" si="60"/>
        <v>1</v>
      </c>
      <c r="AR303" s="553">
        <f t="shared" si="60"/>
        <v>3</v>
      </c>
      <c r="AS303" s="553">
        <f t="shared" si="60"/>
        <v>2</v>
      </c>
      <c r="AT303" s="553">
        <f t="shared" si="60"/>
        <v>3</v>
      </c>
      <c r="AU303" s="553">
        <f t="shared" si="60"/>
        <v>3</v>
      </c>
      <c r="AV303" s="553">
        <f t="shared" si="60"/>
        <v>3</v>
      </c>
      <c r="AW303" s="553">
        <f t="shared" si="60"/>
        <v>3</v>
      </c>
      <c r="AX303" s="553">
        <f t="shared" si="60"/>
        <v>3</v>
      </c>
      <c r="AY303" s="553">
        <f t="shared" si="60"/>
        <v>3</v>
      </c>
      <c r="AZ303" s="553">
        <f t="shared" si="60"/>
        <v>2</v>
      </c>
      <c r="BA303" s="553">
        <f t="shared" si="60"/>
        <v>2</v>
      </c>
      <c r="BB303" s="553">
        <f t="shared" si="60"/>
        <v>3</v>
      </c>
      <c r="BC303" s="553">
        <f t="shared" si="60"/>
        <v>3</v>
      </c>
      <c r="BD303" s="553">
        <f t="shared" si="60"/>
        <v>3</v>
      </c>
      <c r="BE303" s="553">
        <f t="shared" si="60"/>
        <v>1</v>
      </c>
      <c r="BF303" s="553">
        <f t="shared" si="60"/>
        <v>3</v>
      </c>
      <c r="BG303" s="553">
        <f t="shared" si="60"/>
        <v>3</v>
      </c>
      <c r="BH303" s="553">
        <f t="shared" si="60"/>
        <v>3</v>
      </c>
      <c r="BI303" s="553">
        <f t="shared" si="60"/>
        <v>3</v>
      </c>
      <c r="BJ303" s="553">
        <f t="shared" si="60"/>
        <v>3</v>
      </c>
      <c r="BK303" s="553">
        <f t="shared" si="60"/>
        <v>0</v>
      </c>
      <c r="BL303" s="553">
        <f t="shared" si="60"/>
        <v>3</v>
      </c>
      <c r="BM303" s="553">
        <f t="shared" si="60"/>
        <v>3</v>
      </c>
      <c r="BN303" s="553">
        <f t="shared" ref="BN303:BR303" si="61">BN251</f>
        <v>3</v>
      </c>
      <c r="BO303" s="553">
        <f t="shared" si="61"/>
        <v>2</v>
      </c>
      <c r="BP303" s="553">
        <f t="shared" si="61"/>
        <v>1</v>
      </c>
      <c r="BQ303" s="553">
        <f t="shared" si="61"/>
        <v>3</v>
      </c>
      <c r="BR303" s="553">
        <f t="shared" si="61"/>
        <v>0</v>
      </c>
      <c r="BS303" s="553">
        <f t="shared" ref="BS303:CJ303" si="62">BS251</f>
        <v>3</v>
      </c>
      <c r="BT303" s="553">
        <f t="shared" si="62"/>
        <v>0</v>
      </c>
      <c r="BU303" s="553">
        <f t="shared" si="62"/>
        <v>2</v>
      </c>
      <c r="BV303" s="553">
        <f t="shared" si="62"/>
        <v>1</v>
      </c>
      <c r="BW303" s="553">
        <f t="shared" si="62"/>
        <v>3</v>
      </c>
      <c r="BX303" s="553">
        <f t="shared" si="62"/>
        <v>3</v>
      </c>
      <c r="BY303" s="553">
        <f t="shared" si="62"/>
        <v>3</v>
      </c>
      <c r="BZ303" s="553">
        <f t="shared" si="62"/>
        <v>3</v>
      </c>
      <c r="CA303" s="553">
        <f t="shared" si="62"/>
        <v>2</v>
      </c>
      <c r="CB303" s="553">
        <f t="shared" si="62"/>
        <v>3</v>
      </c>
      <c r="CC303" s="553">
        <f t="shared" si="62"/>
        <v>0</v>
      </c>
      <c r="CD303" s="553">
        <f t="shared" si="62"/>
        <v>0</v>
      </c>
      <c r="CE303" s="553">
        <f t="shared" si="62"/>
        <v>3</v>
      </c>
      <c r="CF303" s="553">
        <f t="shared" si="62"/>
        <v>3</v>
      </c>
      <c r="CG303" s="553">
        <f t="shared" si="62"/>
        <v>3</v>
      </c>
      <c r="CH303" s="553">
        <f t="shared" si="62"/>
        <v>3</v>
      </c>
      <c r="CI303" s="553">
        <f t="shared" si="62"/>
        <v>0</v>
      </c>
      <c r="CJ303" s="553">
        <f t="shared" si="62"/>
        <v>0</v>
      </c>
      <c r="CK303" s="552"/>
      <c r="CL303" s="552"/>
      <c r="CM303" s="552"/>
      <c r="CN303" s="552"/>
      <c r="CO303" s="552"/>
      <c r="CP303" s="552"/>
      <c r="CQ303" s="552"/>
      <c r="CR303" s="552"/>
      <c r="CS303" s="552"/>
      <c r="CT303" s="552"/>
      <c r="CU303" s="552"/>
      <c r="CV303" s="552"/>
      <c r="CW303" s="552"/>
      <c r="CX303" s="552"/>
      <c r="CY303" s="552"/>
      <c r="CZ303" s="552"/>
    </row>
    <row r="304" spans="1:104" hidden="1" x14ac:dyDescent="0.3">
      <c r="A304" s="553">
        <f>A252</f>
        <v>1070</v>
      </c>
      <c r="B304" s="553" t="str">
        <f t="shared" ref="B304:BM304" si="63">B252</f>
        <v>Does the Unit have a non-state administrered pension plan?</v>
      </c>
      <c r="C304" s="553">
        <f t="shared" si="63"/>
        <v>0</v>
      </c>
      <c r="D304" s="553">
        <f t="shared" si="63"/>
        <v>2</v>
      </c>
      <c r="E304" s="553">
        <f t="shared" si="63"/>
        <v>2</v>
      </c>
      <c r="F304" s="553">
        <f t="shared" si="63"/>
        <v>2</v>
      </c>
      <c r="G304" s="553">
        <f t="shared" si="63"/>
        <v>2</v>
      </c>
      <c r="H304" s="553">
        <f t="shared" si="63"/>
        <v>0</v>
      </c>
      <c r="I304" s="553">
        <f t="shared" si="63"/>
        <v>2</v>
      </c>
      <c r="J304" s="553">
        <f t="shared" si="63"/>
        <v>2</v>
      </c>
      <c r="K304" s="553">
        <f t="shared" si="63"/>
        <v>2</v>
      </c>
      <c r="L304" s="553">
        <f t="shared" si="63"/>
        <v>2</v>
      </c>
      <c r="M304" s="553">
        <f t="shared" si="63"/>
        <v>2</v>
      </c>
      <c r="N304" s="553">
        <f t="shared" si="63"/>
        <v>2</v>
      </c>
      <c r="O304" s="553">
        <f t="shared" si="63"/>
        <v>1</v>
      </c>
      <c r="P304" s="553">
        <f t="shared" si="63"/>
        <v>2</v>
      </c>
      <c r="Q304" s="553">
        <f t="shared" si="63"/>
        <v>2</v>
      </c>
      <c r="R304" s="553">
        <f t="shared" si="63"/>
        <v>2</v>
      </c>
      <c r="S304" s="553">
        <f t="shared" si="63"/>
        <v>2</v>
      </c>
      <c r="T304" s="553">
        <f t="shared" si="63"/>
        <v>2</v>
      </c>
      <c r="U304" s="553">
        <f t="shared" si="63"/>
        <v>2</v>
      </c>
      <c r="V304" s="553">
        <f t="shared" si="63"/>
        <v>2</v>
      </c>
      <c r="W304" s="553">
        <f t="shared" si="63"/>
        <v>2</v>
      </c>
      <c r="X304" s="553">
        <f t="shared" si="63"/>
        <v>2</v>
      </c>
      <c r="Y304" s="553">
        <f t="shared" si="63"/>
        <v>1</v>
      </c>
      <c r="Z304" s="553">
        <f t="shared" si="63"/>
        <v>2</v>
      </c>
      <c r="AA304" s="553">
        <f t="shared" si="63"/>
        <v>2</v>
      </c>
      <c r="AB304" s="553">
        <f t="shared" si="63"/>
        <v>2</v>
      </c>
      <c r="AC304" s="553">
        <f t="shared" si="63"/>
        <v>0</v>
      </c>
      <c r="AD304" s="553">
        <f t="shared" si="63"/>
        <v>2</v>
      </c>
      <c r="AE304" s="553">
        <f t="shared" si="63"/>
        <v>2</v>
      </c>
      <c r="AF304" s="553">
        <f t="shared" si="63"/>
        <v>2</v>
      </c>
      <c r="AG304" s="553">
        <f t="shared" si="63"/>
        <v>2</v>
      </c>
      <c r="AH304" s="553">
        <f t="shared" si="63"/>
        <v>2</v>
      </c>
      <c r="AI304" s="553">
        <f t="shared" si="63"/>
        <v>2</v>
      </c>
      <c r="AJ304" s="553">
        <f t="shared" si="63"/>
        <v>1</v>
      </c>
      <c r="AK304" s="553">
        <f t="shared" si="63"/>
        <v>2</v>
      </c>
      <c r="AL304" s="553">
        <f t="shared" si="63"/>
        <v>2</v>
      </c>
      <c r="AM304" s="553">
        <f t="shared" si="63"/>
        <v>0</v>
      </c>
      <c r="AN304" s="553">
        <f t="shared" si="63"/>
        <v>2</v>
      </c>
      <c r="AO304" s="553">
        <f t="shared" si="63"/>
        <v>0</v>
      </c>
      <c r="AP304" s="553">
        <f t="shared" si="63"/>
        <v>2</v>
      </c>
      <c r="AQ304" s="553">
        <f t="shared" si="63"/>
        <v>2</v>
      </c>
      <c r="AR304" s="553">
        <f t="shared" si="63"/>
        <v>2</v>
      </c>
      <c r="AS304" s="553">
        <f t="shared" si="63"/>
        <v>2</v>
      </c>
      <c r="AT304" s="553">
        <f t="shared" si="63"/>
        <v>2</v>
      </c>
      <c r="AU304" s="553">
        <f t="shared" si="63"/>
        <v>2</v>
      </c>
      <c r="AV304" s="553">
        <f t="shared" si="63"/>
        <v>2</v>
      </c>
      <c r="AW304" s="553">
        <f t="shared" si="63"/>
        <v>2</v>
      </c>
      <c r="AX304" s="553">
        <f t="shared" si="63"/>
        <v>2</v>
      </c>
      <c r="AY304" s="553">
        <f t="shared" si="63"/>
        <v>2</v>
      </c>
      <c r="AZ304" s="553">
        <f t="shared" si="63"/>
        <v>2</v>
      </c>
      <c r="BA304" s="553">
        <f t="shared" si="63"/>
        <v>2</v>
      </c>
      <c r="BB304" s="553">
        <f t="shared" si="63"/>
        <v>2</v>
      </c>
      <c r="BC304" s="553">
        <f t="shared" si="63"/>
        <v>2</v>
      </c>
      <c r="BD304" s="553">
        <f t="shared" si="63"/>
        <v>2</v>
      </c>
      <c r="BE304" s="553">
        <f t="shared" si="63"/>
        <v>2</v>
      </c>
      <c r="BF304" s="553">
        <f t="shared" si="63"/>
        <v>2</v>
      </c>
      <c r="BG304" s="553">
        <f t="shared" si="63"/>
        <v>2</v>
      </c>
      <c r="BH304" s="553">
        <f t="shared" si="63"/>
        <v>2</v>
      </c>
      <c r="BI304" s="553">
        <f t="shared" si="63"/>
        <v>2</v>
      </c>
      <c r="BJ304" s="553">
        <f t="shared" si="63"/>
        <v>2</v>
      </c>
      <c r="BK304" s="553">
        <f t="shared" si="63"/>
        <v>0</v>
      </c>
      <c r="BL304" s="553">
        <f t="shared" si="63"/>
        <v>2</v>
      </c>
      <c r="BM304" s="553">
        <f t="shared" si="63"/>
        <v>2</v>
      </c>
      <c r="BN304" s="553">
        <f t="shared" ref="BN304:BR304" si="64">BN252</f>
        <v>2</v>
      </c>
      <c r="BO304" s="553">
        <f t="shared" si="64"/>
        <v>2</v>
      </c>
      <c r="BP304" s="553">
        <f t="shared" si="64"/>
        <v>2</v>
      </c>
      <c r="BQ304" s="553">
        <f t="shared" si="64"/>
        <v>2</v>
      </c>
      <c r="BR304" s="553">
        <f t="shared" si="64"/>
        <v>0</v>
      </c>
      <c r="BS304" s="553">
        <f t="shared" ref="BS304:CJ304" si="65">BS252</f>
        <v>2</v>
      </c>
      <c r="BT304" s="553">
        <f t="shared" si="65"/>
        <v>0</v>
      </c>
      <c r="BU304" s="553">
        <f t="shared" si="65"/>
        <v>2</v>
      </c>
      <c r="BV304" s="553">
        <f t="shared" si="65"/>
        <v>2</v>
      </c>
      <c r="BW304" s="553">
        <f t="shared" si="65"/>
        <v>2</v>
      </c>
      <c r="BX304" s="553">
        <f t="shared" si="65"/>
        <v>2</v>
      </c>
      <c r="BY304" s="553">
        <f t="shared" si="65"/>
        <v>2</v>
      </c>
      <c r="BZ304" s="553">
        <f t="shared" si="65"/>
        <v>2</v>
      </c>
      <c r="CA304" s="553">
        <f t="shared" si="65"/>
        <v>2</v>
      </c>
      <c r="CB304" s="553">
        <f t="shared" si="65"/>
        <v>2</v>
      </c>
      <c r="CC304" s="553">
        <f t="shared" si="65"/>
        <v>0</v>
      </c>
      <c r="CD304" s="553">
        <f t="shared" si="65"/>
        <v>0</v>
      </c>
      <c r="CE304" s="553">
        <f t="shared" si="65"/>
        <v>2</v>
      </c>
      <c r="CF304" s="553">
        <f t="shared" si="65"/>
        <v>2</v>
      </c>
      <c r="CG304" s="553">
        <f t="shared" si="65"/>
        <v>2</v>
      </c>
      <c r="CH304" s="553">
        <f t="shared" si="65"/>
        <v>2</v>
      </c>
      <c r="CI304" s="553">
        <f t="shared" si="65"/>
        <v>0</v>
      </c>
      <c r="CJ304" s="553">
        <f t="shared" si="65"/>
        <v>0</v>
      </c>
      <c r="CK304" s="552"/>
      <c r="CL304" s="552"/>
      <c r="CM304" s="552"/>
      <c r="CN304" s="552"/>
      <c r="CO304" s="552"/>
      <c r="CP304" s="552"/>
      <c r="CQ304" s="552"/>
      <c r="CR304" s="552"/>
      <c r="CS304" s="552"/>
      <c r="CT304" s="552"/>
      <c r="CU304" s="552"/>
      <c r="CV304" s="552"/>
      <c r="CW304" s="552"/>
      <c r="CX304" s="552"/>
      <c r="CY304" s="552"/>
      <c r="CZ304" s="552"/>
    </row>
    <row r="305" spans="1:104" hidden="1" x14ac:dyDescent="0.3">
      <c r="A305" s="553">
        <f>A253</f>
        <v>1071</v>
      </c>
      <c r="B305" s="553" t="str">
        <f t="shared" ref="B305:BM305" si="66">B253</f>
        <v>Please list the amount of ARPA funds expended in total this fiscal year for non-capital purposes.  Enter "zero" if no ARPA funds expended for this fiscal year for non-capital purposes.</v>
      </c>
      <c r="C305" s="553">
        <f t="shared" si="66"/>
        <v>0</v>
      </c>
      <c r="D305" s="553">
        <f t="shared" si="66"/>
        <v>553875</v>
      </c>
      <c r="E305" s="553">
        <f t="shared" si="66"/>
        <v>501402</v>
      </c>
      <c r="F305" s="553">
        <f t="shared" si="66"/>
        <v>0</v>
      </c>
      <c r="G305" s="553">
        <f t="shared" si="66"/>
        <v>0</v>
      </c>
      <c r="H305" s="553">
        <f t="shared" si="66"/>
        <v>0</v>
      </c>
      <c r="I305" s="553">
        <f t="shared" si="66"/>
        <v>692689</v>
      </c>
      <c r="J305" s="553">
        <f t="shared" si="66"/>
        <v>0</v>
      </c>
      <c r="K305" s="553">
        <f t="shared" si="66"/>
        <v>0</v>
      </c>
      <c r="L305" s="553">
        <f t="shared" si="66"/>
        <v>867013</v>
      </c>
      <c r="M305" s="553">
        <f t="shared" si="66"/>
        <v>96885</v>
      </c>
      <c r="N305" s="553">
        <f t="shared" si="66"/>
        <v>32643</v>
      </c>
      <c r="O305" s="553">
        <f t="shared" si="66"/>
        <v>3000000</v>
      </c>
      <c r="P305" s="553">
        <f t="shared" si="66"/>
        <v>0</v>
      </c>
      <c r="Q305" s="553">
        <f t="shared" si="66"/>
        <v>43024</v>
      </c>
      <c r="R305" s="553">
        <f t="shared" si="66"/>
        <v>51843</v>
      </c>
      <c r="S305" s="553">
        <f t="shared" si="66"/>
        <v>99399</v>
      </c>
      <c r="T305" s="553">
        <f t="shared" si="66"/>
        <v>265484</v>
      </c>
      <c r="U305" s="553">
        <f t="shared" si="66"/>
        <v>33364</v>
      </c>
      <c r="V305" s="553">
        <f t="shared" si="66"/>
        <v>0</v>
      </c>
      <c r="W305" s="553">
        <f t="shared" si="66"/>
        <v>469707</v>
      </c>
      <c r="X305" s="553">
        <f t="shared" si="66"/>
        <v>348810</v>
      </c>
      <c r="Y305" s="553">
        <f t="shared" si="66"/>
        <v>37597000</v>
      </c>
      <c r="Z305" s="553">
        <f t="shared" si="66"/>
        <v>967622</v>
      </c>
      <c r="AA305" s="553">
        <f t="shared" si="66"/>
        <v>0</v>
      </c>
      <c r="AB305" s="553">
        <f t="shared" si="66"/>
        <v>0</v>
      </c>
      <c r="AC305" s="553">
        <f t="shared" si="66"/>
        <v>0</v>
      </c>
      <c r="AD305" s="553">
        <f t="shared" si="66"/>
        <v>448726</v>
      </c>
      <c r="AE305" s="553">
        <f t="shared" si="66"/>
        <v>235198</v>
      </c>
      <c r="AF305" s="553">
        <f t="shared" si="66"/>
        <v>7931423</v>
      </c>
      <c r="AG305" s="553">
        <f t="shared" si="66"/>
        <v>1846625</v>
      </c>
      <c r="AH305" s="553">
        <f t="shared" si="66"/>
        <v>138952</v>
      </c>
      <c r="AI305" s="553">
        <f t="shared" si="66"/>
        <v>0</v>
      </c>
      <c r="AJ305" s="553">
        <f t="shared" si="66"/>
        <v>415581</v>
      </c>
      <c r="AK305" s="553">
        <f t="shared" si="66"/>
        <v>0</v>
      </c>
      <c r="AL305" s="553">
        <f t="shared" si="66"/>
        <v>117592</v>
      </c>
      <c r="AM305" s="553">
        <f t="shared" si="66"/>
        <v>0</v>
      </c>
      <c r="AN305" s="553">
        <f t="shared" si="66"/>
        <v>0</v>
      </c>
      <c r="AO305" s="553">
        <f t="shared" si="66"/>
        <v>0</v>
      </c>
      <c r="AP305" s="553">
        <f t="shared" si="66"/>
        <v>0</v>
      </c>
      <c r="AQ305" s="553">
        <f t="shared" si="66"/>
        <v>14311867</v>
      </c>
      <c r="AR305" s="553">
        <f t="shared" si="66"/>
        <v>68908</v>
      </c>
      <c r="AS305" s="553">
        <f t="shared" si="66"/>
        <v>0</v>
      </c>
      <c r="AT305" s="553">
        <f t="shared" si="66"/>
        <v>1360838</v>
      </c>
      <c r="AU305" s="553">
        <f t="shared" si="66"/>
        <v>71777</v>
      </c>
      <c r="AV305" s="553">
        <f t="shared" si="66"/>
        <v>313280</v>
      </c>
      <c r="AW305" s="553">
        <f t="shared" si="66"/>
        <v>4821414</v>
      </c>
      <c r="AX305" s="553">
        <f t="shared" si="66"/>
        <v>61827</v>
      </c>
      <c r="AY305" s="553">
        <f t="shared" si="66"/>
        <v>710376</v>
      </c>
      <c r="AZ305" s="553">
        <f t="shared" si="66"/>
        <v>0</v>
      </c>
      <c r="BA305" s="553">
        <f t="shared" si="66"/>
        <v>0</v>
      </c>
      <c r="BB305" s="553">
        <f t="shared" si="66"/>
        <v>38084</v>
      </c>
      <c r="BC305" s="553">
        <f t="shared" si="66"/>
        <v>586000</v>
      </c>
      <c r="BD305" s="553">
        <f t="shared" si="66"/>
        <v>58322</v>
      </c>
      <c r="BE305" s="553">
        <f t="shared" si="66"/>
        <v>3983892</v>
      </c>
      <c r="BF305" s="553">
        <f t="shared" si="66"/>
        <v>267705</v>
      </c>
      <c r="BG305" s="553">
        <f t="shared" si="66"/>
        <v>79037</v>
      </c>
      <c r="BH305" s="553">
        <f t="shared" si="66"/>
        <v>124162</v>
      </c>
      <c r="BI305" s="553">
        <f t="shared" si="66"/>
        <v>490475</v>
      </c>
      <c r="BJ305" s="553">
        <f t="shared" si="66"/>
        <v>70086</v>
      </c>
      <c r="BK305" s="553">
        <f t="shared" si="66"/>
        <v>0</v>
      </c>
      <c r="BL305" s="553">
        <f t="shared" si="66"/>
        <v>217433</v>
      </c>
      <c r="BM305" s="553">
        <f t="shared" si="66"/>
        <v>0</v>
      </c>
      <c r="BN305" s="553">
        <f t="shared" ref="BN305:BR305" si="67">BN253</f>
        <v>126204</v>
      </c>
      <c r="BO305" s="553">
        <f t="shared" si="67"/>
        <v>3097102</v>
      </c>
      <c r="BP305" s="553">
        <f t="shared" si="67"/>
        <v>1495088</v>
      </c>
      <c r="BQ305" s="553">
        <f t="shared" si="67"/>
        <v>0</v>
      </c>
      <c r="BR305" s="553">
        <f t="shared" si="67"/>
        <v>0</v>
      </c>
      <c r="BS305" s="553">
        <f t="shared" ref="BS305:CJ305" si="68">BS253</f>
        <v>3900</v>
      </c>
      <c r="BT305" s="553">
        <f t="shared" si="68"/>
        <v>0</v>
      </c>
      <c r="BU305" s="553">
        <f t="shared" si="68"/>
        <v>0</v>
      </c>
      <c r="BV305" s="553">
        <f t="shared" si="68"/>
        <v>1125362</v>
      </c>
      <c r="BW305" s="553">
        <f t="shared" si="68"/>
        <v>1349470</v>
      </c>
      <c r="BX305" s="553">
        <f t="shared" si="68"/>
        <v>0</v>
      </c>
      <c r="BY305" s="553">
        <f t="shared" si="68"/>
        <v>542893</v>
      </c>
      <c r="BZ305" s="553">
        <f t="shared" si="68"/>
        <v>70750</v>
      </c>
      <c r="CA305" s="553">
        <f t="shared" si="68"/>
        <v>639148</v>
      </c>
      <c r="CB305" s="553">
        <f t="shared" si="68"/>
        <v>0</v>
      </c>
      <c r="CC305" s="553">
        <f t="shared" si="68"/>
        <v>0</v>
      </c>
      <c r="CD305" s="553">
        <f t="shared" si="68"/>
        <v>0</v>
      </c>
      <c r="CE305" s="553">
        <f t="shared" si="68"/>
        <v>0</v>
      </c>
      <c r="CF305" s="553">
        <f t="shared" si="68"/>
        <v>0</v>
      </c>
      <c r="CG305" s="553">
        <f t="shared" si="68"/>
        <v>446848</v>
      </c>
      <c r="CH305" s="553">
        <f t="shared" si="68"/>
        <v>674638</v>
      </c>
      <c r="CI305" s="553">
        <f t="shared" si="68"/>
        <v>0</v>
      </c>
      <c r="CJ305" s="553">
        <f t="shared" si="68"/>
        <v>0</v>
      </c>
      <c r="CK305" s="552"/>
      <c r="CL305" s="552"/>
      <c r="CM305" s="552"/>
      <c r="CN305" s="552"/>
      <c r="CO305" s="552"/>
      <c r="CP305" s="552"/>
      <c r="CQ305" s="552"/>
      <c r="CR305" s="552"/>
      <c r="CS305" s="552"/>
      <c r="CT305" s="552"/>
      <c r="CU305" s="552"/>
      <c r="CV305" s="552"/>
      <c r="CW305" s="552"/>
      <c r="CX305" s="552"/>
      <c r="CY305" s="552"/>
      <c r="CZ305" s="552"/>
    </row>
    <row r="306" spans="1:104" s="180" customFormat="1" hidden="1" x14ac:dyDescent="0.3">
      <c r="A306" s="155">
        <f>A230</f>
        <v>995</v>
      </c>
      <c r="B306" s="155" t="str">
        <f t="shared" ref="B306:BM306" si="69">B230</f>
        <v>Units with Electric Operations have $.07, $.08, $.09</v>
      </c>
      <c r="C306" s="155">
        <f t="shared" si="69"/>
        <v>0</v>
      </c>
      <c r="D306" s="155">
        <f t="shared" si="69"/>
        <v>0</v>
      </c>
      <c r="E306" s="155">
        <f t="shared" si="69"/>
        <v>0</v>
      </c>
      <c r="F306" s="155">
        <f t="shared" si="69"/>
        <v>0</v>
      </c>
      <c r="G306" s="155">
        <f t="shared" si="69"/>
        <v>0</v>
      </c>
      <c r="H306" s="155">
        <f t="shared" si="69"/>
        <v>0</v>
      </c>
      <c r="I306" s="155">
        <f t="shared" si="69"/>
        <v>0</v>
      </c>
      <c r="J306" s="155">
        <f t="shared" si="69"/>
        <v>0</v>
      </c>
      <c r="K306" s="155">
        <f t="shared" si="69"/>
        <v>0</v>
      </c>
      <c r="L306" s="155">
        <f t="shared" si="69"/>
        <v>0</v>
      </c>
      <c r="M306" s="155">
        <f t="shared" si="69"/>
        <v>0</v>
      </c>
      <c r="N306" s="155">
        <f t="shared" si="69"/>
        <v>0</v>
      </c>
      <c r="O306" s="155">
        <f t="shared" si="69"/>
        <v>0</v>
      </c>
      <c r="P306" s="155">
        <f t="shared" si="69"/>
        <v>0</v>
      </c>
      <c r="Q306" s="155">
        <f t="shared" si="69"/>
        <v>0</v>
      </c>
      <c r="R306" s="155">
        <f t="shared" si="69"/>
        <v>0</v>
      </c>
      <c r="S306" s="155">
        <f t="shared" si="69"/>
        <v>0</v>
      </c>
      <c r="T306" s="155">
        <f t="shared" si="69"/>
        <v>0</v>
      </c>
      <c r="U306" s="155">
        <f t="shared" si="69"/>
        <v>0</v>
      </c>
      <c r="V306" s="155">
        <f t="shared" si="69"/>
        <v>0</v>
      </c>
      <c r="W306" s="155">
        <f t="shared" si="69"/>
        <v>0</v>
      </c>
      <c r="X306" s="155">
        <f t="shared" si="69"/>
        <v>0</v>
      </c>
      <c r="Y306" s="155">
        <f t="shared" si="69"/>
        <v>0</v>
      </c>
      <c r="Z306" s="155">
        <f t="shared" si="69"/>
        <v>7.0000000000000007E-2</v>
      </c>
      <c r="AA306" s="155">
        <f t="shared" si="69"/>
        <v>0</v>
      </c>
      <c r="AB306" s="155">
        <f t="shared" si="69"/>
        <v>0</v>
      </c>
      <c r="AC306" s="155">
        <f t="shared" si="69"/>
        <v>0</v>
      </c>
      <c r="AD306" s="155">
        <f t="shared" si="69"/>
        <v>0</v>
      </c>
      <c r="AE306" s="155">
        <f t="shared" si="69"/>
        <v>0</v>
      </c>
      <c r="AF306" s="155">
        <f t="shared" si="69"/>
        <v>0.08</v>
      </c>
      <c r="AG306" s="155">
        <f t="shared" si="69"/>
        <v>0</v>
      </c>
      <c r="AH306" s="155">
        <f t="shared" si="69"/>
        <v>0</v>
      </c>
      <c r="AI306" s="155">
        <f t="shared" si="69"/>
        <v>0</v>
      </c>
      <c r="AJ306" s="155">
        <f t="shared" si="69"/>
        <v>0</v>
      </c>
      <c r="AK306" s="155">
        <f t="shared" si="69"/>
        <v>0</v>
      </c>
      <c r="AL306" s="155">
        <f t="shared" si="69"/>
        <v>0</v>
      </c>
      <c r="AM306" s="155">
        <f t="shared" si="69"/>
        <v>0</v>
      </c>
      <c r="AN306" s="155">
        <f t="shared" si="69"/>
        <v>0</v>
      </c>
      <c r="AO306" s="155">
        <f t="shared" si="69"/>
        <v>0</v>
      </c>
      <c r="AP306" s="155">
        <f t="shared" si="69"/>
        <v>0</v>
      </c>
      <c r="AQ306" s="155">
        <f t="shared" si="69"/>
        <v>0.09</v>
      </c>
      <c r="AR306" s="155">
        <f t="shared" si="69"/>
        <v>0</v>
      </c>
      <c r="AS306" s="155">
        <f t="shared" si="69"/>
        <v>0</v>
      </c>
      <c r="AT306" s="155">
        <f t="shared" si="69"/>
        <v>0</v>
      </c>
      <c r="AU306" s="155">
        <f t="shared" si="69"/>
        <v>0</v>
      </c>
      <c r="AV306" s="155">
        <f t="shared" si="69"/>
        <v>0</v>
      </c>
      <c r="AW306" s="155">
        <f t="shared" si="69"/>
        <v>7.0000000000000007E-2</v>
      </c>
      <c r="AX306" s="155">
        <f t="shared" si="69"/>
        <v>0</v>
      </c>
      <c r="AY306" s="155">
        <f t="shared" si="69"/>
        <v>0</v>
      </c>
      <c r="AZ306" s="155">
        <f t="shared" si="69"/>
        <v>0</v>
      </c>
      <c r="BA306" s="155">
        <f t="shared" si="69"/>
        <v>0</v>
      </c>
      <c r="BB306" s="155">
        <f t="shared" si="69"/>
        <v>0</v>
      </c>
      <c r="BC306" s="155">
        <f t="shared" si="69"/>
        <v>0.09</v>
      </c>
      <c r="BD306" s="155">
        <f t="shared" si="69"/>
        <v>0</v>
      </c>
      <c r="BE306" s="155">
        <f t="shared" si="69"/>
        <v>0</v>
      </c>
      <c r="BF306" s="155">
        <f t="shared" si="69"/>
        <v>0</v>
      </c>
      <c r="BG306" s="155">
        <f t="shared" si="69"/>
        <v>0</v>
      </c>
      <c r="BH306" s="155">
        <f t="shared" si="69"/>
        <v>0</v>
      </c>
      <c r="BI306" s="155">
        <f t="shared" si="69"/>
        <v>0</v>
      </c>
      <c r="BJ306" s="155">
        <f t="shared" si="69"/>
        <v>0</v>
      </c>
      <c r="BK306" s="155">
        <f t="shared" si="69"/>
        <v>0</v>
      </c>
      <c r="BL306" s="155">
        <f t="shared" si="69"/>
        <v>7.0000000000000007E-2</v>
      </c>
      <c r="BM306" s="155">
        <f t="shared" si="69"/>
        <v>0</v>
      </c>
      <c r="BN306" s="155">
        <f t="shared" ref="BN306:BR306" si="70">BN230</f>
        <v>0</v>
      </c>
      <c r="BO306" s="155">
        <f t="shared" si="70"/>
        <v>0</v>
      </c>
      <c r="BP306" s="155">
        <f t="shared" si="70"/>
        <v>0</v>
      </c>
      <c r="BQ306" s="155">
        <f t="shared" si="70"/>
        <v>0</v>
      </c>
      <c r="BR306" s="155">
        <f t="shared" si="70"/>
        <v>0</v>
      </c>
      <c r="BS306" s="155">
        <f t="shared" ref="BS306:CJ306" si="71">BS230</f>
        <v>0</v>
      </c>
      <c r="BT306" s="155">
        <f t="shared" si="71"/>
        <v>0</v>
      </c>
      <c r="BU306" s="155">
        <f t="shared" si="71"/>
        <v>0</v>
      </c>
      <c r="BV306" s="155">
        <f t="shared" si="71"/>
        <v>0</v>
      </c>
      <c r="BW306" s="155">
        <f t="shared" si="71"/>
        <v>0.08</v>
      </c>
      <c r="BX306" s="155">
        <f t="shared" si="71"/>
        <v>0.08</v>
      </c>
      <c r="BY306" s="155">
        <f t="shared" si="71"/>
        <v>0</v>
      </c>
      <c r="BZ306" s="155">
        <f t="shared" si="71"/>
        <v>0</v>
      </c>
      <c r="CA306" s="155">
        <f t="shared" si="71"/>
        <v>0</v>
      </c>
      <c r="CB306" s="155">
        <f t="shared" si="71"/>
        <v>0</v>
      </c>
      <c r="CC306" s="155">
        <f t="shared" si="71"/>
        <v>0</v>
      </c>
      <c r="CD306" s="155">
        <f t="shared" si="71"/>
        <v>0</v>
      </c>
      <c r="CE306" s="155">
        <f t="shared" si="71"/>
        <v>0</v>
      </c>
      <c r="CF306" s="155">
        <f t="shared" si="71"/>
        <v>0</v>
      </c>
      <c r="CG306" s="155">
        <f t="shared" si="71"/>
        <v>0.09</v>
      </c>
      <c r="CH306" s="155">
        <f t="shared" si="71"/>
        <v>0</v>
      </c>
      <c r="CI306" s="155">
        <f t="shared" si="71"/>
        <v>0</v>
      </c>
      <c r="CJ306" s="155">
        <f t="shared" si="71"/>
        <v>0</v>
      </c>
      <c r="CK306" s="552"/>
      <c r="CL306" s="552"/>
      <c r="CM306" s="552"/>
      <c r="CN306" s="552"/>
      <c r="CO306" s="552"/>
      <c r="CP306" s="552"/>
      <c r="CQ306" s="552"/>
      <c r="CR306" s="552"/>
      <c r="CS306" s="552"/>
      <c r="CT306" s="552"/>
      <c r="CU306" s="552"/>
      <c r="CV306" s="552"/>
      <c r="CW306" s="552"/>
      <c r="CX306" s="552"/>
      <c r="CY306" s="552"/>
      <c r="CZ306" s="552"/>
    </row>
    <row r="307" spans="1:104" s="180" customFormat="1" hidden="1" x14ac:dyDescent="0.3">
      <c r="A307" s="155">
        <f>A231</f>
        <v>996</v>
      </c>
      <c r="B307" s="155" t="str">
        <f t="shared" ref="B307:BM308" si="72">B231</f>
        <v>Units with Water Sewer Operations have $.01</v>
      </c>
      <c r="C307" s="155">
        <f t="shared" si="72"/>
        <v>0</v>
      </c>
      <c r="D307" s="155">
        <f t="shared" si="72"/>
        <v>0.01</v>
      </c>
      <c r="E307" s="155">
        <f t="shared" si="72"/>
        <v>0</v>
      </c>
      <c r="F307" s="155">
        <f t="shared" si="72"/>
        <v>0.01</v>
      </c>
      <c r="G307" s="155">
        <f t="shared" si="72"/>
        <v>0.01</v>
      </c>
      <c r="H307" s="155">
        <f t="shared" si="72"/>
        <v>0.01</v>
      </c>
      <c r="I307" s="155">
        <f t="shared" si="72"/>
        <v>0.01</v>
      </c>
      <c r="J307" s="155">
        <f t="shared" si="72"/>
        <v>0</v>
      </c>
      <c r="K307" s="155">
        <f t="shared" si="72"/>
        <v>0.01</v>
      </c>
      <c r="L307" s="155">
        <f t="shared" si="72"/>
        <v>0</v>
      </c>
      <c r="M307" s="155">
        <f t="shared" si="72"/>
        <v>0</v>
      </c>
      <c r="N307" s="155">
        <f t="shared" si="72"/>
        <v>0.01</v>
      </c>
      <c r="O307" s="155">
        <f t="shared" si="72"/>
        <v>0.01</v>
      </c>
      <c r="P307" s="155">
        <f t="shared" si="72"/>
        <v>0</v>
      </c>
      <c r="Q307" s="155">
        <f t="shared" si="72"/>
        <v>0</v>
      </c>
      <c r="R307" s="155">
        <f t="shared" si="72"/>
        <v>0</v>
      </c>
      <c r="S307" s="155">
        <f t="shared" si="72"/>
        <v>0</v>
      </c>
      <c r="T307" s="155">
        <f t="shared" si="72"/>
        <v>0</v>
      </c>
      <c r="U307" s="155">
        <f t="shared" si="72"/>
        <v>0</v>
      </c>
      <c r="V307" s="155">
        <f t="shared" si="72"/>
        <v>0.01</v>
      </c>
      <c r="W307" s="155">
        <f t="shared" si="72"/>
        <v>0.01</v>
      </c>
      <c r="X307" s="155">
        <f t="shared" si="72"/>
        <v>0</v>
      </c>
      <c r="Y307" s="155">
        <f t="shared" si="72"/>
        <v>0.01</v>
      </c>
      <c r="Z307" s="155">
        <f t="shared" si="72"/>
        <v>0.01</v>
      </c>
      <c r="AA307" s="155">
        <f t="shared" si="72"/>
        <v>0.01</v>
      </c>
      <c r="AB307" s="155">
        <f t="shared" si="72"/>
        <v>0</v>
      </c>
      <c r="AC307" s="155">
        <f t="shared" si="72"/>
        <v>0.01</v>
      </c>
      <c r="AD307" s="155">
        <f t="shared" si="72"/>
        <v>0.01</v>
      </c>
      <c r="AE307" s="155">
        <f t="shared" si="72"/>
        <v>0.01</v>
      </c>
      <c r="AF307" s="155">
        <f t="shared" si="72"/>
        <v>0.01</v>
      </c>
      <c r="AG307" s="155">
        <f t="shared" si="72"/>
        <v>0</v>
      </c>
      <c r="AH307" s="155">
        <f t="shared" si="72"/>
        <v>0.01</v>
      </c>
      <c r="AI307" s="155">
        <f t="shared" si="72"/>
        <v>0.01</v>
      </c>
      <c r="AJ307" s="155">
        <f t="shared" si="72"/>
        <v>0.01</v>
      </c>
      <c r="AK307" s="155">
        <f t="shared" si="72"/>
        <v>0.01</v>
      </c>
      <c r="AL307" s="155">
        <f t="shared" si="72"/>
        <v>0.01</v>
      </c>
      <c r="AM307" s="155">
        <f t="shared" si="72"/>
        <v>0.01</v>
      </c>
      <c r="AN307" s="155">
        <f t="shared" si="72"/>
        <v>0.01</v>
      </c>
      <c r="AO307" s="155">
        <f t="shared" si="72"/>
        <v>0.01</v>
      </c>
      <c r="AP307" s="155">
        <f t="shared" si="72"/>
        <v>0</v>
      </c>
      <c r="AQ307" s="558">
        <v>0</v>
      </c>
      <c r="AR307" s="155">
        <f t="shared" si="72"/>
        <v>0</v>
      </c>
      <c r="AS307" s="155">
        <f t="shared" si="72"/>
        <v>0.01</v>
      </c>
      <c r="AT307" s="155">
        <f t="shared" si="72"/>
        <v>0.01</v>
      </c>
      <c r="AU307" s="155">
        <f t="shared" si="72"/>
        <v>0.01</v>
      </c>
      <c r="AV307" s="155">
        <f t="shared" si="72"/>
        <v>0</v>
      </c>
      <c r="AW307" s="155">
        <f t="shared" si="72"/>
        <v>0</v>
      </c>
      <c r="AX307" s="155">
        <f t="shared" si="72"/>
        <v>0.01</v>
      </c>
      <c r="AY307" s="155">
        <f t="shared" si="72"/>
        <v>0</v>
      </c>
      <c r="AZ307" s="155">
        <f t="shared" si="72"/>
        <v>0</v>
      </c>
      <c r="BA307" s="155">
        <f t="shared" si="72"/>
        <v>0.01</v>
      </c>
      <c r="BB307" s="155">
        <f t="shared" si="72"/>
        <v>0.01</v>
      </c>
      <c r="BC307" s="155">
        <f t="shared" si="72"/>
        <v>0.01</v>
      </c>
      <c r="BD307" s="155">
        <f t="shared" si="72"/>
        <v>0</v>
      </c>
      <c r="BE307" s="155">
        <f t="shared" si="72"/>
        <v>0</v>
      </c>
      <c r="BF307" s="155">
        <f t="shared" si="72"/>
        <v>0.01</v>
      </c>
      <c r="BG307" s="155">
        <f t="shared" si="72"/>
        <v>0</v>
      </c>
      <c r="BH307" s="155">
        <f t="shared" si="72"/>
        <v>0</v>
      </c>
      <c r="BI307" s="155">
        <f t="shared" si="72"/>
        <v>0.01</v>
      </c>
      <c r="BJ307" s="155">
        <f t="shared" si="72"/>
        <v>0</v>
      </c>
      <c r="BK307" s="155">
        <f t="shared" si="72"/>
        <v>0.01</v>
      </c>
      <c r="BL307" s="155">
        <f t="shared" si="72"/>
        <v>0.01</v>
      </c>
      <c r="BM307" s="155">
        <f t="shared" si="72"/>
        <v>0.01</v>
      </c>
      <c r="BN307" s="155">
        <f t="shared" ref="BN307:BR309" si="73">BN231</f>
        <v>0</v>
      </c>
      <c r="BO307" s="155">
        <f t="shared" si="73"/>
        <v>0.01</v>
      </c>
      <c r="BP307" s="155">
        <f t="shared" si="73"/>
        <v>0.01</v>
      </c>
      <c r="BQ307" s="155">
        <f t="shared" si="73"/>
        <v>0</v>
      </c>
      <c r="BR307" s="155">
        <f t="shared" si="73"/>
        <v>0.01</v>
      </c>
      <c r="BS307" s="155">
        <f t="shared" ref="BS307:CJ307" si="74">BS231</f>
        <v>0.01</v>
      </c>
      <c r="BT307" s="155">
        <f t="shared" si="74"/>
        <v>0.01</v>
      </c>
      <c r="BU307" s="155">
        <f t="shared" si="74"/>
        <v>0</v>
      </c>
      <c r="BV307" s="155">
        <f t="shared" si="74"/>
        <v>0.01</v>
      </c>
      <c r="BW307" s="155">
        <f t="shared" si="74"/>
        <v>0.01</v>
      </c>
      <c r="BX307" s="155">
        <f t="shared" si="74"/>
        <v>0.01</v>
      </c>
      <c r="BY307" s="155">
        <f t="shared" si="74"/>
        <v>0.01</v>
      </c>
      <c r="BZ307" s="155">
        <f t="shared" si="74"/>
        <v>0.01</v>
      </c>
      <c r="CA307" s="155">
        <f t="shared" si="74"/>
        <v>0.01</v>
      </c>
      <c r="CB307" s="155">
        <f t="shared" si="74"/>
        <v>0.01</v>
      </c>
      <c r="CC307" s="155">
        <f t="shared" si="74"/>
        <v>0.01</v>
      </c>
      <c r="CD307" s="155">
        <f t="shared" si="74"/>
        <v>0.01</v>
      </c>
      <c r="CE307" s="155">
        <f t="shared" si="74"/>
        <v>0.01</v>
      </c>
      <c r="CF307" s="155">
        <f t="shared" si="74"/>
        <v>0</v>
      </c>
      <c r="CG307" s="155">
        <f t="shared" si="74"/>
        <v>0.01</v>
      </c>
      <c r="CH307" s="155">
        <f t="shared" si="74"/>
        <v>0</v>
      </c>
      <c r="CI307" s="155">
        <f t="shared" si="74"/>
        <v>0.01</v>
      </c>
      <c r="CJ307" s="155">
        <f t="shared" si="74"/>
        <v>0.01</v>
      </c>
      <c r="CK307" s="552"/>
      <c r="CL307" s="552"/>
      <c r="CM307" s="552"/>
      <c r="CN307" s="552"/>
      <c r="CO307" s="552"/>
      <c r="CP307" s="552"/>
      <c r="CQ307" s="552"/>
      <c r="CR307" s="552"/>
      <c r="CS307" s="552"/>
      <c r="CT307" s="552"/>
      <c r="CU307" s="552"/>
      <c r="CV307" s="552"/>
      <c r="CW307" s="552"/>
      <c r="CX307" s="552"/>
      <c r="CY307" s="552"/>
      <c r="CZ307" s="552"/>
    </row>
    <row r="308" spans="1:104" hidden="1" x14ac:dyDescent="0.3">
      <c r="A308" s="155">
        <f t="shared" ref="A308:P309" si="75">A232</f>
        <v>998</v>
      </c>
      <c r="B308" s="155" t="str">
        <f t="shared" si="75"/>
        <v>CCH Unit Type</v>
      </c>
      <c r="C308" s="155">
        <f t="shared" si="75"/>
        <v>0</v>
      </c>
      <c r="D308" s="155">
        <f t="shared" si="75"/>
        <v>50</v>
      </c>
      <c r="E308" s="155">
        <f t="shared" si="75"/>
        <v>50</v>
      </c>
      <c r="F308" s="155">
        <f t="shared" si="75"/>
        <v>50</v>
      </c>
      <c r="G308" s="155">
        <f t="shared" si="75"/>
        <v>50</v>
      </c>
      <c r="H308" s="155">
        <f t="shared" si="75"/>
        <v>50</v>
      </c>
      <c r="I308" s="155">
        <f t="shared" si="75"/>
        <v>50</v>
      </c>
      <c r="J308" s="155">
        <f t="shared" si="75"/>
        <v>50</v>
      </c>
      <c r="K308" s="155">
        <f t="shared" si="75"/>
        <v>50</v>
      </c>
      <c r="L308" s="155">
        <f t="shared" si="75"/>
        <v>50</v>
      </c>
      <c r="M308" s="155">
        <f t="shared" si="75"/>
        <v>50</v>
      </c>
      <c r="N308" s="155">
        <f t="shared" si="75"/>
        <v>50</v>
      </c>
      <c r="O308" s="155">
        <f t="shared" si="75"/>
        <v>50</v>
      </c>
      <c r="P308" s="155">
        <f t="shared" si="75"/>
        <v>50</v>
      </c>
      <c r="Q308" s="155">
        <f t="shared" si="72"/>
        <v>50</v>
      </c>
      <c r="R308" s="155">
        <f t="shared" si="72"/>
        <v>50</v>
      </c>
      <c r="S308" s="155">
        <f t="shared" si="72"/>
        <v>50</v>
      </c>
      <c r="T308" s="155">
        <f t="shared" si="72"/>
        <v>50</v>
      </c>
      <c r="U308" s="155">
        <f t="shared" si="72"/>
        <v>50</v>
      </c>
      <c r="V308" s="155">
        <f t="shared" si="72"/>
        <v>50</v>
      </c>
      <c r="W308" s="155">
        <f t="shared" si="72"/>
        <v>50</v>
      </c>
      <c r="X308" s="155">
        <f t="shared" si="72"/>
        <v>50</v>
      </c>
      <c r="Y308" s="155">
        <f t="shared" si="72"/>
        <v>50</v>
      </c>
      <c r="Z308" s="155">
        <f t="shared" si="72"/>
        <v>50</v>
      </c>
      <c r="AA308" s="155">
        <f t="shared" si="72"/>
        <v>50</v>
      </c>
      <c r="AB308" s="155">
        <f t="shared" si="72"/>
        <v>50</v>
      </c>
      <c r="AC308" s="155">
        <f t="shared" si="72"/>
        <v>50</v>
      </c>
      <c r="AD308" s="155">
        <f t="shared" si="72"/>
        <v>50</v>
      </c>
      <c r="AE308" s="155">
        <f t="shared" si="72"/>
        <v>50</v>
      </c>
      <c r="AF308" s="155">
        <f t="shared" si="72"/>
        <v>50</v>
      </c>
      <c r="AG308" s="155">
        <f t="shared" si="72"/>
        <v>50</v>
      </c>
      <c r="AH308" s="155">
        <f t="shared" si="72"/>
        <v>50</v>
      </c>
      <c r="AI308" s="155">
        <f t="shared" si="72"/>
        <v>50</v>
      </c>
      <c r="AJ308" s="155">
        <f t="shared" si="72"/>
        <v>50</v>
      </c>
      <c r="AK308" s="155">
        <f t="shared" si="72"/>
        <v>50</v>
      </c>
      <c r="AL308" s="155">
        <f t="shared" si="72"/>
        <v>50</v>
      </c>
      <c r="AM308" s="155">
        <f t="shared" si="72"/>
        <v>50</v>
      </c>
      <c r="AN308" s="155">
        <f t="shared" si="72"/>
        <v>50</v>
      </c>
      <c r="AO308" s="155">
        <f t="shared" si="72"/>
        <v>50</v>
      </c>
      <c r="AP308" s="155">
        <f t="shared" si="72"/>
        <v>50</v>
      </c>
      <c r="AQ308" s="155">
        <f t="shared" si="72"/>
        <v>50</v>
      </c>
      <c r="AR308" s="155">
        <f t="shared" si="72"/>
        <v>50</v>
      </c>
      <c r="AS308" s="155">
        <f t="shared" si="72"/>
        <v>50</v>
      </c>
      <c r="AT308" s="155">
        <f t="shared" si="72"/>
        <v>50</v>
      </c>
      <c r="AU308" s="155">
        <f t="shared" si="72"/>
        <v>50</v>
      </c>
      <c r="AV308" s="155">
        <f t="shared" si="72"/>
        <v>50</v>
      </c>
      <c r="AW308" s="155">
        <f t="shared" si="72"/>
        <v>50</v>
      </c>
      <c r="AX308" s="155">
        <f t="shared" si="72"/>
        <v>50</v>
      </c>
      <c r="AY308" s="155">
        <f t="shared" si="72"/>
        <v>50</v>
      </c>
      <c r="AZ308" s="155">
        <f t="shared" si="72"/>
        <v>50</v>
      </c>
      <c r="BA308" s="155">
        <f t="shared" si="72"/>
        <v>50</v>
      </c>
      <c r="BB308" s="155">
        <f t="shared" si="72"/>
        <v>50</v>
      </c>
      <c r="BC308" s="155">
        <f t="shared" si="72"/>
        <v>50</v>
      </c>
      <c r="BD308" s="155">
        <f t="shared" si="72"/>
        <v>50</v>
      </c>
      <c r="BE308" s="155">
        <f t="shared" si="72"/>
        <v>50</v>
      </c>
      <c r="BF308" s="155">
        <f t="shared" si="72"/>
        <v>50</v>
      </c>
      <c r="BG308" s="155">
        <f t="shared" si="72"/>
        <v>50</v>
      </c>
      <c r="BH308" s="155">
        <f t="shared" si="72"/>
        <v>50</v>
      </c>
      <c r="BI308" s="155">
        <f t="shared" si="72"/>
        <v>50</v>
      </c>
      <c r="BJ308" s="155">
        <f t="shared" si="72"/>
        <v>50</v>
      </c>
      <c r="BK308" s="155">
        <f t="shared" si="72"/>
        <v>50</v>
      </c>
      <c r="BL308" s="155">
        <f t="shared" si="72"/>
        <v>50</v>
      </c>
      <c r="BM308" s="155">
        <f t="shared" si="72"/>
        <v>50</v>
      </c>
      <c r="BN308" s="155">
        <f t="shared" si="73"/>
        <v>50</v>
      </c>
      <c r="BO308" s="155">
        <f t="shared" si="73"/>
        <v>50</v>
      </c>
      <c r="BP308" s="155">
        <f t="shared" si="73"/>
        <v>50</v>
      </c>
      <c r="BQ308" s="155">
        <f t="shared" si="73"/>
        <v>50</v>
      </c>
      <c r="BR308" s="155">
        <f t="shared" si="73"/>
        <v>50</v>
      </c>
      <c r="BS308" s="155">
        <f t="shared" ref="BS308:CJ308" si="76">BS232</f>
        <v>50</v>
      </c>
      <c r="BT308" s="155">
        <f t="shared" si="76"/>
        <v>50</v>
      </c>
      <c r="BU308" s="155">
        <f t="shared" si="76"/>
        <v>50</v>
      </c>
      <c r="BV308" s="155">
        <f t="shared" si="76"/>
        <v>50</v>
      </c>
      <c r="BW308" s="155">
        <f t="shared" si="76"/>
        <v>50</v>
      </c>
      <c r="BX308" s="155">
        <f t="shared" si="76"/>
        <v>50</v>
      </c>
      <c r="BY308" s="155">
        <f t="shared" si="76"/>
        <v>50</v>
      </c>
      <c r="BZ308" s="155">
        <f t="shared" si="76"/>
        <v>50</v>
      </c>
      <c r="CA308" s="155">
        <f t="shared" si="76"/>
        <v>50</v>
      </c>
      <c r="CB308" s="155">
        <f t="shared" si="76"/>
        <v>50</v>
      </c>
      <c r="CC308" s="155">
        <f t="shared" si="76"/>
        <v>50</v>
      </c>
      <c r="CD308" s="155">
        <f t="shared" si="76"/>
        <v>50</v>
      </c>
      <c r="CE308" s="155">
        <f t="shared" si="76"/>
        <v>50</v>
      </c>
      <c r="CF308" s="155">
        <f t="shared" si="76"/>
        <v>50</v>
      </c>
      <c r="CG308" s="155">
        <f t="shared" si="76"/>
        <v>50</v>
      </c>
      <c r="CH308" s="155">
        <f t="shared" si="76"/>
        <v>50</v>
      </c>
      <c r="CI308" s="155">
        <f t="shared" si="76"/>
        <v>50</v>
      </c>
      <c r="CJ308" s="155">
        <f t="shared" si="76"/>
        <v>50</v>
      </c>
      <c r="CK308" s="557"/>
      <c r="CL308" s="557"/>
      <c r="CM308" s="557"/>
      <c r="CN308" s="557"/>
      <c r="CO308" s="557"/>
      <c r="CP308" s="557"/>
      <c r="CQ308" s="557"/>
      <c r="CR308" s="557"/>
      <c r="CS308" s="557"/>
      <c r="CT308" s="557"/>
      <c r="CU308" s="557"/>
      <c r="CV308" s="557"/>
      <c r="CW308" s="557"/>
      <c r="CX308" s="557"/>
      <c r="CY308" s="557"/>
      <c r="CZ308" s="557"/>
    </row>
    <row r="309" spans="1:104" hidden="1" x14ac:dyDescent="0.3">
      <c r="A309" s="155">
        <f t="shared" si="75"/>
        <v>999</v>
      </c>
      <c r="B309" s="155" t="str">
        <f t="shared" ref="B309:BM309" si="77">B233</f>
        <v>CCH Unit Code</v>
      </c>
      <c r="C309" s="155">
        <f t="shared" si="77"/>
        <v>0</v>
      </c>
      <c r="D309" s="155">
        <f t="shared" si="77"/>
        <v>50508</v>
      </c>
      <c r="E309" s="155">
        <f t="shared" si="77"/>
        <v>50465</v>
      </c>
      <c r="F309" s="155">
        <f t="shared" si="77"/>
        <v>50060</v>
      </c>
      <c r="G309" s="155">
        <f t="shared" si="77"/>
        <v>50061</v>
      </c>
      <c r="H309" s="155">
        <f t="shared" si="77"/>
        <v>50062</v>
      </c>
      <c r="I309" s="155">
        <f t="shared" si="77"/>
        <v>50063</v>
      </c>
      <c r="J309" s="155">
        <f t="shared" si="77"/>
        <v>50064</v>
      </c>
      <c r="K309" s="155">
        <f t="shared" si="77"/>
        <v>50065</v>
      </c>
      <c r="L309" s="155">
        <f t="shared" si="77"/>
        <v>50551</v>
      </c>
      <c r="M309" s="155">
        <f t="shared" si="77"/>
        <v>50066</v>
      </c>
      <c r="N309" s="155">
        <f t="shared" si="77"/>
        <v>50067</v>
      </c>
      <c r="O309" s="155">
        <f t="shared" si="77"/>
        <v>50068</v>
      </c>
      <c r="P309" s="155">
        <f t="shared" si="77"/>
        <v>50466</v>
      </c>
      <c r="Q309" s="155">
        <f t="shared" si="77"/>
        <v>50069</v>
      </c>
      <c r="R309" s="155">
        <f t="shared" si="77"/>
        <v>50450</v>
      </c>
      <c r="S309" s="155">
        <f t="shared" si="77"/>
        <v>50070</v>
      </c>
      <c r="T309" s="155">
        <f t="shared" si="77"/>
        <v>50509</v>
      </c>
      <c r="U309" s="155">
        <f t="shared" si="77"/>
        <v>50539</v>
      </c>
      <c r="V309" s="155">
        <f t="shared" si="77"/>
        <v>50467</v>
      </c>
      <c r="W309" s="155">
        <f t="shared" si="77"/>
        <v>50072</v>
      </c>
      <c r="X309" s="155">
        <f t="shared" si="77"/>
        <v>50074</v>
      </c>
      <c r="Y309" s="155">
        <f t="shared" si="77"/>
        <v>50075</v>
      </c>
      <c r="Z309" s="155">
        <f t="shared" si="77"/>
        <v>50076</v>
      </c>
      <c r="AA309" s="155">
        <f t="shared" si="77"/>
        <v>50510</v>
      </c>
      <c r="AB309" s="155">
        <f t="shared" si="77"/>
        <v>50077</v>
      </c>
      <c r="AC309" s="155">
        <f t="shared" si="77"/>
        <v>50078</v>
      </c>
      <c r="AD309" s="155">
        <f t="shared" si="77"/>
        <v>50079</v>
      </c>
      <c r="AE309" s="155">
        <f t="shared" si="77"/>
        <v>50080</v>
      </c>
      <c r="AF309" s="155">
        <f t="shared" si="77"/>
        <v>50081</v>
      </c>
      <c r="AG309" s="155">
        <f t="shared" si="77"/>
        <v>50502</v>
      </c>
      <c r="AH309" s="155">
        <f t="shared" si="77"/>
        <v>50082</v>
      </c>
      <c r="AI309" s="155">
        <f t="shared" si="77"/>
        <v>50083</v>
      </c>
      <c r="AJ309" s="155">
        <f t="shared" si="77"/>
        <v>50084</v>
      </c>
      <c r="AK309" s="155">
        <f t="shared" si="77"/>
        <v>50085</v>
      </c>
      <c r="AL309" s="155">
        <f t="shared" si="77"/>
        <v>50468</v>
      </c>
      <c r="AM309" s="155">
        <f t="shared" si="77"/>
        <v>50086</v>
      </c>
      <c r="AN309" s="155">
        <f t="shared" si="77"/>
        <v>50087</v>
      </c>
      <c r="AO309" s="155">
        <f t="shared" si="77"/>
        <v>50088</v>
      </c>
      <c r="AP309" s="155">
        <f t="shared" si="77"/>
        <v>50089</v>
      </c>
      <c r="AQ309" s="155">
        <f t="shared" si="77"/>
        <v>50090</v>
      </c>
      <c r="AR309" s="155">
        <f t="shared" si="77"/>
        <v>50091</v>
      </c>
      <c r="AS309" s="155">
        <f t="shared" si="77"/>
        <v>50511</v>
      </c>
      <c r="AT309" s="155">
        <f t="shared" si="77"/>
        <v>50092</v>
      </c>
      <c r="AU309" s="155">
        <f t="shared" si="77"/>
        <v>50093</v>
      </c>
      <c r="AV309" s="155">
        <f t="shared" si="77"/>
        <v>50512</v>
      </c>
      <c r="AW309" s="155">
        <f t="shared" si="77"/>
        <v>50094</v>
      </c>
      <c r="AX309" s="155">
        <f t="shared" si="77"/>
        <v>50095</v>
      </c>
      <c r="AY309" s="155">
        <f t="shared" si="77"/>
        <v>50096</v>
      </c>
      <c r="AZ309" s="155">
        <f t="shared" si="77"/>
        <v>50097</v>
      </c>
      <c r="BA309" s="155">
        <f t="shared" si="77"/>
        <v>50098</v>
      </c>
      <c r="BB309" s="155">
        <f t="shared" si="77"/>
        <v>50099</v>
      </c>
      <c r="BC309" s="155">
        <f t="shared" si="77"/>
        <v>50100</v>
      </c>
      <c r="BD309" s="155">
        <f t="shared" si="77"/>
        <v>50101</v>
      </c>
      <c r="BE309" s="155">
        <f t="shared" si="77"/>
        <v>50102</v>
      </c>
      <c r="BF309" s="155">
        <f t="shared" si="77"/>
        <v>50103</v>
      </c>
      <c r="BG309" s="155">
        <f t="shared" si="77"/>
        <v>50104</v>
      </c>
      <c r="BH309" s="155">
        <f t="shared" si="77"/>
        <v>50513</v>
      </c>
      <c r="BI309" s="155">
        <f t="shared" si="77"/>
        <v>50105</v>
      </c>
      <c r="BJ309" s="155">
        <f t="shared" si="77"/>
        <v>50460</v>
      </c>
      <c r="BK309" s="155">
        <f t="shared" si="77"/>
        <v>50106</v>
      </c>
      <c r="BL309" s="155">
        <f t="shared" si="77"/>
        <v>50107</v>
      </c>
      <c r="BM309" s="155">
        <f t="shared" si="77"/>
        <v>50108</v>
      </c>
      <c r="BN309" s="155">
        <f t="shared" si="73"/>
        <v>50559</v>
      </c>
      <c r="BO309" s="155">
        <f t="shared" si="73"/>
        <v>50109</v>
      </c>
      <c r="BP309" s="155">
        <f t="shared" si="73"/>
        <v>50110</v>
      </c>
      <c r="BQ309" s="155">
        <f t="shared" si="73"/>
        <v>50472</v>
      </c>
      <c r="BR309" s="155">
        <f t="shared" si="73"/>
        <v>50461</v>
      </c>
      <c r="BS309" s="155">
        <f t="shared" ref="BS309:CJ309" si="78">BS233</f>
        <v>50111</v>
      </c>
      <c r="BT309" s="155">
        <f t="shared" si="78"/>
        <v>50113</v>
      </c>
      <c r="BU309" s="155">
        <f t="shared" si="78"/>
        <v>50568</v>
      </c>
      <c r="BV309" s="155">
        <f t="shared" si="78"/>
        <v>50114</v>
      </c>
      <c r="BW309" s="155">
        <f t="shared" si="78"/>
        <v>50115</v>
      </c>
      <c r="BX309" s="155">
        <f t="shared" si="78"/>
        <v>50116</v>
      </c>
      <c r="BY309" s="155">
        <f t="shared" si="78"/>
        <v>50117</v>
      </c>
      <c r="BZ309" s="155">
        <f t="shared" si="78"/>
        <v>50119</v>
      </c>
      <c r="CA309" s="155">
        <f t="shared" si="78"/>
        <v>50118</v>
      </c>
      <c r="CB309" s="155">
        <f t="shared" si="78"/>
        <v>50120</v>
      </c>
      <c r="CC309" s="155">
        <f t="shared" si="78"/>
        <v>50121</v>
      </c>
      <c r="CD309" s="155">
        <f t="shared" si="78"/>
        <v>50122</v>
      </c>
      <c r="CE309" s="155">
        <f t="shared" si="78"/>
        <v>50123</v>
      </c>
      <c r="CF309" s="155">
        <f t="shared" si="78"/>
        <v>50124</v>
      </c>
      <c r="CG309" s="155">
        <f t="shared" si="78"/>
        <v>50125</v>
      </c>
      <c r="CH309" s="155">
        <f t="shared" si="78"/>
        <v>50126</v>
      </c>
      <c r="CI309" s="155">
        <f t="shared" si="78"/>
        <v>50127</v>
      </c>
      <c r="CJ309" s="155">
        <f t="shared" si="78"/>
        <v>50128</v>
      </c>
      <c r="CK309" s="557"/>
      <c r="CL309" s="557"/>
      <c r="CM309" s="557"/>
      <c r="CN309" s="557"/>
      <c r="CO309" s="557"/>
      <c r="CP309" s="557"/>
      <c r="CQ309" s="557"/>
      <c r="CR309" s="557"/>
      <c r="CS309" s="557"/>
      <c r="CT309" s="557"/>
      <c r="CU309" s="557"/>
      <c r="CV309" s="557"/>
      <c r="CW309" s="557"/>
      <c r="CX309" s="557"/>
      <c r="CY309" s="557"/>
      <c r="CZ309" s="557"/>
    </row>
    <row r="310" spans="1:104" hidden="1" x14ac:dyDescent="0.3">
      <c r="A310" s="555">
        <f>A144</f>
        <v>554</v>
      </c>
      <c r="B310" s="555" t="str">
        <f t="shared" ref="B310:BM311" si="79">B144</f>
        <v>Single Audit Only - total amount of federal awards and grants expended as found on SEFSA</v>
      </c>
      <c r="C310" s="555">
        <f t="shared" si="79"/>
        <v>0</v>
      </c>
      <c r="D310" s="555">
        <f t="shared" si="79"/>
        <v>0</v>
      </c>
      <c r="E310" s="555">
        <f t="shared" si="79"/>
        <v>0</v>
      </c>
      <c r="F310" s="555">
        <f t="shared" si="79"/>
        <v>0</v>
      </c>
      <c r="G310" s="555">
        <f t="shared" si="79"/>
        <v>0</v>
      </c>
      <c r="H310" s="555">
        <f t="shared" si="79"/>
        <v>0</v>
      </c>
      <c r="I310" s="555">
        <f t="shared" si="79"/>
        <v>1228681</v>
      </c>
      <c r="J310" s="555">
        <f t="shared" si="79"/>
        <v>0</v>
      </c>
      <c r="K310" s="555">
        <f t="shared" si="79"/>
        <v>861356</v>
      </c>
      <c r="L310" s="555">
        <f t="shared" si="79"/>
        <v>0</v>
      </c>
      <c r="M310" s="555">
        <f t="shared" si="79"/>
        <v>0</v>
      </c>
      <c r="N310" s="555">
        <f t="shared" si="79"/>
        <v>2057862</v>
      </c>
      <c r="O310" s="555">
        <f t="shared" si="79"/>
        <v>10921888</v>
      </c>
      <c r="P310" s="555">
        <f t="shared" si="79"/>
        <v>0</v>
      </c>
      <c r="Q310" s="555">
        <f t="shared" si="79"/>
        <v>0</v>
      </c>
      <c r="R310" s="555">
        <f t="shared" si="79"/>
        <v>51843</v>
      </c>
      <c r="S310" s="555">
        <f t="shared" si="79"/>
        <v>0</v>
      </c>
      <c r="T310" s="555">
        <f t="shared" si="79"/>
        <v>0</v>
      </c>
      <c r="U310" s="555">
        <f t="shared" si="79"/>
        <v>0</v>
      </c>
      <c r="V310" s="555">
        <f t="shared" si="79"/>
        <v>0</v>
      </c>
      <c r="W310" s="555">
        <f t="shared" si="79"/>
        <v>0</v>
      </c>
      <c r="X310" s="555">
        <f t="shared" si="79"/>
        <v>9327092</v>
      </c>
      <c r="Y310" s="555">
        <f t="shared" si="79"/>
        <v>237465208</v>
      </c>
      <c r="Z310" s="555">
        <f t="shared" si="79"/>
        <v>967622</v>
      </c>
      <c r="AA310" s="555">
        <f t="shared" si="79"/>
        <v>0</v>
      </c>
      <c r="AB310" s="555">
        <f t="shared" si="79"/>
        <v>0</v>
      </c>
      <c r="AC310" s="555">
        <f t="shared" si="79"/>
        <v>0</v>
      </c>
      <c r="AD310" s="555">
        <f t="shared" si="79"/>
        <v>3110465</v>
      </c>
      <c r="AE310" s="555">
        <f t="shared" si="79"/>
        <v>0</v>
      </c>
      <c r="AF310" s="555">
        <f t="shared" si="79"/>
        <v>10139681</v>
      </c>
      <c r="AG310" s="555">
        <f t="shared" si="79"/>
        <v>3707617</v>
      </c>
      <c r="AH310" s="555">
        <f t="shared" si="79"/>
        <v>0</v>
      </c>
      <c r="AI310" s="555">
        <f t="shared" si="79"/>
        <v>0</v>
      </c>
      <c r="AJ310" s="555">
        <f t="shared" si="79"/>
        <v>0</v>
      </c>
      <c r="AK310" s="555">
        <f t="shared" si="79"/>
        <v>0</v>
      </c>
      <c r="AL310" s="555">
        <f t="shared" si="79"/>
        <v>0</v>
      </c>
      <c r="AM310" s="555">
        <f t="shared" si="79"/>
        <v>0</v>
      </c>
      <c r="AN310" s="555">
        <f t="shared" si="79"/>
        <v>0</v>
      </c>
      <c r="AO310" s="555">
        <f t="shared" si="79"/>
        <v>0</v>
      </c>
      <c r="AP310" s="555">
        <f t="shared" si="79"/>
        <v>0</v>
      </c>
      <c r="AQ310" s="555">
        <f t="shared" si="79"/>
        <v>34586956</v>
      </c>
      <c r="AR310" s="555">
        <f t="shared" si="79"/>
        <v>0</v>
      </c>
      <c r="AS310" s="555">
        <f t="shared" si="79"/>
        <v>0</v>
      </c>
      <c r="AT310" s="555">
        <f t="shared" si="79"/>
        <v>1990506</v>
      </c>
      <c r="AU310" s="555">
        <f t="shared" si="79"/>
        <v>0</v>
      </c>
      <c r="AV310" s="555">
        <f t="shared" si="79"/>
        <v>0</v>
      </c>
      <c r="AW310" s="555">
        <f t="shared" si="79"/>
        <v>5062466</v>
      </c>
      <c r="AX310" s="555">
        <f t="shared" si="79"/>
        <v>0</v>
      </c>
      <c r="AY310" s="555">
        <f t="shared" si="79"/>
        <v>0</v>
      </c>
      <c r="AZ310" s="555">
        <f t="shared" si="79"/>
        <v>0</v>
      </c>
      <c r="BA310" s="555">
        <f t="shared" si="79"/>
        <v>0</v>
      </c>
      <c r="BB310" s="555">
        <f t="shared" si="79"/>
        <v>0</v>
      </c>
      <c r="BC310" s="555">
        <f t="shared" si="79"/>
        <v>0</v>
      </c>
      <c r="BD310" s="555">
        <f t="shared" si="79"/>
        <v>0</v>
      </c>
      <c r="BE310" s="555">
        <f t="shared" si="79"/>
        <v>4066358</v>
      </c>
      <c r="BF310" s="555">
        <f t="shared" si="79"/>
        <v>0</v>
      </c>
      <c r="BG310" s="555">
        <f t="shared" si="79"/>
        <v>0</v>
      </c>
      <c r="BH310" s="555">
        <f t="shared" si="79"/>
        <v>0</v>
      </c>
      <c r="BI310" s="555">
        <f t="shared" si="79"/>
        <v>0</v>
      </c>
      <c r="BJ310" s="555">
        <f t="shared" si="79"/>
        <v>0</v>
      </c>
      <c r="BK310" s="555">
        <f t="shared" si="79"/>
        <v>0</v>
      </c>
      <c r="BL310" s="555">
        <f t="shared" si="79"/>
        <v>0</v>
      </c>
      <c r="BM310" s="555">
        <f t="shared" si="79"/>
        <v>0</v>
      </c>
      <c r="BN310" s="555">
        <f t="shared" ref="BN310:BR313" si="80">BN144</f>
        <v>1945337</v>
      </c>
      <c r="BO310" s="555">
        <f t="shared" si="80"/>
        <v>6731305</v>
      </c>
      <c r="BP310" s="555">
        <f t="shared" si="80"/>
        <v>27508111</v>
      </c>
      <c r="BQ310" s="555">
        <f t="shared" si="80"/>
        <v>0</v>
      </c>
      <c r="BR310" s="555">
        <f t="shared" si="80"/>
        <v>0</v>
      </c>
      <c r="BS310" s="555">
        <f t="shared" ref="BS310:CJ310" si="81">BS144</f>
        <v>0</v>
      </c>
      <c r="BT310" s="555">
        <f t="shared" si="81"/>
        <v>0</v>
      </c>
      <c r="BU310" s="555">
        <f t="shared" si="81"/>
        <v>0</v>
      </c>
      <c r="BV310" s="555">
        <f t="shared" si="81"/>
        <v>1531542</v>
      </c>
      <c r="BW310" s="555">
        <f t="shared" si="81"/>
        <v>1509679</v>
      </c>
      <c r="BX310" s="555">
        <f t="shared" si="81"/>
        <v>2252110</v>
      </c>
      <c r="BY310" s="555">
        <f t="shared" si="81"/>
        <v>1963659</v>
      </c>
      <c r="BZ310" s="555">
        <f t="shared" si="81"/>
        <v>0</v>
      </c>
      <c r="CA310" s="555">
        <f t="shared" si="81"/>
        <v>791199</v>
      </c>
      <c r="CB310" s="555">
        <f t="shared" si="81"/>
        <v>0</v>
      </c>
      <c r="CC310" s="555">
        <f t="shared" si="81"/>
        <v>0</v>
      </c>
      <c r="CD310" s="555">
        <f t="shared" si="81"/>
        <v>0</v>
      </c>
      <c r="CE310" s="555">
        <f t="shared" si="81"/>
        <v>0</v>
      </c>
      <c r="CF310" s="555">
        <f t="shared" si="81"/>
        <v>1358721</v>
      </c>
      <c r="CG310" s="555">
        <f t="shared" si="81"/>
        <v>1171027</v>
      </c>
      <c r="CH310" s="555">
        <f t="shared" si="81"/>
        <v>0</v>
      </c>
      <c r="CI310" s="555">
        <f t="shared" si="81"/>
        <v>0</v>
      </c>
      <c r="CJ310" s="555">
        <f t="shared" si="81"/>
        <v>0</v>
      </c>
      <c r="CK310" s="557"/>
      <c r="CL310" s="557"/>
      <c r="CM310" s="557"/>
      <c r="CN310" s="557"/>
      <c r="CO310" s="557"/>
      <c r="CP310" s="557"/>
      <c r="CQ310" s="557"/>
      <c r="CR310" s="557"/>
      <c r="CS310" s="557"/>
      <c r="CT310" s="557"/>
      <c r="CU310" s="557"/>
      <c r="CV310" s="557"/>
      <c r="CW310" s="557"/>
      <c r="CX310" s="557"/>
      <c r="CY310" s="557"/>
      <c r="CZ310" s="557"/>
    </row>
    <row r="311" spans="1:104" hidden="1" x14ac:dyDescent="0.3">
      <c r="A311" s="555">
        <f t="shared" ref="A311:P313" si="82">A145</f>
        <v>555</v>
      </c>
      <c r="B311" s="555" t="str">
        <f t="shared" si="82"/>
        <v>Single Audit Only - Total amount of federal awards and grants that were audited as major as found on SEFSA</v>
      </c>
      <c r="C311" s="555">
        <f t="shared" si="82"/>
        <v>0</v>
      </c>
      <c r="D311" s="555">
        <f t="shared" si="82"/>
        <v>0</v>
      </c>
      <c r="E311" s="555">
        <f t="shared" si="82"/>
        <v>0</v>
      </c>
      <c r="F311" s="555">
        <f t="shared" si="82"/>
        <v>0</v>
      </c>
      <c r="G311" s="555">
        <f t="shared" si="82"/>
        <v>0</v>
      </c>
      <c r="H311" s="555">
        <f t="shared" si="82"/>
        <v>0</v>
      </c>
      <c r="I311" s="555">
        <f t="shared" si="82"/>
        <v>751129</v>
      </c>
      <c r="J311" s="555">
        <f t="shared" si="82"/>
        <v>0</v>
      </c>
      <c r="K311" s="555">
        <f t="shared" si="82"/>
        <v>604093</v>
      </c>
      <c r="L311" s="555">
        <f t="shared" si="82"/>
        <v>0</v>
      </c>
      <c r="M311" s="555">
        <f t="shared" si="82"/>
        <v>0</v>
      </c>
      <c r="N311" s="555">
        <f t="shared" si="82"/>
        <v>2025219</v>
      </c>
      <c r="O311" s="555">
        <f t="shared" si="82"/>
        <v>3555145</v>
      </c>
      <c r="P311" s="555">
        <f t="shared" si="82"/>
        <v>0</v>
      </c>
      <c r="Q311" s="555">
        <f t="shared" si="79"/>
        <v>0</v>
      </c>
      <c r="R311" s="555">
        <f t="shared" si="79"/>
        <v>0</v>
      </c>
      <c r="S311" s="555">
        <f t="shared" si="79"/>
        <v>0</v>
      </c>
      <c r="T311" s="555">
        <f t="shared" si="79"/>
        <v>0</v>
      </c>
      <c r="U311" s="555">
        <f t="shared" si="79"/>
        <v>0</v>
      </c>
      <c r="V311" s="555">
        <f t="shared" si="79"/>
        <v>0</v>
      </c>
      <c r="W311" s="555">
        <f t="shared" si="79"/>
        <v>0</v>
      </c>
      <c r="X311" s="555">
        <f t="shared" si="79"/>
        <v>2864202</v>
      </c>
      <c r="Y311" s="555">
        <f t="shared" si="79"/>
        <v>160199889</v>
      </c>
      <c r="Z311" s="555">
        <f t="shared" si="79"/>
        <v>967622</v>
      </c>
      <c r="AA311" s="555">
        <f t="shared" si="79"/>
        <v>0</v>
      </c>
      <c r="AB311" s="555">
        <f t="shared" si="79"/>
        <v>0</v>
      </c>
      <c r="AC311" s="555">
        <f t="shared" si="79"/>
        <v>0</v>
      </c>
      <c r="AD311" s="555">
        <f t="shared" si="79"/>
        <v>3027131</v>
      </c>
      <c r="AE311" s="555">
        <f t="shared" si="79"/>
        <v>0</v>
      </c>
      <c r="AF311" s="555">
        <f t="shared" si="79"/>
        <v>9922064</v>
      </c>
      <c r="AG311" s="555">
        <f t="shared" si="79"/>
        <v>3682002</v>
      </c>
      <c r="AH311" s="555">
        <f t="shared" si="79"/>
        <v>0</v>
      </c>
      <c r="AI311" s="555">
        <f t="shared" si="79"/>
        <v>0</v>
      </c>
      <c r="AJ311" s="555">
        <f t="shared" si="79"/>
        <v>0</v>
      </c>
      <c r="AK311" s="555">
        <f t="shared" si="79"/>
        <v>0</v>
      </c>
      <c r="AL311" s="555">
        <f t="shared" si="79"/>
        <v>0</v>
      </c>
      <c r="AM311" s="555">
        <f t="shared" si="79"/>
        <v>0</v>
      </c>
      <c r="AN311" s="555">
        <f t="shared" si="79"/>
        <v>0</v>
      </c>
      <c r="AO311" s="555">
        <f t="shared" si="79"/>
        <v>0</v>
      </c>
      <c r="AP311" s="555">
        <f t="shared" si="79"/>
        <v>0</v>
      </c>
      <c r="AQ311" s="555">
        <f t="shared" si="79"/>
        <v>16159509</v>
      </c>
      <c r="AR311" s="555">
        <f t="shared" si="79"/>
        <v>0</v>
      </c>
      <c r="AS311" s="555">
        <f t="shared" si="79"/>
        <v>0</v>
      </c>
      <c r="AT311" s="555">
        <f t="shared" si="79"/>
        <v>1360838</v>
      </c>
      <c r="AU311" s="555">
        <f t="shared" si="79"/>
        <v>0</v>
      </c>
      <c r="AV311" s="555">
        <f t="shared" si="79"/>
        <v>0</v>
      </c>
      <c r="AW311" s="555">
        <f t="shared" si="79"/>
        <v>4821414</v>
      </c>
      <c r="AX311" s="555">
        <f t="shared" si="79"/>
        <v>0</v>
      </c>
      <c r="AY311" s="555">
        <f t="shared" si="79"/>
        <v>0</v>
      </c>
      <c r="AZ311" s="555">
        <f t="shared" si="79"/>
        <v>0</v>
      </c>
      <c r="BA311" s="555">
        <f t="shared" si="79"/>
        <v>0</v>
      </c>
      <c r="BB311" s="555">
        <f t="shared" si="79"/>
        <v>0</v>
      </c>
      <c r="BC311" s="555">
        <f t="shared" si="79"/>
        <v>0</v>
      </c>
      <c r="BD311" s="555">
        <f t="shared" si="79"/>
        <v>0</v>
      </c>
      <c r="BE311" s="555">
        <f t="shared" si="79"/>
        <v>4066358</v>
      </c>
      <c r="BF311" s="555">
        <f t="shared" si="79"/>
        <v>0</v>
      </c>
      <c r="BG311" s="555">
        <f t="shared" si="79"/>
        <v>0</v>
      </c>
      <c r="BH311" s="555">
        <f t="shared" si="79"/>
        <v>0</v>
      </c>
      <c r="BI311" s="555">
        <f t="shared" si="79"/>
        <v>0</v>
      </c>
      <c r="BJ311" s="555">
        <f t="shared" si="79"/>
        <v>0</v>
      </c>
      <c r="BK311" s="555">
        <f t="shared" si="79"/>
        <v>0</v>
      </c>
      <c r="BL311" s="555">
        <f t="shared" si="79"/>
        <v>0</v>
      </c>
      <c r="BM311" s="555">
        <f t="shared" si="79"/>
        <v>0</v>
      </c>
      <c r="BN311" s="555">
        <f t="shared" si="80"/>
        <v>1819133</v>
      </c>
      <c r="BO311" s="555">
        <f t="shared" si="80"/>
        <v>6204361</v>
      </c>
      <c r="BP311" s="555">
        <f t="shared" si="80"/>
        <v>17975381</v>
      </c>
      <c r="BQ311" s="555">
        <f t="shared" si="80"/>
        <v>0</v>
      </c>
      <c r="BR311" s="555">
        <f t="shared" si="80"/>
        <v>0</v>
      </c>
      <c r="BS311" s="555">
        <f t="shared" ref="BS311:CJ311" si="83">BS145</f>
        <v>0</v>
      </c>
      <c r="BT311" s="555">
        <f t="shared" si="83"/>
        <v>0</v>
      </c>
      <c r="BU311" s="555">
        <f t="shared" si="83"/>
        <v>0</v>
      </c>
      <c r="BV311" s="555">
        <f t="shared" si="83"/>
        <v>0</v>
      </c>
      <c r="BW311" s="555">
        <f t="shared" si="83"/>
        <v>1349652</v>
      </c>
      <c r="BX311" s="555">
        <f t="shared" si="83"/>
        <v>966793</v>
      </c>
      <c r="BY311" s="555">
        <f t="shared" si="83"/>
        <v>1793098</v>
      </c>
      <c r="BZ311" s="555">
        <f t="shared" si="83"/>
        <v>0</v>
      </c>
      <c r="CA311" s="555">
        <f t="shared" si="83"/>
        <v>749988</v>
      </c>
      <c r="CB311" s="555">
        <f t="shared" si="83"/>
        <v>0</v>
      </c>
      <c r="CC311" s="555">
        <f t="shared" si="83"/>
        <v>0</v>
      </c>
      <c r="CD311" s="555">
        <f t="shared" si="83"/>
        <v>0</v>
      </c>
      <c r="CE311" s="555">
        <f t="shared" si="83"/>
        <v>0</v>
      </c>
      <c r="CF311" s="555">
        <f t="shared" si="83"/>
        <v>769928</v>
      </c>
      <c r="CG311" s="555">
        <f t="shared" si="83"/>
        <v>589699</v>
      </c>
      <c r="CH311" s="555">
        <f t="shared" si="83"/>
        <v>0</v>
      </c>
      <c r="CI311" s="555">
        <f t="shared" si="83"/>
        <v>0</v>
      </c>
      <c r="CJ311" s="555">
        <f t="shared" si="83"/>
        <v>0</v>
      </c>
      <c r="CK311" s="557"/>
      <c r="CL311" s="557"/>
      <c r="CM311" s="557"/>
      <c r="CN311" s="557"/>
      <c r="CO311" s="557"/>
      <c r="CP311" s="557"/>
      <c r="CQ311" s="557"/>
      <c r="CR311" s="557"/>
      <c r="CS311" s="557"/>
      <c r="CT311" s="557"/>
      <c r="CU311" s="557"/>
      <c r="CV311" s="557"/>
      <c r="CW311" s="557"/>
      <c r="CX311" s="557"/>
      <c r="CY311" s="557"/>
      <c r="CZ311" s="557"/>
    </row>
    <row r="312" spans="1:104" hidden="1" x14ac:dyDescent="0.3">
      <c r="A312" s="555">
        <f t="shared" si="82"/>
        <v>556</v>
      </c>
      <c r="B312" s="555" t="str">
        <f t="shared" ref="B312:BM313" si="84">B146</f>
        <v>Single Audit Only - total amount of state awards and grants expended as found on SEFSA</v>
      </c>
      <c r="C312" s="555">
        <f t="shared" si="84"/>
        <v>0</v>
      </c>
      <c r="D312" s="555">
        <f t="shared" si="84"/>
        <v>0</v>
      </c>
      <c r="E312" s="555">
        <f t="shared" si="84"/>
        <v>0</v>
      </c>
      <c r="F312" s="555">
        <f t="shared" si="84"/>
        <v>0</v>
      </c>
      <c r="G312" s="555">
        <f t="shared" si="84"/>
        <v>0</v>
      </c>
      <c r="H312" s="555">
        <f t="shared" si="84"/>
        <v>0</v>
      </c>
      <c r="I312" s="555">
        <f t="shared" si="84"/>
        <v>5257201</v>
      </c>
      <c r="J312" s="555">
        <f t="shared" si="84"/>
        <v>0</v>
      </c>
      <c r="K312" s="555">
        <f t="shared" si="84"/>
        <v>1658095</v>
      </c>
      <c r="L312" s="555">
        <f t="shared" si="84"/>
        <v>0</v>
      </c>
      <c r="M312" s="555">
        <f t="shared" si="84"/>
        <v>0</v>
      </c>
      <c r="N312" s="555">
        <f t="shared" si="84"/>
        <v>1028470</v>
      </c>
      <c r="O312" s="555">
        <f t="shared" si="84"/>
        <v>6369405</v>
      </c>
      <c r="P312" s="555">
        <f t="shared" si="84"/>
        <v>0</v>
      </c>
      <c r="Q312" s="555">
        <f t="shared" si="84"/>
        <v>0</v>
      </c>
      <c r="R312" s="555">
        <f t="shared" si="84"/>
        <v>740396</v>
      </c>
      <c r="S312" s="555">
        <f t="shared" si="84"/>
        <v>0</v>
      </c>
      <c r="T312" s="555">
        <f t="shared" si="84"/>
        <v>0</v>
      </c>
      <c r="U312" s="555">
        <f t="shared" si="84"/>
        <v>0</v>
      </c>
      <c r="V312" s="555">
        <f t="shared" si="84"/>
        <v>0</v>
      </c>
      <c r="W312" s="555">
        <f t="shared" si="84"/>
        <v>0</v>
      </c>
      <c r="X312" s="555">
        <f t="shared" si="84"/>
        <v>6020025</v>
      </c>
      <c r="Y312" s="555">
        <f t="shared" si="84"/>
        <v>78829309</v>
      </c>
      <c r="Z312" s="555">
        <f t="shared" si="84"/>
        <v>203775</v>
      </c>
      <c r="AA312" s="555">
        <f t="shared" si="84"/>
        <v>0</v>
      </c>
      <c r="AB312" s="555">
        <f t="shared" si="84"/>
        <v>0</v>
      </c>
      <c r="AC312" s="555">
        <f t="shared" si="84"/>
        <v>0</v>
      </c>
      <c r="AD312" s="555">
        <f t="shared" si="84"/>
        <v>830520</v>
      </c>
      <c r="AE312" s="555">
        <f t="shared" si="84"/>
        <v>0</v>
      </c>
      <c r="AF312" s="555">
        <f t="shared" si="84"/>
        <v>20222</v>
      </c>
      <c r="AG312" s="555">
        <f t="shared" si="84"/>
        <v>921421</v>
      </c>
      <c r="AH312" s="555">
        <f t="shared" si="84"/>
        <v>0</v>
      </c>
      <c r="AI312" s="555">
        <f t="shared" si="84"/>
        <v>0</v>
      </c>
      <c r="AJ312" s="555">
        <f t="shared" si="84"/>
        <v>0</v>
      </c>
      <c r="AK312" s="555">
        <f t="shared" si="84"/>
        <v>0</v>
      </c>
      <c r="AL312" s="555">
        <f t="shared" si="84"/>
        <v>0</v>
      </c>
      <c r="AM312" s="555">
        <f t="shared" si="84"/>
        <v>0</v>
      </c>
      <c r="AN312" s="555">
        <f t="shared" si="84"/>
        <v>0</v>
      </c>
      <c r="AO312" s="555">
        <f t="shared" si="84"/>
        <v>0</v>
      </c>
      <c r="AP312" s="555">
        <f t="shared" si="84"/>
        <v>0</v>
      </c>
      <c r="AQ312" s="555">
        <f t="shared" si="84"/>
        <v>4687283</v>
      </c>
      <c r="AR312" s="555">
        <f t="shared" si="84"/>
        <v>0</v>
      </c>
      <c r="AS312" s="555">
        <f t="shared" si="84"/>
        <v>0</v>
      </c>
      <c r="AT312" s="555">
        <f t="shared" si="84"/>
        <v>3041242</v>
      </c>
      <c r="AU312" s="555">
        <f t="shared" si="84"/>
        <v>0</v>
      </c>
      <c r="AV312" s="555">
        <f t="shared" si="84"/>
        <v>0</v>
      </c>
      <c r="AW312" s="555">
        <f t="shared" si="84"/>
        <v>1147862</v>
      </c>
      <c r="AX312" s="555">
        <f t="shared" si="84"/>
        <v>0</v>
      </c>
      <c r="AY312" s="555">
        <f t="shared" si="84"/>
        <v>0</v>
      </c>
      <c r="AZ312" s="555">
        <f t="shared" si="84"/>
        <v>0</v>
      </c>
      <c r="BA312" s="555">
        <f t="shared" si="84"/>
        <v>0</v>
      </c>
      <c r="BB312" s="555">
        <f t="shared" si="84"/>
        <v>0</v>
      </c>
      <c r="BC312" s="555">
        <f t="shared" si="84"/>
        <v>0</v>
      </c>
      <c r="BD312" s="555">
        <f t="shared" si="84"/>
        <v>0</v>
      </c>
      <c r="BE312" s="555">
        <f t="shared" si="84"/>
        <v>1075878</v>
      </c>
      <c r="BF312" s="555">
        <f t="shared" si="84"/>
        <v>0</v>
      </c>
      <c r="BG312" s="555">
        <f t="shared" si="84"/>
        <v>0</v>
      </c>
      <c r="BH312" s="555">
        <f t="shared" si="84"/>
        <v>0</v>
      </c>
      <c r="BI312" s="555">
        <f t="shared" si="84"/>
        <v>0</v>
      </c>
      <c r="BJ312" s="555">
        <f t="shared" si="84"/>
        <v>0</v>
      </c>
      <c r="BK312" s="555">
        <f t="shared" si="84"/>
        <v>0</v>
      </c>
      <c r="BL312" s="555">
        <f t="shared" si="84"/>
        <v>0</v>
      </c>
      <c r="BM312" s="555">
        <f t="shared" si="84"/>
        <v>0</v>
      </c>
      <c r="BN312" s="555">
        <f t="shared" si="80"/>
        <v>2115796</v>
      </c>
      <c r="BO312" s="555">
        <f t="shared" si="80"/>
        <v>1214204</v>
      </c>
      <c r="BP312" s="555">
        <f t="shared" si="80"/>
        <v>12093791</v>
      </c>
      <c r="BQ312" s="555">
        <f t="shared" si="80"/>
        <v>0</v>
      </c>
      <c r="BR312" s="555">
        <f t="shared" si="80"/>
        <v>0</v>
      </c>
      <c r="BS312" s="555">
        <f t="shared" ref="BS312:CJ312" si="85">BS146</f>
        <v>0</v>
      </c>
      <c r="BT312" s="555">
        <f t="shared" si="85"/>
        <v>0</v>
      </c>
      <c r="BU312" s="555">
        <f t="shared" si="85"/>
        <v>0</v>
      </c>
      <c r="BV312" s="555">
        <f t="shared" si="85"/>
        <v>7302250</v>
      </c>
      <c r="BW312" s="555">
        <f t="shared" si="85"/>
        <v>999561</v>
      </c>
      <c r="BX312" s="555">
        <f t="shared" si="85"/>
        <v>1229201</v>
      </c>
      <c r="BY312" s="555">
        <f t="shared" si="85"/>
        <v>359210</v>
      </c>
      <c r="BZ312" s="555">
        <f t="shared" si="85"/>
        <v>0</v>
      </c>
      <c r="CA312" s="555">
        <f t="shared" si="85"/>
        <v>624882</v>
      </c>
      <c r="CB312" s="555">
        <f t="shared" si="85"/>
        <v>0</v>
      </c>
      <c r="CC312" s="555">
        <f t="shared" si="85"/>
        <v>0</v>
      </c>
      <c r="CD312" s="555">
        <f t="shared" si="85"/>
        <v>0</v>
      </c>
      <c r="CE312" s="555">
        <f t="shared" si="85"/>
        <v>0</v>
      </c>
      <c r="CF312" s="555">
        <f t="shared" si="85"/>
        <v>558461</v>
      </c>
      <c r="CG312" s="555">
        <f t="shared" si="85"/>
        <v>1237200</v>
      </c>
      <c r="CH312" s="555">
        <f t="shared" si="85"/>
        <v>0</v>
      </c>
      <c r="CI312" s="555">
        <f t="shared" si="85"/>
        <v>0</v>
      </c>
      <c r="CJ312" s="555">
        <f t="shared" si="85"/>
        <v>0</v>
      </c>
      <c r="CK312" s="557"/>
      <c r="CL312" s="557"/>
      <c r="CM312" s="557"/>
      <c r="CN312" s="557"/>
      <c r="CO312" s="557"/>
      <c r="CP312" s="557"/>
      <c r="CQ312" s="557"/>
      <c r="CR312" s="557"/>
      <c r="CS312" s="557"/>
      <c r="CT312" s="557"/>
      <c r="CU312" s="557"/>
      <c r="CV312" s="557"/>
      <c r="CW312" s="557"/>
      <c r="CX312" s="557"/>
      <c r="CY312" s="557"/>
      <c r="CZ312" s="557"/>
    </row>
    <row r="313" spans="1:104" hidden="1" x14ac:dyDescent="0.3">
      <c r="A313" s="555">
        <f t="shared" si="82"/>
        <v>557</v>
      </c>
      <c r="B313" s="555" t="str">
        <f t="shared" si="84"/>
        <v>Single Audit Only - Total amount of state awards and grants that were audited as major as found on SEFSA</v>
      </c>
      <c r="C313" s="555">
        <f t="shared" si="84"/>
        <v>0</v>
      </c>
      <c r="D313" s="555">
        <f t="shared" si="84"/>
        <v>0</v>
      </c>
      <c r="E313" s="555">
        <f t="shared" si="84"/>
        <v>0</v>
      </c>
      <c r="F313" s="555">
        <f t="shared" si="84"/>
        <v>0</v>
      </c>
      <c r="G313" s="555">
        <f t="shared" si="84"/>
        <v>0</v>
      </c>
      <c r="H313" s="555">
        <f t="shared" si="84"/>
        <v>0</v>
      </c>
      <c r="I313" s="555">
        <f t="shared" si="84"/>
        <v>4444786</v>
      </c>
      <c r="J313" s="555">
        <f t="shared" si="84"/>
        <v>0</v>
      </c>
      <c r="K313" s="555">
        <f t="shared" si="84"/>
        <v>1526845</v>
      </c>
      <c r="L313" s="555">
        <f t="shared" si="84"/>
        <v>0</v>
      </c>
      <c r="M313" s="555">
        <f t="shared" si="84"/>
        <v>0</v>
      </c>
      <c r="N313" s="555">
        <f t="shared" si="84"/>
        <v>934439</v>
      </c>
      <c r="O313" s="555">
        <f t="shared" si="84"/>
        <v>6116981</v>
      </c>
      <c r="P313" s="555">
        <f t="shared" si="84"/>
        <v>0</v>
      </c>
      <c r="Q313" s="555">
        <f t="shared" si="84"/>
        <v>0</v>
      </c>
      <c r="R313" s="555">
        <f t="shared" si="84"/>
        <v>646819</v>
      </c>
      <c r="S313" s="555">
        <f t="shared" si="84"/>
        <v>0</v>
      </c>
      <c r="T313" s="555">
        <f t="shared" si="84"/>
        <v>0</v>
      </c>
      <c r="U313" s="555">
        <f t="shared" si="84"/>
        <v>0</v>
      </c>
      <c r="V313" s="555">
        <f t="shared" si="84"/>
        <v>0</v>
      </c>
      <c r="W313" s="555">
        <f t="shared" si="84"/>
        <v>0</v>
      </c>
      <c r="X313" s="555">
        <f t="shared" si="84"/>
        <v>3631704</v>
      </c>
      <c r="Y313" s="555">
        <f t="shared" si="84"/>
        <v>63423995</v>
      </c>
      <c r="Z313" s="555">
        <f t="shared" si="84"/>
        <v>0</v>
      </c>
      <c r="AA313" s="555">
        <f t="shared" si="84"/>
        <v>0</v>
      </c>
      <c r="AB313" s="555">
        <f t="shared" si="84"/>
        <v>0</v>
      </c>
      <c r="AC313" s="555">
        <f t="shared" si="84"/>
        <v>0</v>
      </c>
      <c r="AD313" s="555">
        <f t="shared" si="84"/>
        <v>375000</v>
      </c>
      <c r="AE313" s="555">
        <f t="shared" si="84"/>
        <v>0</v>
      </c>
      <c r="AF313" s="555">
        <f t="shared" si="84"/>
        <v>0</v>
      </c>
      <c r="AG313" s="555">
        <f t="shared" si="84"/>
        <v>921421</v>
      </c>
      <c r="AH313" s="555">
        <f t="shared" si="84"/>
        <v>0</v>
      </c>
      <c r="AI313" s="555">
        <f t="shared" si="84"/>
        <v>0</v>
      </c>
      <c r="AJ313" s="555">
        <f t="shared" si="84"/>
        <v>0</v>
      </c>
      <c r="AK313" s="555">
        <f t="shared" si="84"/>
        <v>0</v>
      </c>
      <c r="AL313" s="555">
        <f t="shared" si="84"/>
        <v>0</v>
      </c>
      <c r="AM313" s="555">
        <f t="shared" si="84"/>
        <v>0</v>
      </c>
      <c r="AN313" s="555">
        <f t="shared" si="84"/>
        <v>0</v>
      </c>
      <c r="AO313" s="555">
        <f t="shared" si="84"/>
        <v>0</v>
      </c>
      <c r="AP313" s="555">
        <f t="shared" si="84"/>
        <v>0</v>
      </c>
      <c r="AQ313" s="555">
        <f t="shared" si="84"/>
        <v>1970639</v>
      </c>
      <c r="AR313" s="555">
        <f t="shared" si="84"/>
        <v>0</v>
      </c>
      <c r="AS313" s="555">
        <f t="shared" si="84"/>
        <v>0</v>
      </c>
      <c r="AT313" s="555">
        <f t="shared" si="84"/>
        <v>1807765</v>
      </c>
      <c r="AU313" s="555">
        <f t="shared" si="84"/>
        <v>0</v>
      </c>
      <c r="AV313" s="555">
        <f t="shared" si="84"/>
        <v>0</v>
      </c>
      <c r="AW313" s="555">
        <f t="shared" si="84"/>
        <v>1147862</v>
      </c>
      <c r="AX313" s="555">
        <f t="shared" si="84"/>
        <v>0</v>
      </c>
      <c r="AY313" s="555">
        <f t="shared" si="84"/>
        <v>0</v>
      </c>
      <c r="AZ313" s="555">
        <f t="shared" si="84"/>
        <v>0</v>
      </c>
      <c r="BA313" s="555">
        <f t="shared" si="84"/>
        <v>0</v>
      </c>
      <c r="BB313" s="555">
        <f t="shared" si="84"/>
        <v>0</v>
      </c>
      <c r="BC313" s="555">
        <f t="shared" si="84"/>
        <v>0</v>
      </c>
      <c r="BD313" s="555">
        <f t="shared" si="84"/>
        <v>0</v>
      </c>
      <c r="BE313" s="555">
        <f t="shared" si="84"/>
        <v>1075878</v>
      </c>
      <c r="BF313" s="555">
        <f t="shared" si="84"/>
        <v>0</v>
      </c>
      <c r="BG313" s="555">
        <f t="shared" si="84"/>
        <v>0</v>
      </c>
      <c r="BH313" s="555">
        <f t="shared" si="84"/>
        <v>0</v>
      </c>
      <c r="BI313" s="555">
        <f t="shared" si="84"/>
        <v>0</v>
      </c>
      <c r="BJ313" s="555">
        <f t="shared" si="84"/>
        <v>0</v>
      </c>
      <c r="BK313" s="555">
        <f t="shared" si="84"/>
        <v>0</v>
      </c>
      <c r="BL313" s="555">
        <f t="shared" si="84"/>
        <v>0</v>
      </c>
      <c r="BM313" s="555">
        <f t="shared" si="84"/>
        <v>0</v>
      </c>
      <c r="BN313" s="555">
        <f t="shared" si="80"/>
        <v>2057299</v>
      </c>
      <c r="BO313" s="555">
        <f t="shared" si="80"/>
        <v>827404</v>
      </c>
      <c r="BP313" s="555">
        <f t="shared" si="80"/>
        <v>7549750</v>
      </c>
      <c r="BQ313" s="555">
        <f t="shared" si="80"/>
        <v>0</v>
      </c>
      <c r="BR313" s="555">
        <f t="shared" si="80"/>
        <v>0</v>
      </c>
      <c r="BS313" s="555">
        <f t="shared" ref="BS313:CJ313" si="86">BS147</f>
        <v>0</v>
      </c>
      <c r="BT313" s="555">
        <f t="shared" si="86"/>
        <v>0</v>
      </c>
      <c r="BU313" s="555">
        <f t="shared" si="86"/>
        <v>0</v>
      </c>
      <c r="BV313" s="555">
        <f t="shared" si="86"/>
        <v>5258399</v>
      </c>
      <c r="BW313" s="555">
        <f t="shared" si="86"/>
        <v>441909</v>
      </c>
      <c r="BX313" s="555">
        <f t="shared" si="86"/>
        <v>516185</v>
      </c>
      <c r="BY313" s="555">
        <f t="shared" si="86"/>
        <v>0</v>
      </c>
      <c r="BZ313" s="555">
        <f t="shared" si="86"/>
        <v>0</v>
      </c>
      <c r="CA313" s="555">
        <f t="shared" si="86"/>
        <v>340268</v>
      </c>
      <c r="CB313" s="555">
        <f t="shared" si="86"/>
        <v>0</v>
      </c>
      <c r="CC313" s="555">
        <f t="shared" si="86"/>
        <v>0</v>
      </c>
      <c r="CD313" s="555">
        <f t="shared" si="86"/>
        <v>0</v>
      </c>
      <c r="CE313" s="555">
        <f t="shared" si="86"/>
        <v>0</v>
      </c>
      <c r="CF313" s="555">
        <f t="shared" si="86"/>
        <v>256643</v>
      </c>
      <c r="CG313" s="555">
        <f t="shared" si="86"/>
        <v>1030914</v>
      </c>
      <c r="CH313" s="555">
        <f t="shared" si="86"/>
        <v>0</v>
      </c>
      <c r="CI313" s="555">
        <f t="shared" si="86"/>
        <v>0</v>
      </c>
      <c r="CJ313" s="555">
        <f t="shared" si="86"/>
        <v>0</v>
      </c>
      <c r="CK313" s="561"/>
      <c r="CL313" s="561"/>
      <c r="CM313" s="561"/>
      <c r="CN313" s="561"/>
      <c r="CO313" s="561"/>
      <c r="CP313" s="561"/>
      <c r="CQ313" s="561"/>
      <c r="CR313" s="561"/>
      <c r="CS313" s="561"/>
      <c r="CT313" s="561"/>
      <c r="CU313" s="561"/>
      <c r="CV313" s="561"/>
      <c r="CW313" s="561"/>
      <c r="CX313" s="561"/>
      <c r="CY313" s="561"/>
      <c r="CZ313" s="561"/>
    </row>
    <row r="314" spans="1:104" hidden="1" x14ac:dyDescent="0.3">
      <c r="A314" s="555">
        <f>A164</f>
        <v>606</v>
      </c>
      <c r="B314" s="555" t="str">
        <f t="shared" ref="B314:BM314" si="87">B164</f>
        <v>Compliance opinion - enter "1" for clean Opinion or "2" for other than clean opinion</v>
      </c>
      <c r="C314" s="555">
        <f t="shared" si="87"/>
        <v>0</v>
      </c>
      <c r="D314" s="555">
        <f t="shared" si="87"/>
        <v>0</v>
      </c>
      <c r="E314" s="555">
        <f t="shared" si="87"/>
        <v>0</v>
      </c>
      <c r="F314" s="555">
        <f t="shared" si="87"/>
        <v>0</v>
      </c>
      <c r="G314" s="555">
        <f t="shared" si="87"/>
        <v>0</v>
      </c>
      <c r="H314" s="555">
        <f t="shared" si="87"/>
        <v>0</v>
      </c>
      <c r="I314" s="555">
        <f t="shared" si="87"/>
        <v>1</v>
      </c>
      <c r="J314" s="555">
        <f t="shared" si="87"/>
        <v>0</v>
      </c>
      <c r="K314" s="555">
        <f t="shared" si="87"/>
        <v>1</v>
      </c>
      <c r="L314" s="555">
        <f t="shared" si="87"/>
        <v>0</v>
      </c>
      <c r="M314" s="555">
        <f t="shared" si="87"/>
        <v>0</v>
      </c>
      <c r="N314" s="555">
        <f t="shared" si="87"/>
        <v>1</v>
      </c>
      <c r="O314" s="555">
        <f t="shared" si="87"/>
        <v>1</v>
      </c>
      <c r="P314" s="555">
        <f t="shared" si="87"/>
        <v>0</v>
      </c>
      <c r="Q314" s="555">
        <f t="shared" si="87"/>
        <v>0</v>
      </c>
      <c r="R314" s="555">
        <f t="shared" si="87"/>
        <v>1</v>
      </c>
      <c r="S314" s="555">
        <f t="shared" si="87"/>
        <v>0</v>
      </c>
      <c r="T314" s="555">
        <f t="shared" si="87"/>
        <v>0</v>
      </c>
      <c r="U314" s="555">
        <f t="shared" si="87"/>
        <v>0</v>
      </c>
      <c r="V314" s="555">
        <f t="shared" si="87"/>
        <v>0</v>
      </c>
      <c r="W314" s="555">
        <f t="shared" si="87"/>
        <v>0</v>
      </c>
      <c r="X314" s="555">
        <f t="shared" si="87"/>
        <v>1</v>
      </c>
      <c r="Y314" s="555">
        <f t="shared" si="87"/>
        <v>1</v>
      </c>
      <c r="Z314" s="555">
        <f t="shared" si="87"/>
        <v>1</v>
      </c>
      <c r="AA314" s="555">
        <f t="shared" si="87"/>
        <v>0</v>
      </c>
      <c r="AB314" s="555">
        <f t="shared" si="87"/>
        <v>0</v>
      </c>
      <c r="AC314" s="555">
        <f t="shared" si="87"/>
        <v>0</v>
      </c>
      <c r="AD314" s="555">
        <f t="shared" si="87"/>
        <v>1</v>
      </c>
      <c r="AE314" s="555">
        <f t="shared" si="87"/>
        <v>0</v>
      </c>
      <c r="AF314" s="555">
        <f t="shared" si="87"/>
        <v>1</v>
      </c>
      <c r="AG314" s="555">
        <f t="shared" si="87"/>
        <v>1</v>
      </c>
      <c r="AH314" s="555">
        <f t="shared" si="87"/>
        <v>0</v>
      </c>
      <c r="AI314" s="555">
        <f t="shared" si="87"/>
        <v>0</v>
      </c>
      <c r="AJ314" s="555">
        <f t="shared" si="87"/>
        <v>0</v>
      </c>
      <c r="AK314" s="555">
        <f t="shared" si="87"/>
        <v>0</v>
      </c>
      <c r="AL314" s="555">
        <f t="shared" si="87"/>
        <v>0</v>
      </c>
      <c r="AM314" s="555">
        <f t="shared" si="87"/>
        <v>0</v>
      </c>
      <c r="AN314" s="555">
        <f t="shared" si="87"/>
        <v>0</v>
      </c>
      <c r="AO314" s="555">
        <f t="shared" si="87"/>
        <v>0</v>
      </c>
      <c r="AP314" s="555">
        <f t="shared" si="87"/>
        <v>0</v>
      </c>
      <c r="AQ314" s="555">
        <f t="shared" si="87"/>
        <v>1</v>
      </c>
      <c r="AR314" s="555">
        <f t="shared" si="87"/>
        <v>0</v>
      </c>
      <c r="AS314" s="555">
        <f t="shared" si="87"/>
        <v>0</v>
      </c>
      <c r="AT314" s="555">
        <f t="shared" si="87"/>
        <v>1</v>
      </c>
      <c r="AU314" s="555">
        <f t="shared" si="87"/>
        <v>0</v>
      </c>
      <c r="AV314" s="555">
        <f t="shared" si="87"/>
        <v>0</v>
      </c>
      <c r="AW314" s="555">
        <f t="shared" si="87"/>
        <v>1</v>
      </c>
      <c r="AX314" s="555">
        <f t="shared" si="87"/>
        <v>0</v>
      </c>
      <c r="AY314" s="555">
        <f t="shared" si="87"/>
        <v>0</v>
      </c>
      <c r="AZ314" s="555">
        <f t="shared" si="87"/>
        <v>0</v>
      </c>
      <c r="BA314" s="555">
        <f t="shared" si="87"/>
        <v>0</v>
      </c>
      <c r="BB314" s="555">
        <f t="shared" si="87"/>
        <v>0</v>
      </c>
      <c r="BC314" s="555">
        <f t="shared" si="87"/>
        <v>0</v>
      </c>
      <c r="BD314" s="555">
        <f t="shared" si="87"/>
        <v>0</v>
      </c>
      <c r="BE314" s="555">
        <f t="shared" si="87"/>
        <v>1</v>
      </c>
      <c r="BF314" s="555">
        <f t="shared" si="87"/>
        <v>0</v>
      </c>
      <c r="BG314" s="555">
        <f t="shared" si="87"/>
        <v>0</v>
      </c>
      <c r="BH314" s="555">
        <f t="shared" si="87"/>
        <v>0</v>
      </c>
      <c r="BI314" s="555">
        <f t="shared" si="87"/>
        <v>0</v>
      </c>
      <c r="BJ314" s="555">
        <f t="shared" si="87"/>
        <v>0</v>
      </c>
      <c r="BK314" s="555">
        <f t="shared" si="87"/>
        <v>0</v>
      </c>
      <c r="BL314" s="555">
        <f t="shared" si="87"/>
        <v>0</v>
      </c>
      <c r="BM314" s="555">
        <f t="shared" si="87"/>
        <v>0</v>
      </c>
      <c r="BN314" s="555">
        <f t="shared" ref="BN314:BR314" si="88">BN164</f>
        <v>1</v>
      </c>
      <c r="BO314" s="555">
        <f t="shared" si="88"/>
        <v>1</v>
      </c>
      <c r="BP314" s="555">
        <f t="shared" si="88"/>
        <v>1</v>
      </c>
      <c r="BQ314" s="555">
        <f t="shared" si="88"/>
        <v>0</v>
      </c>
      <c r="BR314" s="555">
        <f t="shared" si="88"/>
        <v>0</v>
      </c>
      <c r="BS314" s="555">
        <f t="shared" ref="BS314:CJ314" si="89">BS164</f>
        <v>0</v>
      </c>
      <c r="BT314" s="555">
        <f t="shared" si="89"/>
        <v>0</v>
      </c>
      <c r="BU314" s="555">
        <f t="shared" si="89"/>
        <v>0</v>
      </c>
      <c r="BV314" s="555">
        <f t="shared" si="89"/>
        <v>1</v>
      </c>
      <c r="BW314" s="555">
        <f t="shared" si="89"/>
        <v>1</v>
      </c>
      <c r="BX314" s="555">
        <f t="shared" si="89"/>
        <v>1</v>
      </c>
      <c r="BY314" s="555">
        <f t="shared" si="89"/>
        <v>1</v>
      </c>
      <c r="BZ314" s="555">
        <f t="shared" si="89"/>
        <v>0</v>
      </c>
      <c r="CA314" s="555">
        <f t="shared" si="89"/>
        <v>1</v>
      </c>
      <c r="CB314" s="555">
        <f t="shared" si="89"/>
        <v>0</v>
      </c>
      <c r="CC314" s="555">
        <f t="shared" si="89"/>
        <v>0</v>
      </c>
      <c r="CD314" s="555">
        <f t="shared" si="89"/>
        <v>0</v>
      </c>
      <c r="CE314" s="555">
        <f t="shared" si="89"/>
        <v>0</v>
      </c>
      <c r="CF314" s="555">
        <f t="shared" si="89"/>
        <v>1</v>
      </c>
      <c r="CG314" s="555">
        <f t="shared" si="89"/>
        <v>1</v>
      </c>
      <c r="CH314" s="555">
        <f t="shared" si="89"/>
        <v>0</v>
      </c>
      <c r="CI314" s="555">
        <f t="shared" si="89"/>
        <v>0</v>
      </c>
      <c r="CJ314" s="555">
        <f t="shared" si="89"/>
        <v>0</v>
      </c>
      <c r="CK314" s="561"/>
      <c r="CL314" s="561"/>
      <c r="CM314" s="561"/>
      <c r="CN314" s="561"/>
      <c r="CO314" s="561"/>
      <c r="CP314" s="561"/>
      <c r="CQ314" s="561"/>
      <c r="CR314" s="561"/>
      <c r="CS314" s="561"/>
      <c r="CT314" s="561"/>
      <c r="CU314" s="561"/>
      <c r="CV314" s="561"/>
      <c r="CW314" s="561"/>
      <c r="CX314" s="561"/>
      <c r="CY314" s="561"/>
      <c r="CZ314" s="561"/>
    </row>
    <row r="315" spans="1:104" s="180" customFormat="1" hidden="1" x14ac:dyDescent="0.3">
      <c r="A315" s="556">
        <f>A58</f>
        <v>336</v>
      </c>
      <c r="B315" s="556" t="str">
        <f t="shared" ref="B315:BM315" si="90">B58</f>
        <v>Gov - Select Current Liabilities</v>
      </c>
      <c r="C315" s="556">
        <f t="shared" si="90"/>
        <v>0</v>
      </c>
      <c r="D315" s="556">
        <f t="shared" si="90"/>
        <v>15389</v>
      </c>
      <c r="E315" s="556">
        <f t="shared" si="90"/>
        <v>176690</v>
      </c>
      <c r="F315" s="556">
        <f t="shared" si="90"/>
        <v>10056</v>
      </c>
      <c r="G315" s="556">
        <f t="shared" si="90"/>
        <v>51883</v>
      </c>
      <c r="H315" s="556">
        <f t="shared" si="90"/>
        <v>0</v>
      </c>
      <c r="I315" s="556">
        <f t="shared" si="90"/>
        <v>5364542</v>
      </c>
      <c r="J315" s="556">
        <f t="shared" si="90"/>
        <v>117269</v>
      </c>
      <c r="K315" s="556">
        <f t="shared" si="90"/>
        <v>2984569</v>
      </c>
      <c r="L315" s="556">
        <f t="shared" si="90"/>
        <v>0</v>
      </c>
      <c r="M315" s="556">
        <f t="shared" si="90"/>
        <v>17192155</v>
      </c>
      <c r="N315" s="556">
        <f t="shared" si="90"/>
        <v>858721</v>
      </c>
      <c r="O315" s="556">
        <f t="shared" si="90"/>
        <v>74765827</v>
      </c>
      <c r="P315" s="556">
        <f t="shared" si="90"/>
        <v>31539</v>
      </c>
      <c r="Q315" s="556">
        <f t="shared" si="90"/>
        <v>4658</v>
      </c>
      <c r="R315" s="556">
        <f t="shared" si="90"/>
        <v>1256176</v>
      </c>
      <c r="S315" s="556">
        <f t="shared" si="90"/>
        <v>380305</v>
      </c>
      <c r="T315" s="556">
        <f t="shared" si="90"/>
        <v>310518</v>
      </c>
      <c r="U315" s="556">
        <f t="shared" si="90"/>
        <v>12107</v>
      </c>
      <c r="V315" s="556">
        <f t="shared" si="90"/>
        <v>63484</v>
      </c>
      <c r="W315" s="556">
        <f t="shared" si="90"/>
        <v>53716</v>
      </c>
      <c r="X315" s="556">
        <f t="shared" si="90"/>
        <v>21492491</v>
      </c>
      <c r="Y315" s="556">
        <f t="shared" si="90"/>
        <v>366340000</v>
      </c>
      <c r="Z315" s="556">
        <f t="shared" si="90"/>
        <v>316568</v>
      </c>
      <c r="AA315" s="556">
        <f t="shared" si="90"/>
        <v>255580</v>
      </c>
      <c r="AB315" s="556">
        <f t="shared" si="90"/>
        <v>571157</v>
      </c>
      <c r="AC315" s="556">
        <f t="shared" si="90"/>
        <v>0</v>
      </c>
      <c r="AD315" s="556">
        <f t="shared" si="90"/>
        <v>774859</v>
      </c>
      <c r="AE315" s="556">
        <f t="shared" si="90"/>
        <v>92172</v>
      </c>
      <c r="AF315" s="556">
        <f t="shared" si="90"/>
        <v>2885068</v>
      </c>
      <c r="AG315" s="556">
        <f t="shared" si="90"/>
        <v>2689937</v>
      </c>
      <c r="AH315" s="556">
        <f t="shared" si="90"/>
        <v>15102</v>
      </c>
      <c r="AI315" s="556">
        <f t="shared" si="90"/>
        <v>744209</v>
      </c>
      <c r="AJ315" s="556">
        <f t="shared" si="90"/>
        <v>37171</v>
      </c>
      <c r="AK315" s="556">
        <f t="shared" si="90"/>
        <v>8671</v>
      </c>
      <c r="AL315" s="556">
        <f t="shared" si="90"/>
        <v>15155</v>
      </c>
      <c r="AM315" s="556">
        <f t="shared" si="90"/>
        <v>0</v>
      </c>
      <c r="AN315" s="556">
        <f t="shared" si="90"/>
        <v>19340</v>
      </c>
      <c r="AO315" s="556">
        <f t="shared" si="90"/>
        <v>0</v>
      </c>
      <c r="AP315" s="556">
        <f t="shared" si="90"/>
        <v>1257</v>
      </c>
      <c r="AQ315" s="556">
        <f t="shared" si="90"/>
        <v>24003904</v>
      </c>
      <c r="AR315" s="556">
        <f t="shared" si="90"/>
        <v>0</v>
      </c>
      <c r="AS315" s="556">
        <f t="shared" si="90"/>
        <v>410843</v>
      </c>
      <c r="AT315" s="556">
        <f t="shared" si="90"/>
        <v>1270014</v>
      </c>
      <c r="AU315" s="556">
        <f t="shared" si="90"/>
        <v>99473</v>
      </c>
      <c r="AV315" s="556">
        <f t="shared" si="90"/>
        <v>2258</v>
      </c>
      <c r="AW315" s="556">
        <f t="shared" si="90"/>
        <v>10646693</v>
      </c>
      <c r="AX315" s="556">
        <f t="shared" si="90"/>
        <v>10479</v>
      </c>
      <c r="AY315" s="556">
        <f t="shared" si="90"/>
        <v>728470</v>
      </c>
      <c r="AZ315" s="556">
        <f t="shared" si="90"/>
        <v>307394</v>
      </c>
      <c r="BA315" s="556">
        <f t="shared" si="90"/>
        <v>1362</v>
      </c>
      <c r="BB315" s="556">
        <f t="shared" si="90"/>
        <v>3188</v>
      </c>
      <c r="BC315" s="556">
        <f t="shared" si="90"/>
        <v>1441094</v>
      </c>
      <c r="BD315" s="556">
        <f t="shared" si="90"/>
        <v>59203</v>
      </c>
      <c r="BE315" s="556">
        <f t="shared" si="90"/>
        <v>3922745</v>
      </c>
      <c r="BF315" s="556">
        <f t="shared" si="90"/>
        <v>153449</v>
      </c>
      <c r="BG315" s="556">
        <f t="shared" si="90"/>
        <v>7895</v>
      </c>
      <c r="BH315" s="556">
        <f t="shared" si="90"/>
        <v>23420</v>
      </c>
      <c r="BI315" s="556">
        <f t="shared" si="90"/>
        <v>128982</v>
      </c>
      <c r="BJ315" s="556">
        <f t="shared" si="90"/>
        <v>4242</v>
      </c>
      <c r="BK315" s="556">
        <f t="shared" si="90"/>
        <v>0</v>
      </c>
      <c r="BL315" s="556">
        <f t="shared" si="90"/>
        <v>2726316</v>
      </c>
      <c r="BM315" s="556">
        <f t="shared" si="90"/>
        <v>137893</v>
      </c>
      <c r="BN315" s="556">
        <f t="shared" ref="BN315:BR315" si="91">BN58</f>
        <v>3363752</v>
      </c>
      <c r="BO315" s="556">
        <f t="shared" si="91"/>
        <v>3419096</v>
      </c>
      <c r="BP315" s="556">
        <f t="shared" si="91"/>
        <v>193143406</v>
      </c>
      <c r="BQ315" s="556">
        <f t="shared" si="91"/>
        <v>34878</v>
      </c>
      <c r="BR315" s="556">
        <f t="shared" si="91"/>
        <v>0</v>
      </c>
      <c r="BS315" s="556">
        <f t="shared" ref="BS315:CJ315" si="92">BS58</f>
        <v>127056</v>
      </c>
      <c r="BT315" s="556">
        <f t="shared" si="92"/>
        <v>0</v>
      </c>
      <c r="BU315" s="556">
        <f t="shared" si="92"/>
        <v>95440</v>
      </c>
      <c r="BV315" s="556">
        <f t="shared" si="92"/>
        <v>4175618</v>
      </c>
      <c r="BW315" s="556">
        <f t="shared" si="92"/>
        <v>918990</v>
      </c>
      <c r="BX315" s="556">
        <f t="shared" si="92"/>
        <v>7226286</v>
      </c>
      <c r="BY315" s="556">
        <f t="shared" si="92"/>
        <v>575897</v>
      </c>
      <c r="BZ315" s="556">
        <f t="shared" si="92"/>
        <v>22814</v>
      </c>
      <c r="CA315" s="556">
        <f t="shared" si="92"/>
        <v>182667</v>
      </c>
      <c r="CB315" s="556">
        <f t="shared" si="92"/>
        <v>266873</v>
      </c>
      <c r="CC315" s="556">
        <f t="shared" si="92"/>
        <v>174452</v>
      </c>
      <c r="CD315" s="556">
        <f t="shared" si="92"/>
        <v>0</v>
      </c>
      <c r="CE315" s="556">
        <f t="shared" si="92"/>
        <v>4169269</v>
      </c>
      <c r="CF315" s="556">
        <f t="shared" si="92"/>
        <v>1130716</v>
      </c>
      <c r="CG315" s="556">
        <f t="shared" si="92"/>
        <v>36305</v>
      </c>
      <c r="CH315" s="556">
        <f t="shared" si="92"/>
        <v>1058540</v>
      </c>
      <c r="CI315" s="556">
        <f t="shared" si="92"/>
        <v>0</v>
      </c>
      <c r="CJ315" s="556">
        <f t="shared" si="92"/>
        <v>0</v>
      </c>
      <c r="CK315" s="565"/>
      <c r="CL315" s="565"/>
      <c r="CM315" s="565"/>
      <c r="CN315" s="565"/>
      <c r="CO315" s="565"/>
      <c r="CP315" s="565"/>
      <c r="CQ315" s="565"/>
      <c r="CR315" s="565"/>
      <c r="CS315" s="565"/>
      <c r="CT315" s="565"/>
      <c r="CU315" s="565"/>
      <c r="CV315" s="565"/>
      <c r="CW315" s="565"/>
      <c r="CX315" s="565"/>
      <c r="CY315" s="565"/>
      <c r="CZ315" s="565"/>
    </row>
    <row r="316" spans="1:104" s="180" customFormat="1" hidden="1" x14ac:dyDescent="0.3">
      <c r="A316" s="556">
        <f>A14</f>
        <v>44</v>
      </c>
      <c r="B316" s="556" t="str">
        <f t="shared" ref="B316:BM317" si="93">B14</f>
        <v>WS - Total Current Assets</v>
      </c>
      <c r="C316" s="556">
        <f t="shared" si="93"/>
        <v>0</v>
      </c>
      <c r="D316" s="556">
        <f t="shared" si="93"/>
        <v>793836</v>
      </c>
      <c r="E316" s="556">
        <f t="shared" si="93"/>
        <v>0</v>
      </c>
      <c r="F316" s="556">
        <f t="shared" si="93"/>
        <v>1309461</v>
      </c>
      <c r="G316" s="556">
        <f t="shared" si="93"/>
        <v>190370</v>
      </c>
      <c r="H316" s="556">
        <f t="shared" si="93"/>
        <v>0</v>
      </c>
      <c r="I316" s="556">
        <f t="shared" si="93"/>
        <v>5678178</v>
      </c>
      <c r="J316" s="556">
        <f t="shared" si="93"/>
        <v>0</v>
      </c>
      <c r="K316" s="556">
        <f t="shared" si="93"/>
        <v>6726831</v>
      </c>
      <c r="L316" s="556">
        <f t="shared" si="93"/>
        <v>0</v>
      </c>
      <c r="M316" s="556">
        <f t="shared" si="93"/>
        <v>0</v>
      </c>
      <c r="N316" s="556">
        <f t="shared" si="93"/>
        <v>2563009</v>
      </c>
      <c r="O316" s="556">
        <f t="shared" si="93"/>
        <v>274435241</v>
      </c>
      <c r="P316" s="556">
        <f t="shared" si="93"/>
        <v>0</v>
      </c>
      <c r="Q316" s="556">
        <f t="shared" si="93"/>
        <v>0</v>
      </c>
      <c r="R316" s="556">
        <f t="shared" si="93"/>
        <v>0</v>
      </c>
      <c r="S316" s="556">
        <f t="shared" si="93"/>
        <v>0</v>
      </c>
      <c r="T316" s="556">
        <f t="shared" si="93"/>
        <v>0</v>
      </c>
      <c r="U316" s="556">
        <f t="shared" si="93"/>
        <v>0</v>
      </c>
      <c r="V316" s="556">
        <f t="shared" si="93"/>
        <v>191935</v>
      </c>
      <c r="W316" s="556">
        <f t="shared" si="93"/>
        <v>2286736</v>
      </c>
      <c r="X316" s="556">
        <f t="shared" si="93"/>
        <v>0</v>
      </c>
      <c r="Y316" s="556">
        <f t="shared" si="93"/>
        <v>418740000</v>
      </c>
      <c r="Z316" s="556">
        <f t="shared" si="93"/>
        <v>1376459</v>
      </c>
      <c r="AA316" s="556">
        <f t="shared" si="93"/>
        <v>294401</v>
      </c>
      <c r="AB316" s="556">
        <f t="shared" si="93"/>
        <v>0</v>
      </c>
      <c r="AC316" s="556">
        <f t="shared" si="93"/>
        <v>0</v>
      </c>
      <c r="AD316" s="556">
        <f t="shared" si="93"/>
        <v>4824918</v>
      </c>
      <c r="AE316" s="556">
        <f t="shared" si="93"/>
        <v>954193</v>
      </c>
      <c r="AF316" s="556">
        <f t="shared" si="93"/>
        <v>39019854</v>
      </c>
      <c r="AG316" s="556">
        <f t="shared" si="93"/>
        <v>0</v>
      </c>
      <c r="AH316" s="556">
        <f t="shared" si="93"/>
        <v>2524102</v>
      </c>
      <c r="AI316" s="556">
        <f t="shared" si="93"/>
        <v>7124658</v>
      </c>
      <c r="AJ316" s="556">
        <f t="shared" si="93"/>
        <v>1395882</v>
      </c>
      <c r="AK316" s="556">
        <f t="shared" si="93"/>
        <v>1554758</v>
      </c>
      <c r="AL316" s="556">
        <f t="shared" si="93"/>
        <v>588667</v>
      </c>
      <c r="AM316" s="556">
        <f t="shared" si="93"/>
        <v>0</v>
      </c>
      <c r="AN316" s="556">
        <f t="shared" si="93"/>
        <v>3094511</v>
      </c>
      <c r="AO316" s="556">
        <f t="shared" si="93"/>
        <v>0</v>
      </c>
      <c r="AP316" s="556">
        <f t="shared" si="93"/>
        <v>0</v>
      </c>
      <c r="AQ316" s="556">
        <f t="shared" si="93"/>
        <v>106956937</v>
      </c>
      <c r="AR316" s="556">
        <f t="shared" si="93"/>
        <v>0</v>
      </c>
      <c r="AS316" s="556">
        <f t="shared" si="93"/>
        <v>70273</v>
      </c>
      <c r="AT316" s="556">
        <f t="shared" si="93"/>
        <v>12141384</v>
      </c>
      <c r="AU316" s="556">
        <f t="shared" si="93"/>
        <v>1334619</v>
      </c>
      <c r="AV316" s="556">
        <f t="shared" si="93"/>
        <v>0</v>
      </c>
      <c r="AW316" s="556">
        <f t="shared" si="93"/>
        <v>0</v>
      </c>
      <c r="AX316" s="556">
        <f t="shared" si="93"/>
        <v>115406</v>
      </c>
      <c r="AY316" s="556">
        <f t="shared" si="93"/>
        <v>0</v>
      </c>
      <c r="AZ316" s="556">
        <f t="shared" si="93"/>
        <v>0</v>
      </c>
      <c r="BA316" s="556">
        <f t="shared" si="93"/>
        <v>420027</v>
      </c>
      <c r="BB316" s="556">
        <f t="shared" si="93"/>
        <v>72236</v>
      </c>
      <c r="BC316" s="556">
        <f t="shared" si="93"/>
        <v>3668579</v>
      </c>
      <c r="BD316" s="556">
        <f t="shared" si="93"/>
        <v>0</v>
      </c>
      <c r="BE316" s="556">
        <f t="shared" si="93"/>
        <v>0</v>
      </c>
      <c r="BF316" s="556">
        <f t="shared" si="93"/>
        <v>1349696</v>
      </c>
      <c r="BG316" s="556">
        <f t="shared" si="93"/>
        <v>0</v>
      </c>
      <c r="BH316" s="556">
        <f t="shared" si="93"/>
        <v>0</v>
      </c>
      <c r="BI316" s="556">
        <f t="shared" si="93"/>
        <v>1538415</v>
      </c>
      <c r="BJ316" s="556">
        <f t="shared" si="93"/>
        <v>0</v>
      </c>
      <c r="BK316" s="556">
        <f t="shared" si="93"/>
        <v>0</v>
      </c>
      <c r="BL316" s="556">
        <f t="shared" si="93"/>
        <v>780310</v>
      </c>
      <c r="BM316" s="556">
        <f t="shared" si="93"/>
        <v>493681</v>
      </c>
      <c r="BN316" s="556">
        <f t="shared" ref="BN316:BR319" si="94">BN14</f>
        <v>0</v>
      </c>
      <c r="BO316" s="556">
        <f t="shared" si="94"/>
        <v>5867605</v>
      </c>
      <c r="BP316" s="556">
        <f t="shared" si="94"/>
        <v>116007208</v>
      </c>
      <c r="BQ316" s="556">
        <f t="shared" si="94"/>
        <v>0</v>
      </c>
      <c r="BR316" s="556">
        <f t="shared" si="94"/>
        <v>0</v>
      </c>
      <c r="BS316" s="556">
        <f t="shared" ref="BS316:CJ316" si="95">BS14</f>
        <v>599772</v>
      </c>
      <c r="BT316" s="556">
        <f t="shared" si="95"/>
        <v>0</v>
      </c>
      <c r="BU316" s="556">
        <f t="shared" si="95"/>
        <v>0</v>
      </c>
      <c r="BV316" s="556">
        <f t="shared" si="95"/>
        <v>7213320</v>
      </c>
      <c r="BW316" s="556">
        <f t="shared" si="95"/>
        <v>1163322</v>
      </c>
      <c r="BX316" s="556">
        <f t="shared" si="95"/>
        <v>11793546</v>
      </c>
      <c r="BY316" s="556">
        <f t="shared" si="95"/>
        <v>3372543</v>
      </c>
      <c r="BZ316" s="556">
        <f t="shared" si="95"/>
        <v>245340</v>
      </c>
      <c r="CA316" s="556">
        <f t="shared" si="95"/>
        <v>3697621</v>
      </c>
      <c r="CB316" s="556">
        <f t="shared" si="95"/>
        <v>1236206</v>
      </c>
      <c r="CC316" s="556">
        <f t="shared" si="95"/>
        <v>228412</v>
      </c>
      <c r="CD316" s="556">
        <f t="shared" si="95"/>
        <v>0</v>
      </c>
      <c r="CE316" s="556">
        <f t="shared" si="95"/>
        <v>6891164</v>
      </c>
      <c r="CF316" s="556">
        <f t="shared" si="95"/>
        <v>0</v>
      </c>
      <c r="CG316" s="556">
        <f t="shared" si="95"/>
        <v>1165820</v>
      </c>
      <c r="CH316" s="556">
        <f t="shared" si="95"/>
        <v>0</v>
      </c>
      <c r="CI316" s="556">
        <f t="shared" si="95"/>
        <v>0</v>
      </c>
      <c r="CJ316" s="556">
        <f t="shared" si="95"/>
        <v>0</v>
      </c>
      <c r="CK316" s="565"/>
      <c r="CL316" s="565"/>
      <c r="CM316" s="565"/>
      <c r="CN316" s="565"/>
      <c r="CO316" s="565"/>
      <c r="CP316" s="565"/>
      <c r="CQ316" s="565"/>
      <c r="CR316" s="565"/>
      <c r="CS316" s="565"/>
      <c r="CT316" s="565"/>
      <c r="CU316" s="565"/>
      <c r="CV316" s="565"/>
      <c r="CW316" s="565"/>
      <c r="CX316" s="565"/>
      <c r="CY316" s="565"/>
      <c r="CZ316" s="565"/>
    </row>
    <row r="317" spans="1:104" s="180" customFormat="1" hidden="1" x14ac:dyDescent="0.3">
      <c r="A317" s="556">
        <f t="shared" ref="A317:P319" si="96">A15</f>
        <v>45</v>
      </c>
      <c r="B317" s="556" t="str">
        <f t="shared" si="96"/>
        <v>WS - Select Current Liabilities</v>
      </c>
      <c r="C317" s="556">
        <f t="shared" si="96"/>
        <v>0</v>
      </c>
      <c r="D317" s="556">
        <f t="shared" si="96"/>
        <v>3053</v>
      </c>
      <c r="E317" s="556">
        <f t="shared" si="96"/>
        <v>0</v>
      </c>
      <c r="F317" s="556">
        <f t="shared" si="96"/>
        <v>8123</v>
      </c>
      <c r="G317" s="556">
        <f t="shared" si="96"/>
        <v>19961</v>
      </c>
      <c r="H317" s="556">
        <f t="shared" si="96"/>
        <v>0</v>
      </c>
      <c r="I317" s="556">
        <f t="shared" si="96"/>
        <v>354215</v>
      </c>
      <c r="J317" s="556">
        <f t="shared" si="96"/>
        <v>0</v>
      </c>
      <c r="K317" s="556">
        <f t="shared" si="96"/>
        <v>2945726</v>
      </c>
      <c r="L317" s="556">
        <f t="shared" si="96"/>
        <v>0</v>
      </c>
      <c r="M317" s="556">
        <f t="shared" si="96"/>
        <v>0</v>
      </c>
      <c r="N317" s="556">
        <f t="shared" si="96"/>
        <v>854392</v>
      </c>
      <c r="O317" s="556">
        <f t="shared" si="96"/>
        <v>18216872</v>
      </c>
      <c r="P317" s="556">
        <f t="shared" si="96"/>
        <v>0</v>
      </c>
      <c r="Q317" s="556">
        <f t="shared" si="93"/>
        <v>0</v>
      </c>
      <c r="R317" s="556">
        <f t="shared" si="93"/>
        <v>0</v>
      </c>
      <c r="S317" s="556">
        <f t="shared" si="93"/>
        <v>0</v>
      </c>
      <c r="T317" s="556">
        <f t="shared" si="93"/>
        <v>0</v>
      </c>
      <c r="U317" s="556">
        <f t="shared" si="93"/>
        <v>0</v>
      </c>
      <c r="V317" s="556">
        <f t="shared" si="93"/>
        <v>4646</v>
      </c>
      <c r="W317" s="556">
        <f t="shared" si="93"/>
        <v>238984</v>
      </c>
      <c r="X317" s="556">
        <f t="shared" si="93"/>
        <v>0</v>
      </c>
      <c r="Y317" s="556">
        <f t="shared" si="93"/>
        <v>340146000</v>
      </c>
      <c r="Z317" s="556">
        <f t="shared" si="93"/>
        <v>230464</v>
      </c>
      <c r="AA317" s="556">
        <f t="shared" si="93"/>
        <v>175</v>
      </c>
      <c r="AB317" s="556">
        <f t="shared" si="93"/>
        <v>0</v>
      </c>
      <c r="AC317" s="556">
        <f t="shared" si="93"/>
        <v>0</v>
      </c>
      <c r="AD317" s="556">
        <f t="shared" si="93"/>
        <v>107902</v>
      </c>
      <c r="AE317" s="556">
        <f t="shared" si="93"/>
        <v>46350</v>
      </c>
      <c r="AF317" s="556">
        <f t="shared" si="93"/>
        <v>11060021</v>
      </c>
      <c r="AG317" s="556">
        <f t="shared" si="93"/>
        <v>0</v>
      </c>
      <c r="AH317" s="556">
        <f t="shared" si="93"/>
        <v>11517</v>
      </c>
      <c r="AI317" s="556">
        <f t="shared" si="93"/>
        <v>405715</v>
      </c>
      <c r="AJ317" s="556">
        <f t="shared" si="93"/>
        <v>89179</v>
      </c>
      <c r="AK317" s="556">
        <f t="shared" si="93"/>
        <v>52633</v>
      </c>
      <c r="AL317" s="556">
        <f t="shared" si="93"/>
        <v>204450</v>
      </c>
      <c r="AM317" s="556">
        <f t="shared" si="93"/>
        <v>0</v>
      </c>
      <c r="AN317" s="556">
        <f t="shared" si="93"/>
        <v>94762</v>
      </c>
      <c r="AO317" s="556">
        <f t="shared" si="93"/>
        <v>0</v>
      </c>
      <c r="AP317" s="556">
        <f t="shared" si="93"/>
        <v>0</v>
      </c>
      <c r="AQ317" s="556">
        <f t="shared" si="93"/>
        <v>3691719</v>
      </c>
      <c r="AR317" s="556">
        <f t="shared" si="93"/>
        <v>0</v>
      </c>
      <c r="AS317" s="556">
        <f t="shared" si="93"/>
        <v>11500</v>
      </c>
      <c r="AT317" s="556">
        <f t="shared" si="93"/>
        <v>777490</v>
      </c>
      <c r="AU317" s="556">
        <f t="shared" si="93"/>
        <v>86692</v>
      </c>
      <c r="AV317" s="556">
        <f t="shared" si="93"/>
        <v>0</v>
      </c>
      <c r="AW317" s="556">
        <f t="shared" si="93"/>
        <v>0</v>
      </c>
      <c r="AX317" s="556">
        <f t="shared" si="93"/>
        <v>13942</v>
      </c>
      <c r="AY317" s="556">
        <f t="shared" si="93"/>
        <v>0</v>
      </c>
      <c r="AZ317" s="556">
        <f t="shared" si="93"/>
        <v>0</v>
      </c>
      <c r="BA317" s="556">
        <f t="shared" si="93"/>
        <v>15068</v>
      </c>
      <c r="BB317" s="556">
        <f t="shared" si="93"/>
        <v>1261</v>
      </c>
      <c r="BC317" s="556">
        <f t="shared" si="93"/>
        <v>476053</v>
      </c>
      <c r="BD317" s="556">
        <f t="shared" si="93"/>
        <v>0</v>
      </c>
      <c r="BE317" s="556">
        <f t="shared" si="93"/>
        <v>0</v>
      </c>
      <c r="BF317" s="556">
        <f t="shared" si="93"/>
        <v>218031</v>
      </c>
      <c r="BG317" s="556">
        <f t="shared" si="93"/>
        <v>0</v>
      </c>
      <c r="BH317" s="556">
        <f t="shared" si="93"/>
        <v>0</v>
      </c>
      <c r="BI317" s="556">
        <f t="shared" si="93"/>
        <v>121388</v>
      </c>
      <c r="BJ317" s="556">
        <f t="shared" si="93"/>
        <v>0</v>
      </c>
      <c r="BK317" s="556">
        <f t="shared" si="93"/>
        <v>0</v>
      </c>
      <c r="BL317" s="556">
        <f t="shared" si="93"/>
        <v>56349</v>
      </c>
      <c r="BM317" s="556">
        <f t="shared" si="93"/>
        <v>139512</v>
      </c>
      <c r="BN317" s="556">
        <f t="shared" si="94"/>
        <v>0</v>
      </c>
      <c r="BO317" s="556">
        <f t="shared" si="94"/>
        <v>2828008</v>
      </c>
      <c r="BP317" s="556">
        <f t="shared" si="94"/>
        <v>35159392</v>
      </c>
      <c r="BQ317" s="556">
        <f t="shared" si="94"/>
        <v>0</v>
      </c>
      <c r="BR317" s="556">
        <f t="shared" si="94"/>
        <v>0</v>
      </c>
      <c r="BS317" s="556">
        <f t="shared" ref="BS317:CJ317" si="97">BS15</f>
        <v>28903</v>
      </c>
      <c r="BT317" s="556">
        <f t="shared" si="97"/>
        <v>0</v>
      </c>
      <c r="BU317" s="556">
        <f t="shared" si="97"/>
        <v>0</v>
      </c>
      <c r="BV317" s="556">
        <f t="shared" si="97"/>
        <v>3224949</v>
      </c>
      <c r="BW317" s="556">
        <f t="shared" si="97"/>
        <v>38846</v>
      </c>
      <c r="BX317" s="556">
        <f t="shared" si="97"/>
        <v>369627</v>
      </c>
      <c r="BY317" s="556">
        <f t="shared" si="97"/>
        <v>370709</v>
      </c>
      <c r="BZ317" s="556">
        <f t="shared" si="97"/>
        <v>4601</v>
      </c>
      <c r="CA317" s="556">
        <f t="shared" si="97"/>
        <v>307568</v>
      </c>
      <c r="CB317" s="556">
        <f t="shared" si="97"/>
        <v>0</v>
      </c>
      <c r="CC317" s="556">
        <f t="shared" si="97"/>
        <v>99057</v>
      </c>
      <c r="CD317" s="556">
        <f t="shared" si="97"/>
        <v>0</v>
      </c>
      <c r="CE317" s="556">
        <f t="shared" si="97"/>
        <v>446374</v>
      </c>
      <c r="CF317" s="556">
        <f t="shared" si="97"/>
        <v>0</v>
      </c>
      <c r="CG317" s="556">
        <f t="shared" si="97"/>
        <v>106617</v>
      </c>
      <c r="CH317" s="556">
        <f t="shared" si="97"/>
        <v>0</v>
      </c>
      <c r="CI317" s="556">
        <f t="shared" si="97"/>
        <v>0</v>
      </c>
      <c r="CJ317" s="556">
        <f t="shared" si="97"/>
        <v>0</v>
      </c>
      <c r="CK317" s="565"/>
      <c r="CL317" s="565"/>
      <c r="CM317" s="565"/>
      <c r="CN317" s="565"/>
      <c r="CO317" s="565"/>
      <c r="CP317" s="565"/>
      <c r="CQ317" s="565"/>
      <c r="CR317" s="565"/>
      <c r="CS317" s="565"/>
      <c r="CT317" s="565"/>
      <c r="CU317" s="565"/>
      <c r="CV317" s="565"/>
      <c r="CW317" s="565"/>
      <c r="CX317" s="565"/>
      <c r="CY317" s="565"/>
      <c r="CZ317" s="565"/>
    </row>
    <row r="318" spans="1:104" s="180" customFormat="1" hidden="1" x14ac:dyDescent="0.3">
      <c r="A318" s="556">
        <f t="shared" si="96"/>
        <v>47</v>
      </c>
      <c r="B318" s="556" t="str">
        <f t="shared" ref="B318:BM319" si="98">B16</f>
        <v>Electric - Total Current Assets</v>
      </c>
      <c r="C318" s="556">
        <f t="shared" si="98"/>
        <v>0</v>
      </c>
      <c r="D318" s="556">
        <f t="shared" si="98"/>
        <v>0</v>
      </c>
      <c r="E318" s="556">
        <f t="shared" si="98"/>
        <v>0</v>
      </c>
      <c r="F318" s="556">
        <f t="shared" si="98"/>
        <v>0</v>
      </c>
      <c r="G318" s="556">
        <f t="shared" si="98"/>
        <v>0</v>
      </c>
      <c r="H318" s="556">
        <f t="shared" si="98"/>
        <v>0</v>
      </c>
      <c r="I318" s="556">
        <f t="shared" si="98"/>
        <v>0</v>
      </c>
      <c r="J318" s="556">
        <f t="shared" si="98"/>
        <v>0</v>
      </c>
      <c r="K318" s="556">
        <f t="shared" si="98"/>
        <v>0</v>
      </c>
      <c r="L318" s="556">
        <f t="shared" si="98"/>
        <v>0</v>
      </c>
      <c r="M318" s="556">
        <f t="shared" si="98"/>
        <v>0</v>
      </c>
      <c r="N318" s="556">
        <f t="shared" si="98"/>
        <v>0</v>
      </c>
      <c r="O318" s="556">
        <f t="shared" si="98"/>
        <v>0</v>
      </c>
      <c r="P318" s="556">
        <f t="shared" si="98"/>
        <v>0</v>
      </c>
      <c r="Q318" s="556">
        <f t="shared" si="98"/>
        <v>0</v>
      </c>
      <c r="R318" s="556">
        <f t="shared" si="98"/>
        <v>0</v>
      </c>
      <c r="S318" s="556">
        <f t="shared" si="98"/>
        <v>0</v>
      </c>
      <c r="T318" s="556">
        <f t="shared" si="98"/>
        <v>0</v>
      </c>
      <c r="U318" s="556">
        <f t="shared" si="98"/>
        <v>0</v>
      </c>
      <c r="V318" s="556">
        <f t="shared" si="98"/>
        <v>0</v>
      </c>
      <c r="W318" s="556">
        <f t="shared" si="98"/>
        <v>0</v>
      </c>
      <c r="X318" s="556">
        <f t="shared" si="98"/>
        <v>0</v>
      </c>
      <c r="Y318" s="556">
        <f t="shared" si="98"/>
        <v>0</v>
      </c>
      <c r="Z318" s="556">
        <f t="shared" si="98"/>
        <v>5214942</v>
      </c>
      <c r="AA318" s="556">
        <f t="shared" si="98"/>
        <v>0</v>
      </c>
      <c r="AB318" s="556">
        <f t="shared" si="98"/>
        <v>0</v>
      </c>
      <c r="AC318" s="556">
        <f t="shared" si="98"/>
        <v>0</v>
      </c>
      <c r="AD318" s="556">
        <f t="shared" si="98"/>
        <v>0</v>
      </c>
      <c r="AE318" s="556">
        <f t="shared" si="98"/>
        <v>0</v>
      </c>
      <c r="AF318" s="556">
        <f t="shared" si="98"/>
        <v>7955373</v>
      </c>
      <c r="AG318" s="556">
        <f t="shared" si="98"/>
        <v>0</v>
      </c>
      <c r="AH318" s="556">
        <f t="shared" si="98"/>
        <v>0</v>
      </c>
      <c r="AI318" s="556">
        <f t="shared" si="98"/>
        <v>0</v>
      </c>
      <c r="AJ318" s="556">
        <f t="shared" si="98"/>
        <v>0</v>
      </c>
      <c r="AK318" s="556">
        <f t="shared" si="98"/>
        <v>0</v>
      </c>
      <c r="AL318" s="556">
        <f t="shared" si="98"/>
        <v>0</v>
      </c>
      <c r="AM318" s="556">
        <f t="shared" si="98"/>
        <v>0</v>
      </c>
      <c r="AN318" s="556">
        <f t="shared" si="98"/>
        <v>0</v>
      </c>
      <c r="AO318" s="556">
        <f t="shared" si="98"/>
        <v>0</v>
      </c>
      <c r="AP318" s="556">
        <f t="shared" si="98"/>
        <v>0</v>
      </c>
      <c r="AQ318" s="556">
        <f t="shared" si="98"/>
        <v>101526114</v>
      </c>
      <c r="AR318" s="556">
        <f t="shared" si="98"/>
        <v>0</v>
      </c>
      <c r="AS318" s="556">
        <f t="shared" si="98"/>
        <v>0</v>
      </c>
      <c r="AT318" s="556">
        <f t="shared" si="98"/>
        <v>0</v>
      </c>
      <c r="AU318" s="556">
        <f t="shared" si="98"/>
        <v>0</v>
      </c>
      <c r="AV318" s="556">
        <f t="shared" si="98"/>
        <v>0</v>
      </c>
      <c r="AW318" s="556">
        <f t="shared" si="98"/>
        <v>6892901</v>
      </c>
      <c r="AX318" s="556">
        <f t="shared" si="98"/>
        <v>0</v>
      </c>
      <c r="AY318" s="556">
        <f t="shared" si="98"/>
        <v>0</v>
      </c>
      <c r="AZ318" s="556">
        <f t="shared" si="98"/>
        <v>0</v>
      </c>
      <c r="BA318" s="556">
        <f t="shared" si="98"/>
        <v>0</v>
      </c>
      <c r="BB318" s="556">
        <f t="shared" si="98"/>
        <v>0</v>
      </c>
      <c r="BC318" s="556">
        <f t="shared" si="98"/>
        <v>5602484</v>
      </c>
      <c r="BD318" s="556">
        <f t="shared" si="98"/>
        <v>0</v>
      </c>
      <c r="BE318" s="556">
        <f t="shared" si="98"/>
        <v>0</v>
      </c>
      <c r="BF318" s="556">
        <f t="shared" si="98"/>
        <v>0</v>
      </c>
      <c r="BG318" s="556">
        <f t="shared" si="98"/>
        <v>0</v>
      </c>
      <c r="BH318" s="556">
        <f t="shared" si="98"/>
        <v>0</v>
      </c>
      <c r="BI318" s="556">
        <f t="shared" si="98"/>
        <v>0</v>
      </c>
      <c r="BJ318" s="556">
        <f t="shared" si="98"/>
        <v>0</v>
      </c>
      <c r="BK318" s="556">
        <f t="shared" si="98"/>
        <v>0</v>
      </c>
      <c r="BL318" s="556">
        <f t="shared" si="98"/>
        <v>4463395</v>
      </c>
      <c r="BM318" s="556">
        <f t="shared" si="98"/>
        <v>0</v>
      </c>
      <c r="BN318" s="556">
        <f t="shared" si="94"/>
        <v>0</v>
      </c>
      <c r="BO318" s="556">
        <f t="shared" si="94"/>
        <v>0</v>
      </c>
      <c r="BP318" s="556">
        <f t="shared" si="94"/>
        <v>0</v>
      </c>
      <c r="BQ318" s="556">
        <f t="shared" si="94"/>
        <v>0</v>
      </c>
      <c r="BR318" s="556">
        <f t="shared" si="94"/>
        <v>0</v>
      </c>
      <c r="BS318" s="556">
        <f t="shared" ref="BS318:CJ318" si="99">BS16</f>
        <v>0</v>
      </c>
      <c r="BT318" s="556">
        <f t="shared" si="99"/>
        <v>0</v>
      </c>
      <c r="BU318" s="556">
        <f t="shared" si="99"/>
        <v>0</v>
      </c>
      <c r="BV318" s="556">
        <f t="shared" si="99"/>
        <v>0</v>
      </c>
      <c r="BW318" s="556">
        <f t="shared" si="99"/>
        <v>1882289</v>
      </c>
      <c r="BX318" s="556">
        <f t="shared" si="99"/>
        <v>12605987</v>
      </c>
      <c r="BY318" s="556">
        <f t="shared" si="99"/>
        <v>0</v>
      </c>
      <c r="BZ318" s="556">
        <f t="shared" si="99"/>
        <v>0</v>
      </c>
      <c r="CA318" s="556">
        <f t="shared" si="99"/>
        <v>0</v>
      </c>
      <c r="CB318" s="556">
        <f t="shared" si="99"/>
        <v>0</v>
      </c>
      <c r="CC318" s="556">
        <f t="shared" si="99"/>
        <v>0</v>
      </c>
      <c r="CD318" s="556">
        <f t="shared" si="99"/>
        <v>0</v>
      </c>
      <c r="CE318" s="556">
        <f t="shared" si="99"/>
        <v>0</v>
      </c>
      <c r="CF318" s="556">
        <f t="shared" si="99"/>
        <v>0</v>
      </c>
      <c r="CG318" s="556">
        <f t="shared" si="99"/>
        <v>8144930</v>
      </c>
      <c r="CH318" s="556">
        <f t="shared" si="99"/>
        <v>0</v>
      </c>
      <c r="CI318" s="556">
        <f t="shared" si="99"/>
        <v>0</v>
      </c>
      <c r="CJ318" s="556">
        <f t="shared" si="99"/>
        <v>0</v>
      </c>
      <c r="CK318" s="565"/>
      <c r="CL318" s="565"/>
      <c r="CM318" s="565"/>
      <c r="CN318" s="565"/>
      <c r="CO318" s="565"/>
      <c r="CP318" s="565"/>
      <c r="CQ318" s="565"/>
      <c r="CR318" s="565"/>
      <c r="CS318" s="565"/>
      <c r="CT318" s="565"/>
      <c r="CU318" s="565"/>
      <c r="CV318" s="565"/>
      <c r="CW318" s="565"/>
      <c r="CX318" s="565"/>
      <c r="CY318" s="565"/>
      <c r="CZ318" s="565"/>
    </row>
    <row r="319" spans="1:104" s="180" customFormat="1" hidden="1" x14ac:dyDescent="0.3">
      <c r="A319" s="556">
        <f t="shared" si="96"/>
        <v>48</v>
      </c>
      <c r="B319" s="556" t="str">
        <f t="shared" si="98"/>
        <v>Electric - Select Current Liabilities</v>
      </c>
      <c r="C319" s="556">
        <f t="shared" si="98"/>
        <v>0</v>
      </c>
      <c r="D319" s="556">
        <f t="shared" si="98"/>
        <v>0</v>
      </c>
      <c r="E319" s="556">
        <f t="shared" si="98"/>
        <v>0</v>
      </c>
      <c r="F319" s="556">
        <f t="shared" si="98"/>
        <v>0</v>
      </c>
      <c r="G319" s="556">
        <f t="shared" si="98"/>
        <v>0</v>
      </c>
      <c r="H319" s="556">
        <f t="shared" si="98"/>
        <v>0</v>
      </c>
      <c r="I319" s="556">
        <f t="shared" si="98"/>
        <v>0</v>
      </c>
      <c r="J319" s="556">
        <f t="shared" si="98"/>
        <v>0</v>
      </c>
      <c r="K319" s="556">
        <f t="shared" si="98"/>
        <v>0</v>
      </c>
      <c r="L319" s="556">
        <f t="shared" si="98"/>
        <v>0</v>
      </c>
      <c r="M319" s="556">
        <f t="shared" si="98"/>
        <v>0</v>
      </c>
      <c r="N319" s="556">
        <f t="shared" si="98"/>
        <v>0</v>
      </c>
      <c r="O319" s="556">
        <f t="shared" si="98"/>
        <v>0</v>
      </c>
      <c r="P319" s="556">
        <f t="shared" si="98"/>
        <v>0</v>
      </c>
      <c r="Q319" s="556">
        <f t="shared" si="98"/>
        <v>0</v>
      </c>
      <c r="R319" s="556">
        <f t="shared" si="98"/>
        <v>0</v>
      </c>
      <c r="S319" s="556">
        <f t="shared" si="98"/>
        <v>0</v>
      </c>
      <c r="T319" s="556">
        <f t="shared" si="98"/>
        <v>0</v>
      </c>
      <c r="U319" s="556">
        <f t="shared" si="98"/>
        <v>0</v>
      </c>
      <c r="V319" s="556">
        <f t="shared" si="98"/>
        <v>0</v>
      </c>
      <c r="W319" s="556">
        <f t="shared" si="98"/>
        <v>0</v>
      </c>
      <c r="X319" s="556">
        <f t="shared" si="98"/>
        <v>0</v>
      </c>
      <c r="Y319" s="556">
        <f t="shared" si="98"/>
        <v>0</v>
      </c>
      <c r="Z319" s="556">
        <f t="shared" si="98"/>
        <v>382798</v>
      </c>
      <c r="AA319" s="556">
        <f t="shared" si="98"/>
        <v>0</v>
      </c>
      <c r="AB319" s="556">
        <f t="shared" si="98"/>
        <v>0</v>
      </c>
      <c r="AC319" s="556">
        <f t="shared" si="98"/>
        <v>0</v>
      </c>
      <c r="AD319" s="556">
        <f t="shared" si="98"/>
        <v>0</v>
      </c>
      <c r="AE319" s="556">
        <f t="shared" si="98"/>
        <v>0</v>
      </c>
      <c r="AF319" s="556">
        <f t="shared" si="98"/>
        <v>2373062</v>
      </c>
      <c r="AG319" s="556">
        <f t="shared" si="98"/>
        <v>0</v>
      </c>
      <c r="AH319" s="556">
        <f t="shared" si="98"/>
        <v>0</v>
      </c>
      <c r="AI319" s="556">
        <f t="shared" si="98"/>
        <v>0</v>
      </c>
      <c r="AJ319" s="556">
        <f t="shared" si="98"/>
        <v>0</v>
      </c>
      <c r="AK319" s="556">
        <f t="shared" si="98"/>
        <v>0</v>
      </c>
      <c r="AL319" s="556">
        <f t="shared" si="98"/>
        <v>0</v>
      </c>
      <c r="AM319" s="556">
        <f t="shared" si="98"/>
        <v>0</v>
      </c>
      <c r="AN319" s="556">
        <f t="shared" si="98"/>
        <v>0</v>
      </c>
      <c r="AO319" s="556">
        <f t="shared" si="98"/>
        <v>0</v>
      </c>
      <c r="AP319" s="556">
        <f t="shared" si="98"/>
        <v>0</v>
      </c>
      <c r="AQ319" s="556">
        <f t="shared" si="98"/>
        <v>6247918</v>
      </c>
      <c r="AR319" s="556">
        <f t="shared" si="98"/>
        <v>0</v>
      </c>
      <c r="AS319" s="556">
        <f t="shared" si="98"/>
        <v>0</v>
      </c>
      <c r="AT319" s="556">
        <f t="shared" si="98"/>
        <v>0</v>
      </c>
      <c r="AU319" s="556">
        <f t="shared" si="98"/>
        <v>0</v>
      </c>
      <c r="AV319" s="556">
        <f t="shared" si="98"/>
        <v>0</v>
      </c>
      <c r="AW319" s="556">
        <f t="shared" si="98"/>
        <v>1013137</v>
      </c>
      <c r="AX319" s="556">
        <f t="shared" si="98"/>
        <v>0</v>
      </c>
      <c r="AY319" s="556">
        <f t="shared" si="98"/>
        <v>0</v>
      </c>
      <c r="AZ319" s="556">
        <f t="shared" si="98"/>
        <v>0</v>
      </c>
      <c r="BA319" s="556">
        <f t="shared" si="98"/>
        <v>0</v>
      </c>
      <c r="BB319" s="556">
        <f t="shared" si="98"/>
        <v>0</v>
      </c>
      <c r="BC319" s="556">
        <f t="shared" si="98"/>
        <v>923072</v>
      </c>
      <c r="BD319" s="556">
        <f t="shared" si="98"/>
        <v>0</v>
      </c>
      <c r="BE319" s="556">
        <f t="shared" si="98"/>
        <v>0</v>
      </c>
      <c r="BF319" s="556">
        <f t="shared" si="98"/>
        <v>0</v>
      </c>
      <c r="BG319" s="556">
        <f t="shared" si="98"/>
        <v>0</v>
      </c>
      <c r="BH319" s="556">
        <f t="shared" si="98"/>
        <v>0</v>
      </c>
      <c r="BI319" s="556">
        <f t="shared" si="98"/>
        <v>0</v>
      </c>
      <c r="BJ319" s="556">
        <f t="shared" si="98"/>
        <v>0</v>
      </c>
      <c r="BK319" s="556">
        <f t="shared" si="98"/>
        <v>0</v>
      </c>
      <c r="BL319" s="556">
        <f t="shared" si="98"/>
        <v>210904</v>
      </c>
      <c r="BM319" s="556">
        <f t="shared" si="98"/>
        <v>0</v>
      </c>
      <c r="BN319" s="556">
        <f t="shared" si="94"/>
        <v>0</v>
      </c>
      <c r="BO319" s="556">
        <f t="shared" si="94"/>
        <v>0</v>
      </c>
      <c r="BP319" s="556">
        <f t="shared" si="94"/>
        <v>0</v>
      </c>
      <c r="BQ319" s="556">
        <f t="shared" si="94"/>
        <v>0</v>
      </c>
      <c r="BR319" s="556">
        <f t="shared" si="94"/>
        <v>0</v>
      </c>
      <c r="BS319" s="556">
        <f t="shared" ref="BS319:CJ319" si="100">BS17</f>
        <v>0</v>
      </c>
      <c r="BT319" s="556">
        <f t="shared" si="100"/>
        <v>0</v>
      </c>
      <c r="BU319" s="556">
        <f t="shared" si="100"/>
        <v>0</v>
      </c>
      <c r="BV319" s="556">
        <f t="shared" si="100"/>
        <v>0</v>
      </c>
      <c r="BW319" s="556">
        <f t="shared" si="100"/>
        <v>1136368</v>
      </c>
      <c r="BX319" s="556">
        <f t="shared" si="100"/>
        <v>3396670</v>
      </c>
      <c r="BY319" s="556">
        <f t="shared" si="100"/>
        <v>0</v>
      </c>
      <c r="BZ319" s="556">
        <f t="shared" si="100"/>
        <v>0</v>
      </c>
      <c r="CA319" s="556">
        <f t="shared" si="100"/>
        <v>0</v>
      </c>
      <c r="CB319" s="556">
        <f t="shared" si="100"/>
        <v>0</v>
      </c>
      <c r="CC319" s="556">
        <f t="shared" si="100"/>
        <v>0</v>
      </c>
      <c r="CD319" s="556">
        <f t="shared" si="100"/>
        <v>0</v>
      </c>
      <c r="CE319" s="556">
        <f t="shared" si="100"/>
        <v>0</v>
      </c>
      <c r="CF319" s="556">
        <f t="shared" si="100"/>
        <v>0</v>
      </c>
      <c r="CG319" s="556">
        <f t="shared" si="100"/>
        <v>433399</v>
      </c>
      <c r="CH319" s="556">
        <f t="shared" si="100"/>
        <v>0</v>
      </c>
      <c r="CI319" s="556">
        <f t="shared" si="100"/>
        <v>0</v>
      </c>
      <c r="CJ319" s="556">
        <f t="shared" si="100"/>
        <v>0</v>
      </c>
      <c r="CK319" s="565"/>
      <c r="CL319" s="565"/>
      <c r="CM319" s="565"/>
      <c r="CN319" s="565"/>
      <c r="CO319" s="565"/>
      <c r="CP319" s="565"/>
      <c r="CQ319" s="565"/>
      <c r="CR319" s="565"/>
      <c r="CS319" s="565"/>
      <c r="CT319" s="565"/>
      <c r="CU319" s="565"/>
      <c r="CV319" s="565"/>
      <c r="CW319" s="565"/>
      <c r="CX319" s="565"/>
      <c r="CY319" s="565"/>
      <c r="CZ319" s="565"/>
    </row>
    <row r="320" spans="1:104" s="180" customFormat="1" hidden="1" x14ac:dyDescent="0.3">
      <c r="A320" s="560">
        <f>A95</f>
        <v>385</v>
      </c>
      <c r="B320" s="560" t="str">
        <f t="shared" ref="B320:BM320" si="101">B95</f>
        <v>Gov - Total Assets and deferred outflows</v>
      </c>
      <c r="C320" s="560">
        <f t="shared" si="101"/>
        <v>0</v>
      </c>
      <c r="D320" s="560">
        <f t="shared" si="101"/>
        <v>4269742</v>
      </c>
      <c r="E320" s="560">
        <f t="shared" si="101"/>
        <v>6184574</v>
      </c>
      <c r="F320" s="560">
        <f t="shared" si="101"/>
        <v>1265891</v>
      </c>
      <c r="G320" s="560">
        <f t="shared" si="101"/>
        <v>1079937</v>
      </c>
      <c r="H320" s="560">
        <f t="shared" si="101"/>
        <v>0</v>
      </c>
      <c r="I320" s="560">
        <f t="shared" si="101"/>
        <v>29314401</v>
      </c>
      <c r="J320" s="560">
        <f t="shared" si="101"/>
        <v>6346235</v>
      </c>
      <c r="K320" s="560">
        <f t="shared" si="101"/>
        <v>60916823</v>
      </c>
      <c r="L320" s="560">
        <f t="shared" si="101"/>
        <v>11361974</v>
      </c>
      <c r="M320" s="560">
        <f t="shared" si="101"/>
        <v>104199861</v>
      </c>
      <c r="N320" s="560">
        <f t="shared" si="101"/>
        <v>6018442</v>
      </c>
      <c r="O320" s="560">
        <f t="shared" si="101"/>
        <v>1516612237</v>
      </c>
      <c r="P320" s="560">
        <f t="shared" si="101"/>
        <v>174204</v>
      </c>
      <c r="Q320" s="560">
        <f t="shared" si="101"/>
        <v>1028453</v>
      </c>
      <c r="R320" s="560">
        <f t="shared" si="101"/>
        <v>12289000</v>
      </c>
      <c r="S320" s="560">
        <f t="shared" si="101"/>
        <v>3210310</v>
      </c>
      <c r="T320" s="560">
        <f t="shared" si="101"/>
        <v>6276607</v>
      </c>
      <c r="U320" s="560">
        <f t="shared" si="101"/>
        <v>870795</v>
      </c>
      <c r="V320" s="560">
        <f t="shared" si="101"/>
        <v>1246052</v>
      </c>
      <c r="W320" s="560">
        <f t="shared" si="101"/>
        <v>5895012</v>
      </c>
      <c r="X320" s="560">
        <f t="shared" si="101"/>
        <v>275102924</v>
      </c>
      <c r="Y320" s="560">
        <f t="shared" si="101"/>
        <v>9155701000</v>
      </c>
      <c r="Z320" s="560">
        <f t="shared" si="101"/>
        <v>14817973</v>
      </c>
      <c r="AA320" s="560">
        <f t="shared" si="101"/>
        <v>2520565</v>
      </c>
      <c r="AB320" s="560">
        <f t="shared" si="101"/>
        <v>11159050</v>
      </c>
      <c r="AC320" s="560">
        <f t="shared" si="101"/>
        <v>0</v>
      </c>
      <c r="AD320" s="560">
        <f t="shared" si="101"/>
        <v>16637779</v>
      </c>
      <c r="AE320" s="560">
        <f t="shared" si="101"/>
        <v>3768140</v>
      </c>
      <c r="AF320" s="560">
        <f t="shared" si="101"/>
        <v>132130395</v>
      </c>
      <c r="AG320" s="560">
        <f t="shared" si="101"/>
        <v>62914995</v>
      </c>
      <c r="AH320" s="560">
        <f t="shared" si="101"/>
        <v>6270647</v>
      </c>
      <c r="AI320" s="560">
        <f t="shared" si="101"/>
        <v>25306395</v>
      </c>
      <c r="AJ320" s="560">
        <f t="shared" si="101"/>
        <v>2984502</v>
      </c>
      <c r="AK320" s="560">
        <f t="shared" si="101"/>
        <v>3844589</v>
      </c>
      <c r="AL320" s="560">
        <f t="shared" si="101"/>
        <v>1972422</v>
      </c>
      <c r="AM320" s="560">
        <f t="shared" si="101"/>
        <v>0</v>
      </c>
      <c r="AN320" s="560">
        <f t="shared" si="101"/>
        <v>1872228</v>
      </c>
      <c r="AO320" s="560">
        <f t="shared" si="101"/>
        <v>0</v>
      </c>
      <c r="AP320" s="560">
        <f t="shared" si="101"/>
        <v>126337</v>
      </c>
      <c r="AQ320" s="560">
        <f t="shared" si="101"/>
        <v>742407508</v>
      </c>
      <c r="AR320" s="560">
        <f t="shared" si="101"/>
        <v>485813</v>
      </c>
      <c r="AS320" s="560">
        <f t="shared" si="101"/>
        <v>4157172</v>
      </c>
      <c r="AT320" s="560">
        <f t="shared" si="101"/>
        <v>70302649</v>
      </c>
      <c r="AU320" s="560">
        <f t="shared" si="101"/>
        <v>1350994</v>
      </c>
      <c r="AV320" s="560">
        <f t="shared" si="101"/>
        <v>2143942</v>
      </c>
      <c r="AW320" s="560">
        <f t="shared" si="101"/>
        <v>151237868</v>
      </c>
      <c r="AX320" s="560">
        <f t="shared" si="101"/>
        <v>799939</v>
      </c>
      <c r="AY320" s="560">
        <f t="shared" si="101"/>
        <v>20138644</v>
      </c>
      <c r="AZ320" s="560">
        <f t="shared" si="101"/>
        <v>36544455</v>
      </c>
      <c r="BA320" s="560">
        <f t="shared" si="101"/>
        <v>713936</v>
      </c>
      <c r="BB320" s="560">
        <f t="shared" si="101"/>
        <v>587259</v>
      </c>
      <c r="BC320" s="560">
        <f t="shared" si="101"/>
        <v>15298018</v>
      </c>
      <c r="BD320" s="560">
        <f t="shared" si="101"/>
        <v>435143</v>
      </c>
      <c r="BE320" s="560">
        <f t="shared" si="101"/>
        <v>73494509</v>
      </c>
      <c r="BF320" s="560">
        <f t="shared" si="101"/>
        <v>5327488</v>
      </c>
      <c r="BG320" s="560">
        <f t="shared" si="101"/>
        <v>1887524</v>
      </c>
      <c r="BH320" s="560">
        <f t="shared" si="101"/>
        <v>1106908</v>
      </c>
      <c r="BI320" s="560">
        <f t="shared" si="101"/>
        <v>5631480</v>
      </c>
      <c r="BJ320" s="560">
        <f t="shared" si="101"/>
        <v>4095739</v>
      </c>
      <c r="BK320" s="560">
        <f t="shared" si="101"/>
        <v>0</v>
      </c>
      <c r="BL320" s="560">
        <f t="shared" si="101"/>
        <v>7786804</v>
      </c>
      <c r="BM320" s="560">
        <f t="shared" si="101"/>
        <v>1684033</v>
      </c>
      <c r="BN320" s="560">
        <f t="shared" ref="BN320:BR320" si="102">BN95</f>
        <v>40741704</v>
      </c>
      <c r="BO320" s="560">
        <f t="shared" si="102"/>
        <v>34770230</v>
      </c>
      <c r="BP320" s="560">
        <f t="shared" si="102"/>
        <v>1401629495</v>
      </c>
      <c r="BQ320" s="560">
        <f t="shared" si="102"/>
        <v>194120</v>
      </c>
      <c r="BR320" s="560">
        <f t="shared" si="102"/>
        <v>0</v>
      </c>
      <c r="BS320" s="560">
        <f t="shared" ref="BS320:CJ320" si="103">BS95</f>
        <v>2172763</v>
      </c>
      <c r="BT320" s="560">
        <f t="shared" si="103"/>
        <v>0</v>
      </c>
      <c r="BU320" s="560">
        <f t="shared" si="103"/>
        <v>12488348</v>
      </c>
      <c r="BV320" s="560">
        <f t="shared" si="103"/>
        <v>54239240</v>
      </c>
      <c r="BW320" s="560">
        <f t="shared" si="103"/>
        <v>16192912</v>
      </c>
      <c r="BX320" s="560">
        <f t="shared" si="103"/>
        <v>58785344</v>
      </c>
      <c r="BY320" s="560">
        <f t="shared" si="103"/>
        <v>29031076</v>
      </c>
      <c r="BZ320" s="560">
        <f t="shared" si="103"/>
        <v>1694606</v>
      </c>
      <c r="CA320" s="560">
        <f t="shared" si="103"/>
        <v>17159705</v>
      </c>
      <c r="CB320" s="560">
        <f t="shared" si="103"/>
        <v>1341236</v>
      </c>
      <c r="CC320" s="560">
        <f t="shared" si="103"/>
        <v>2473997</v>
      </c>
      <c r="CD320" s="560">
        <f t="shared" si="103"/>
        <v>0</v>
      </c>
      <c r="CE320" s="560">
        <f t="shared" si="103"/>
        <v>25464173</v>
      </c>
      <c r="CF320" s="560">
        <f t="shared" si="103"/>
        <v>40721076</v>
      </c>
      <c r="CG320" s="560">
        <f t="shared" si="103"/>
        <v>10436933</v>
      </c>
      <c r="CH320" s="560">
        <f t="shared" si="103"/>
        <v>14492168</v>
      </c>
      <c r="CI320" s="560">
        <f t="shared" si="103"/>
        <v>0</v>
      </c>
      <c r="CJ320" s="560">
        <f t="shared" si="103"/>
        <v>0</v>
      </c>
      <c r="CK320" s="565"/>
      <c r="CL320" s="565"/>
      <c r="CM320" s="565"/>
      <c r="CN320" s="565"/>
      <c r="CO320" s="565"/>
      <c r="CP320" s="565"/>
      <c r="CQ320" s="565"/>
      <c r="CR320" s="565"/>
      <c r="CS320" s="565"/>
      <c r="CT320" s="565"/>
      <c r="CU320" s="565"/>
      <c r="CV320" s="565"/>
      <c r="CW320" s="565"/>
      <c r="CX320" s="565"/>
      <c r="CY320" s="565"/>
      <c r="CZ320" s="565"/>
    </row>
    <row r="321" spans="1:104" s="180" customFormat="1" hidden="1" x14ac:dyDescent="0.3">
      <c r="A321" s="560">
        <f>A170</f>
        <v>626</v>
      </c>
      <c r="B321" s="560" t="str">
        <f t="shared" ref="B321:BM321" si="104">B170</f>
        <v>GW - Total Current Liabilities including current portion of long-term debt</v>
      </c>
      <c r="C321" s="560">
        <f t="shared" si="104"/>
        <v>0</v>
      </c>
      <c r="D321" s="560">
        <f t="shared" si="104"/>
        <v>15389</v>
      </c>
      <c r="E321" s="560">
        <f t="shared" si="104"/>
        <v>554867</v>
      </c>
      <c r="F321" s="560">
        <f t="shared" si="104"/>
        <v>10137</v>
      </c>
      <c r="G321" s="560">
        <f t="shared" si="104"/>
        <v>56094</v>
      </c>
      <c r="H321" s="560">
        <f t="shared" si="104"/>
        <v>0</v>
      </c>
      <c r="I321" s="560">
        <f t="shared" si="104"/>
        <v>5476081</v>
      </c>
      <c r="J321" s="560">
        <f t="shared" si="104"/>
        <v>117269</v>
      </c>
      <c r="K321" s="560">
        <f t="shared" si="104"/>
        <v>5618507</v>
      </c>
      <c r="L321" s="560">
        <f t="shared" si="104"/>
        <v>0</v>
      </c>
      <c r="M321" s="560">
        <f t="shared" si="104"/>
        <v>18286184</v>
      </c>
      <c r="N321" s="560">
        <f t="shared" si="104"/>
        <v>869464</v>
      </c>
      <c r="O321" s="560">
        <f t="shared" si="104"/>
        <v>84528231</v>
      </c>
      <c r="P321" s="560">
        <f t="shared" si="104"/>
        <v>31539</v>
      </c>
      <c r="Q321" s="560">
        <f t="shared" si="104"/>
        <v>4658</v>
      </c>
      <c r="R321" s="560">
        <f t="shared" si="104"/>
        <v>1341898</v>
      </c>
      <c r="S321" s="560">
        <f t="shared" si="104"/>
        <v>391741</v>
      </c>
      <c r="T321" s="560">
        <f t="shared" si="104"/>
        <v>313960</v>
      </c>
      <c r="U321" s="560">
        <f t="shared" si="104"/>
        <v>66852</v>
      </c>
      <c r="V321" s="560">
        <f t="shared" si="104"/>
        <v>63484</v>
      </c>
      <c r="W321" s="560">
        <f t="shared" si="104"/>
        <v>53716</v>
      </c>
      <c r="X321" s="560">
        <f t="shared" si="104"/>
        <v>29653442</v>
      </c>
      <c r="Y321" s="560">
        <f t="shared" si="104"/>
        <v>425392000</v>
      </c>
      <c r="Z321" s="560">
        <f t="shared" si="104"/>
        <v>550579</v>
      </c>
      <c r="AA321" s="560">
        <f t="shared" si="104"/>
        <v>255580</v>
      </c>
      <c r="AB321" s="560">
        <f t="shared" si="104"/>
        <v>840248</v>
      </c>
      <c r="AC321" s="560">
        <f t="shared" si="104"/>
        <v>0</v>
      </c>
      <c r="AD321" s="560">
        <f t="shared" si="104"/>
        <v>852159</v>
      </c>
      <c r="AE321" s="560">
        <f t="shared" si="104"/>
        <v>97455</v>
      </c>
      <c r="AF321" s="560">
        <f t="shared" si="104"/>
        <v>5510613</v>
      </c>
      <c r="AG321" s="560">
        <f t="shared" si="104"/>
        <v>2766779</v>
      </c>
      <c r="AH321" s="560">
        <f t="shared" si="104"/>
        <v>19050</v>
      </c>
      <c r="AI321" s="560">
        <f t="shared" si="104"/>
        <v>955209</v>
      </c>
      <c r="AJ321" s="560">
        <f t="shared" si="104"/>
        <v>38862</v>
      </c>
      <c r="AK321" s="560">
        <f t="shared" si="104"/>
        <v>31986</v>
      </c>
      <c r="AL321" s="560">
        <f t="shared" si="104"/>
        <v>15155</v>
      </c>
      <c r="AM321" s="560">
        <f t="shared" si="104"/>
        <v>0</v>
      </c>
      <c r="AN321" s="560">
        <f t="shared" si="104"/>
        <v>23393</v>
      </c>
      <c r="AO321" s="560">
        <f t="shared" si="104"/>
        <v>0</v>
      </c>
      <c r="AP321" s="560">
        <f t="shared" si="104"/>
        <v>1257</v>
      </c>
      <c r="AQ321" s="560">
        <f t="shared" si="104"/>
        <v>31531415</v>
      </c>
      <c r="AR321" s="560">
        <f t="shared" si="104"/>
        <v>0</v>
      </c>
      <c r="AS321" s="560">
        <f t="shared" si="104"/>
        <v>410843</v>
      </c>
      <c r="AT321" s="560">
        <f t="shared" si="104"/>
        <v>1492215</v>
      </c>
      <c r="AU321" s="560">
        <f t="shared" si="104"/>
        <v>213934</v>
      </c>
      <c r="AV321" s="560">
        <f t="shared" si="104"/>
        <v>2258</v>
      </c>
      <c r="AW321" s="560">
        <f t="shared" si="104"/>
        <v>11524579</v>
      </c>
      <c r="AX321" s="560">
        <f t="shared" si="104"/>
        <v>10479</v>
      </c>
      <c r="AY321" s="560">
        <f t="shared" si="104"/>
        <v>758922</v>
      </c>
      <c r="AZ321" s="560">
        <f t="shared" si="104"/>
        <v>337613</v>
      </c>
      <c r="BA321" s="560">
        <f t="shared" si="104"/>
        <v>2766</v>
      </c>
      <c r="BB321" s="560">
        <f t="shared" si="104"/>
        <v>3188</v>
      </c>
      <c r="BC321" s="560">
        <f t="shared" si="104"/>
        <v>1521694</v>
      </c>
      <c r="BD321" s="560">
        <f t="shared" si="104"/>
        <v>59203</v>
      </c>
      <c r="BE321" s="560">
        <f t="shared" si="104"/>
        <v>4423095</v>
      </c>
      <c r="BF321" s="560">
        <f t="shared" si="104"/>
        <v>153449</v>
      </c>
      <c r="BG321" s="560">
        <f t="shared" si="104"/>
        <v>7895</v>
      </c>
      <c r="BH321" s="560">
        <f t="shared" si="104"/>
        <v>136502</v>
      </c>
      <c r="BI321" s="560">
        <f t="shared" si="104"/>
        <v>174399</v>
      </c>
      <c r="BJ321" s="560">
        <f t="shared" si="104"/>
        <v>103638</v>
      </c>
      <c r="BK321" s="560">
        <f t="shared" si="104"/>
        <v>0</v>
      </c>
      <c r="BL321" s="560">
        <f t="shared" si="104"/>
        <v>2731316</v>
      </c>
      <c r="BM321" s="560">
        <f t="shared" si="104"/>
        <v>137893</v>
      </c>
      <c r="BN321" s="560">
        <f t="shared" ref="BN321:BR321" si="105">BN170</f>
        <v>5114256</v>
      </c>
      <c r="BO321" s="560">
        <f t="shared" si="105"/>
        <v>3519096</v>
      </c>
      <c r="BP321" s="560">
        <f t="shared" si="105"/>
        <v>199444330</v>
      </c>
      <c r="BQ321" s="560">
        <f t="shared" si="105"/>
        <v>34878</v>
      </c>
      <c r="BR321" s="560">
        <f t="shared" si="105"/>
        <v>0</v>
      </c>
      <c r="BS321" s="560">
        <f t="shared" ref="BS321:CJ321" si="106">BS170</f>
        <v>131507</v>
      </c>
      <c r="BT321" s="560">
        <f t="shared" si="106"/>
        <v>0</v>
      </c>
      <c r="BU321" s="560">
        <f t="shared" si="106"/>
        <v>95440</v>
      </c>
      <c r="BV321" s="560">
        <f t="shared" si="106"/>
        <v>4175618</v>
      </c>
      <c r="BW321" s="560">
        <f t="shared" si="106"/>
        <v>964140</v>
      </c>
      <c r="BX321" s="560">
        <f t="shared" si="106"/>
        <v>7344744</v>
      </c>
      <c r="BY321" s="560">
        <f t="shared" si="106"/>
        <v>668992</v>
      </c>
      <c r="BZ321" s="560">
        <f t="shared" si="106"/>
        <v>22814</v>
      </c>
      <c r="CA321" s="560">
        <f t="shared" si="106"/>
        <v>182667</v>
      </c>
      <c r="CB321" s="560">
        <f t="shared" si="106"/>
        <v>266873</v>
      </c>
      <c r="CC321" s="560">
        <f t="shared" si="106"/>
        <v>245884</v>
      </c>
      <c r="CD321" s="560">
        <f t="shared" si="106"/>
        <v>0</v>
      </c>
      <c r="CE321" s="560">
        <f t="shared" si="106"/>
        <v>4328387</v>
      </c>
      <c r="CF321" s="560">
        <f t="shared" si="106"/>
        <v>1136716</v>
      </c>
      <c r="CG321" s="560">
        <f t="shared" si="106"/>
        <v>74045</v>
      </c>
      <c r="CH321" s="560">
        <f t="shared" si="106"/>
        <v>1164887</v>
      </c>
      <c r="CI321" s="560">
        <f t="shared" si="106"/>
        <v>0</v>
      </c>
      <c r="CJ321" s="560">
        <f t="shared" si="106"/>
        <v>0</v>
      </c>
      <c r="CK321" s="565"/>
      <c r="CL321" s="565"/>
      <c r="CM321" s="565"/>
      <c r="CN321" s="565"/>
      <c r="CO321" s="565"/>
      <c r="CP321" s="565"/>
      <c r="CQ321" s="565"/>
      <c r="CR321" s="565"/>
      <c r="CS321" s="565"/>
      <c r="CT321" s="565"/>
      <c r="CU321" s="565"/>
      <c r="CV321" s="565"/>
      <c r="CW321" s="565"/>
      <c r="CX321" s="565"/>
      <c r="CY321" s="565"/>
      <c r="CZ321" s="565"/>
    </row>
    <row r="322" spans="1:104" s="559" customFormat="1" hidden="1" x14ac:dyDescent="0.3">
      <c r="A322" s="560">
        <f>A60</f>
        <v>338</v>
      </c>
      <c r="B322" s="560" t="str">
        <f t="shared" ref="B322:BM322" si="107">B60</f>
        <v>Gov - Total Liabilities and total deferred inflows</v>
      </c>
      <c r="C322" s="560">
        <f t="shared" si="107"/>
        <v>0</v>
      </c>
      <c r="D322" s="560">
        <f t="shared" si="107"/>
        <v>19865</v>
      </c>
      <c r="E322" s="560">
        <f t="shared" si="107"/>
        <v>839770</v>
      </c>
      <c r="F322" s="560">
        <f t="shared" si="107"/>
        <v>42703</v>
      </c>
      <c r="G322" s="560">
        <f t="shared" si="107"/>
        <v>133724</v>
      </c>
      <c r="H322" s="560">
        <f t="shared" si="107"/>
        <v>0</v>
      </c>
      <c r="I322" s="560">
        <f t="shared" si="107"/>
        <v>20436347</v>
      </c>
      <c r="J322" s="560">
        <f t="shared" si="107"/>
        <v>1340365</v>
      </c>
      <c r="K322" s="560">
        <f t="shared" si="107"/>
        <v>28961291</v>
      </c>
      <c r="L322" s="560">
        <f t="shared" si="107"/>
        <v>1437702</v>
      </c>
      <c r="M322" s="560">
        <f t="shared" si="107"/>
        <v>67135264</v>
      </c>
      <c r="N322" s="560">
        <f t="shared" si="107"/>
        <v>3029395</v>
      </c>
      <c r="O322" s="560">
        <f t="shared" si="107"/>
        <v>551090908</v>
      </c>
      <c r="P322" s="560">
        <f t="shared" si="107"/>
        <v>31539</v>
      </c>
      <c r="Q322" s="560">
        <f t="shared" si="107"/>
        <v>4658</v>
      </c>
      <c r="R322" s="560">
        <f t="shared" si="107"/>
        <v>1890537</v>
      </c>
      <c r="S322" s="560">
        <f t="shared" si="107"/>
        <v>950854</v>
      </c>
      <c r="T322" s="560">
        <f t="shared" si="107"/>
        <v>1370208</v>
      </c>
      <c r="U322" s="560">
        <f t="shared" si="107"/>
        <v>66852</v>
      </c>
      <c r="V322" s="560">
        <f t="shared" si="107"/>
        <v>63484</v>
      </c>
      <c r="W322" s="560">
        <f t="shared" si="107"/>
        <v>1004346</v>
      </c>
      <c r="X322" s="560">
        <f t="shared" si="107"/>
        <v>183414612</v>
      </c>
      <c r="Y322" s="560">
        <f t="shared" si="107"/>
        <v>3820314000</v>
      </c>
      <c r="Z322" s="560">
        <f t="shared" si="107"/>
        <v>8733691</v>
      </c>
      <c r="AA322" s="560">
        <f t="shared" si="107"/>
        <v>292548</v>
      </c>
      <c r="AB322" s="560">
        <f t="shared" si="107"/>
        <v>4764635</v>
      </c>
      <c r="AC322" s="560">
        <f t="shared" si="107"/>
        <v>0</v>
      </c>
      <c r="AD322" s="560">
        <f t="shared" si="107"/>
        <v>2323671</v>
      </c>
      <c r="AE322" s="560">
        <f t="shared" si="107"/>
        <v>192449</v>
      </c>
      <c r="AF322" s="560">
        <f t="shared" si="107"/>
        <v>39549654</v>
      </c>
      <c r="AG322" s="560">
        <f t="shared" si="107"/>
        <v>3755731</v>
      </c>
      <c r="AH322" s="560">
        <f t="shared" si="107"/>
        <v>712899</v>
      </c>
      <c r="AI322" s="560">
        <f t="shared" si="107"/>
        <v>9494778</v>
      </c>
      <c r="AJ322" s="560">
        <f t="shared" si="107"/>
        <v>233953</v>
      </c>
      <c r="AK322" s="560">
        <f t="shared" si="107"/>
        <v>952823</v>
      </c>
      <c r="AL322" s="560">
        <f t="shared" si="107"/>
        <v>144323</v>
      </c>
      <c r="AM322" s="560">
        <f t="shared" si="107"/>
        <v>0</v>
      </c>
      <c r="AN322" s="560">
        <f t="shared" si="107"/>
        <v>796655</v>
      </c>
      <c r="AO322" s="560">
        <f t="shared" si="107"/>
        <v>0</v>
      </c>
      <c r="AP322" s="560">
        <f t="shared" si="107"/>
        <v>1257</v>
      </c>
      <c r="AQ322" s="560">
        <f t="shared" si="107"/>
        <v>129537389</v>
      </c>
      <c r="AR322" s="560">
        <f t="shared" si="107"/>
        <v>0</v>
      </c>
      <c r="AS322" s="560">
        <f t="shared" si="107"/>
        <v>468380</v>
      </c>
      <c r="AT322" s="560">
        <f t="shared" si="107"/>
        <v>9354413</v>
      </c>
      <c r="AU322" s="560">
        <f t="shared" si="107"/>
        <v>400974</v>
      </c>
      <c r="AV322" s="560">
        <f t="shared" si="107"/>
        <v>98288</v>
      </c>
      <c r="AW322" s="560">
        <f t="shared" si="107"/>
        <v>43714066</v>
      </c>
      <c r="AX322" s="560">
        <f t="shared" si="107"/>
        <v>34254</v>
      </c>
      <c r="AY322" s="560">
        <f t="shared" si="107"/>
        <v>8500645</v>
      </c>
      <c r="AZ322" s="560">
        <f t="shared" si="107"/>
        <v>6164356</v>
      </c>
      <c r="BA322" s="560">
        <f t="shared" si="107"/>
        <v>20479</v>
      </c>
      <c r="BB322" s="560">
        <f t="shared" si="107"/>
        <v>3188</v>
      </c>
      <c r="BC322" s="560">
        <f t="shared" si="107"/>
        <v>4604342</v>
      </c>
      <c r="BD322" s="560">
        <f t="shared" si="107"/>
        <v>59203</v>
      </c>
      <c r="BE322" s="560">
        <f t="shared" si="107"/>
        <v>30219850</v>
      </c>
      <c r="BF322" s="560">
        <f t="shared" si="107"/>
        <v>1165653</v>
      </c>
      <c r="BG322" s="560">
        <f t="shared" si="107"/>
        <v>7895</v>
      </c>
      <c r="BH322" s="560">
        <f t="shared" si="107"/>
        <v>137081</v>
      </c>
      <c r="BI322" s="560">
        <f t="shared" si="107"/>
        <v>2246857</v>
      </c>
      <c r="BJ322" s="560">
        <f t="shared" si="107"/>
        <v>103638</v>
      </c>
      <c r="BK322" s="560">
        <f t="shared" si="107"/>
        <v>0</v>
      </c>
      <c r="BL322" s="560">
        <f t="shared" si="107"/>
        <v>3442931</v>
      </c>
      <c r="BM322" s="560">
        <f t="shared" si="107"/>
        <v>270635</v>
      </c>
      <c r="BN322" s="560">
        <f t="shared" ref="BN322:BR322" si="108">BN60</f>
        <v>10554047</v>
      </c>
      <c r="BO322" s="560">
        <f t="shared" si="108"/>
        <v>22512447</v>
      </c>
      <c r="BP322" s="560">
        <f t="shared" si="108"/>
        <v>636162859</v>
      </c>
      <c r="BQ322" s="560">
        <f t="shared" si="108"/>
        <v>34878</v>
      </c>
      <c r="BR322" s="560">
        <f t="shared" si="108"/>
        <v>0</v>
      </c>
      <c r="BS322" s="560">
        <f t="shared" ref="BS322:CJ322" si="109">BS60</f>
        <v>259248</v>
      </c>
      <c r="BT322" s="560">
        <f t="shared" si="109"/>
        <v>0</v>
      </c>
      <c r="BU322" s="560">
        <f t="shared" si="109"/>
        <v>630413</v>
      </c>
      <c r="BV322" s="560">
        <f t="shared" si="109"/>
        <v>27112416</v>
      </c>
      <c r="BW322" s="560">
        <f t="shared" si="109"/>
        <v>8872856</v>
      </c>
      <c r="BX322" s="560">
        <f t="shared" si="109"/>
        <v>33582182</v>
      </c>
      <c r="BY322" s="560">
        <f t="shared" si="109"/>
        <v>8988037</v>
      </c>
      <c r="BZ322" s="560">
        <f t="shared" si="109"/>
        <v>541314</v>
      </c>
      <c r="CA322" s="560">
        <f t="shared" si="109"/>
        <v>2637107</v>
      </c>
      <c r="CB322" s="560">
        <f t="shared" si="109"/>
        <v>278578</v>
      </c>
      <c r="CC322" s="560">
        <f t="shared" si="109"/>
        <v>770121</v>
      </c>
      <c r="CD322" s="560">
        <f t="shared" si="109"/>
        <v>0</v>
      </c>
      <c r="CE322" s="560">
        <f t="shared" si="109"/>
        <v>8202569</v>
      </c>
      <c r="CF322" s="560">
        <f t="shared" si="109"/>
        <v>8242095</v>
      </c>
      <c r="CG322" s="560">
        <f t="shared" si="109"/>
        <v>803534</v>
      </c>
      <c r="CH322" s="560">
        <f t="shared" si="109"/>
        <v>3657540</v>
      </c>
      <c r="CI322" s="560">
        <f t="shared" si="109"/>
        <v>0</v>
      </c>
      <c r="CJ322" s="560">
        <f t="shared" si="109"/>
        <v>0</v>
      </c>
    </row>
    <row r="323" spans="1:104" s="559" customFormat="1" hidden="1" x14ac:dyDescent="0.3">
      <c r="A323" s="564">
        <f>A166</f>
        <v>620</v>
      </c>
      <c r="B323" s="564" t="str">
        <f t="shared" ref="B323:BM323" si="110">B166</f>
        <v>Do you expect to issue debt requiring LGC approval within 12 months from the date that the audit is submitted - select "1" for year and "2" for no</v>
      </c>
      <c r="C323" s="564">
        <f t="shared" si="110"/>
        <v>0</v>
      </c>
      <c r="D323" s="564">
        <f t="shared" si="110"/>
        <v>2</v>
      </c>
      <c r="E323" s="564">
        <f t="shared" si="110"/>
        <v>2</v>
      </c>
      <c r="F323" s="564">
        <f t="shared" si="110"/>
        <v>1</v>
      </c>
      <c r="G323" s="564">
        <f t="shared" si="110"/>
        <v>2</v>
      </c>
      <c r="H323" s="564">
        <f t="shared" si="110"/>
        <v>0</v>
      </c>
      <c r="I323" s="564">
        <f t="shared" si="110"/>
        <v>2</v>
      </c>
      <c r="J323" s="564">
        <f t="shared" si="110"/>
        <v>2</v>
      </c>
      <c r="K323" s="564">
        <f t="shared" si="110"/>
        <v>2</v>
      </c>
      <c r="L323" s="564">
        <f t="shared" si="110"/>
        <v>2</v>
      </c>
      <c r="M323" s="564">
        <f t="shared" si="110"/>
        <v>2</v>
      </c>
      <c r="N323" s="564">
        <f t="shared" si="110"/>
        <v>2</v>
      </c>
      <c r="O323" s="564">
        <f t="shared" si="110"/>
        <v>1</v>
      </c>
      <c r="P323" s="564">
        <f t="shared" si="110"/>
        <v>2</v>
      </c>
      <c r="Q323" s="564">
        <f t="shared" si="110"/>
        <v>2</v>
      </c>
      <c r="R323" s="564">
        <f t="shared" si="110"/>
        <v>2</v>
      </c>
      <c r="S323" s="564">
        <f t="shared" si="110"/>
        <v>2</v>
      </c>
      <c r="T323" s="564">
        <f t="shared" si="110"/>
        <v>2</v>
      </c>
      <c r="U323" s="564">
        <f t="shared" si="110"/>
        <v>2</v>
      </c>
      <c r="V323" s="564">
        <f t="shared" si="110"/>
        <v>2</v>
      </c>
      <c r="W323" s="564">
        <f t="shared" si="110"/>
        <v>2</v>
      </c>
      <c r="X323" s="564">
        <f t="shared" si="110"/>
        <v>1</v>
      </c>
      <c r="Y323" s="564">
        <f t="shared" si="110"/>
        <v>1</v>
      </c>
      <c r="Z323" s="564">
        <f t="shared" si="110"/>
        <v>2</v>
      </c>
      <c r="AA323" s="564">
        <f t="shared" si="110"/>
        <v>2</v>
      </c>
      <c r="AB323" s="564">
        <f t="shared" si="110"/>
        <v>2</v>
      </c>
      <c r="AC323" s="564">
        <f t="shared" si="110"/>
        <v>0</v>
      </c>
      <c r="AD323" s="564">
        <f t="shared" si="110"/>
        <v>1</v>
      </c>
      <c r="AE323" s="564">
        <f t="shared" si="110"/>
        <v>2</v>
      </c>
      <c r="AF323" s="564">
        <f t="shared" si="110"/>
        <v>2</v>
      </c>
      <c r="AG323" s="564">
        <f t="shared" si="110"/>
        <v>2</v>
      </c>
      <c r="AH323" s="564">
        <f t="shared" si="110"/>
        <v>2</v>
      </c>
      <c r="AI323" s="564">
        <f t="shared" si="110"/>
        <v>2</v>
      </c>
      <c r="AJ323" s="564">
        <f t="shared" si="110"/>
        <v>2</v>
      </c>
      <c r="AK323" s="564">
        <f t="shared" si="110"/>
        <v>2</v>
      </c>
      <c r="AL323" s="564">
        <f t="shared" si="110"/>
        <v>2</v>
      </c>
      <c r="AM323" s="564">
        <f t="shared" si="110"/>
        <v>0</v>
      </c>
      <c r="AN323" s="564">
        <f t="shared" si="110"/>
        <v>2</v>
      </c>
      <c r="AO323" s="564">
        <f t="shared" si="110"/>
        <v>0</v>
      </c>
      <c r="AP323" s="564">
        <f t="shared" si="110"/>
        <v>2</v>
      </c>
      <c r="AQ323" s="564">
        <f t="shared" si="110"/>
        <v>1</v>
      </c>
      <c r="AR323" s="564">
        <f t="shared" si="110"/>
        <v>2</v>
      </c>
      <c r="AS323" s="564">
        <f t="shared" si="110"/>
        <v>2</v>
      </c>
      <c r="AT323" s="564">
        <f t="shared" si="110"/>
        <v>2</v>
      </c>
      <c r="AU323" s="564">
        <f t="shared" si="110"/>
        <v>2</v>
      </c>
      <c r="AV323" s="564">
        <f t="shared" si="110"/>
        <v>2</v>
      </c>
      <c r="AW323" s="564">
        <f t="shared" si="110"/>
        <v>1</v>
      </c>
      <c r="AX323" s="564">
        <f t="shared" si="110"/>
        <v>2</v>
      </c>
      <c r="AY323" s="564">
        <f t="shared" si="110"/>
        <v>2</v>
      </c>
      <c r="AZ323" s="564">
        <f t="shared" si="110"/>
        <v>2</v>
      </c>
      <c r="BA323" s="564">
        <f t="shared" si="110"/>
        <v>2</v>
      </c>
      <c r="BB323" s="564">
        <f t="shared" si="110"/>
        <v>2</v>
      </c>
      <c r="BC323" s="564">
        <f t="shared" si="110"/>
        <v>2</v>
      </c>
      <c r="BD323" s="564">
        <f t="shared" si="110"/>
        <v>2</v>
      </c>
      <c r="BE323" s="564">
        <f t="shared" si="110"/>
        <v>1</v>
      </c>
      <c r="BF323" s="564">
        <f t="shared" si="110"/>
        <v>2</v>
      </c>
      <c r="BG323" s="564">
        <f t="shared" si="110"/>
        <v>2</v>
      </c>
      <c r="BH323" s="564">
        <f t="shared" si="110"/>
        <v>2</v>
      </c>
      <c r="BI323" s="564">
        <f t="shared" si="110"/>
        <v>2</v>
      </c>
      <c r="BJ323" s="564">
        <f t="shared" si="110"/>
        <v>2</v>
      </c>
      <c r="BK323" s="564">
        <f t="shared" si="110"/>
        <v>0</v>
      </c>
      <c r="BL323" s="564">
        <f t="shared" si="110"/>
        <v>2</v>
      </c>
      <c r="BM323" s="564">
        <f t="shared" si="110"/>
        <v>2</v>
      </c>
      <c r="BN323" s="564">
        <f t="shared" ref="BN323:BR323" si="111">BN166</f>
        <v>2</v>
      </c>
      <c r="BO323" s="564">
        <f t="shared" si="111"/>
        <v>2</v>
      </c>
      <c r="BP323" s="564">
        <f t="shared" si="111"/>
        <v>1</v>
      </c>
      <c r="BQ323" s="564">
        <f t="shared" si="111"/>
        <v>2</v>
      </c>
      <c r="BR323" s="564">
        <f t="shared" si="111"/>
        <v>0</v>
      </c>
      <c r="BS323" s="564">
        <f t="shared" ref="BS323:CJ323" si="112">BS166</f>
        <v>2</v>
      </c>
      <c r="BT323" s="564">
        <f t="shared" si="112"/>
        <v>0</v>
      </c>
      <c r="BU323" s="564">
        <f t="shared" si="112"/>
        <v>2</v>
      </c>
      <c r="BV323" s="564">
        <f t="shared" si="112"/>
        <v>2</v>
      </c>
      <c r="BW323" s="564">
        <f t="shared" si="112"/>
        <v>1</v>
      </c>
      <c r="BX323" s="564">
        <f t="shared" si="112"/>
        <v>2</v>
      </c>
      <c r="BY323" s="564">
        <f t="shared" si="112"/>
        <v>2</v>
      </c>
      <c r="BZ323" s="564">
        <f t="shared" si="112"/>
        <v>2</v>
      </c>
      <c r="CA323" s="564">
        <f t="shared" si="112"/>
        <v>1</v>
      </c>
      <c r="CB323" s="564">
        <f t="shared" si="112"/>
        <v>2</v>
      </c>
      <c r="CC323" s="564">
        <f t="shared" si="112"/>
        <v>2</v>
      </c>
      <c r="CD323" s="564">
        <f t="shared" si="112"/>
        <v>0</v>
      </c>
      <c r="CE323" s="564">
        <f t="shared" si="112"/>
        <v>2</v>
      </c>
      <c r="CF323" s="564">
        <f t="shared" si="112"/>
        <v>2</v>
      </c>
      <c r="CG323" s="564">
        <f t="shared" si="112"/>
        <v>2</v>
      </c>
      <c r="CH323" s="564">
        <f t="shared" si="112"/>
        <v>2</v>
      </c>
      <c r="CI323" s="564">
        <f t="shared" si="112"/>
        <v>0</v>
      </c>
      <c r="CJ323" s="564">
        <f t="shared" si="112"/>
        <v>0</v>
      </c>
    </row>
    <row r="324" spans="1:104" s="559" customFormat="1" hidden="1" x14ac:dyDescent="0.3">
      <c r="A324" s="155">
        <f>A142</f>
        <v>545</v>
      </c>
      <c r="B324" s="155" t="str">
        <f t="shared" ref="B324:BM324" si="113">B142</f>
        <v>Property Tax Increase for budget year after fiscal year being reported</v>
      </c>
      <c r="C324" s="155">
        <f t="shared" si="113"/>
        <v>0</v>
      </c>
      <c r="D324" s="155">
        <f t="shared" si="113"/>
        <v>0</v>
      </c>
      <c r="E324" s="155">
        <f t="shared" si="113"/>
        <v>0</v>
      </c>
      <c r="F324" s="155">
        <f t="shared" si="113"/>
        <v>0</v>
      </c>
      <c r="G324" s="155">
        <f t="shared" si="113"/>
        <v>0</v>
      </c>
      <c r="H324" s="155">
        <f t="shared" si="113"/>
        <v>0</v>
      </c>
      <c r="I324" s="155">
        <f t="shared" si="113"/>
        <v>0</v>
      </c>
      <c r="J324" s="155">
        <f t="shared" si="113"/>
        <v>0</v>
      </c>
      <c r="K324" s="155">
        <f t="shared" si="113"/>
        <v>0</v>
      </c>
      <c r="L324" s="155">
        <f t="shared" si="113"/>
        <v>0</v>
      </c>
      <c r="M324" s="155">
        <f t="shared" si="113"/>
        <v>0</v>
      </c>
      <c r="N324" s="155">
        <f t="shared" si="113"/>
        <v>0</v>
      </c>
      <c r="O324" s="155">
        <f t="shared" si="113"/>
        <v>0</v>
      </c>
      <c r="P324" s="155">
        <f t="shared" si="113"/>
        <v>0</v>
      </c>
      <c r="Q324" s="155">
        <f t="shared" si="113"/>
        <v>0</v>
      </c>
      <c r="R324" s="155">
        <f t="shared" si="113"/>
        <v>0</v>
      </c>
      <c r="S324" s="155">
        <f t="shared" si="113"/>
        <v>0</v>
      </c>
      <c r="T324" s="155">
        <f t="shared" si="113"/>
        <v>0</v>
      </c>
      <c r="U324" s="155">
        <f t="shared" si="113"/>
        <v>0</v>
      </c>
      <c r="V324" s="155">
        <f t="shared" si="113"/>
        <v>0</v>
      </c>
      <c r="W324" s="155">
        <f t="shared" si="113"/>
        <v>0</v>
      </c>
      <c r="X324" s="155">
        <f t="shared" si="113"/>
        <v>5</v>
      </c>
      <c r="Y324" s="155">
        <f t="shared" si="113"/>
        <v>0</v>
      </c>
      <c r="Z324" s="155">
        <f t="shared" si="113"/>
        <v>0</v>
      </c>
      <c r="AA324" s="155">
        <f t="shared" si="113"/>
        <v>-0.03</v>
      </c>
      <c r="AB324" s="155">
        <f t="shared" si="113"/>
        <v>0</v>
      </c>
      <c r="AC324" s="155">
        <f t="shared" si="113"/>
        <v>0</v>
      </c>
      <c r="AD324" s="155">
        <f t="shared" si="113"/>
        <v>0</v>
      </c>
      <c r="AE324" s="155">
        <f t="shared" si="113"/>
        <v>0</v>
      </c>
      <c r="AF324" s="155">
        <f t="shared" si="113"/>
        <v>0</v>
      </c>
      <c r="AG324" s="155">
        <f t="shared" si="113"/>
        <v>0</v>
      </c>
      <c r="AH324" s="155">
        <f t="shared" si="113"/>
        <v>0</v>
      </c>
      <c r="AI324" s="155">
        <f t="shared" si="113"/>
        <v>0</v>
      </c>
      <c r="AJ324" s="155">
        <f t="shared" si="113"/>
        <v>0</v>
      </c>
      <c r="AK324" s="155">
        <f t="shared" si="113"/>
        <v>0</v>
      </c>
      <c r="AL324" s="155">
        <f t="shared" si="113"/>
        <v>0</v>
      </c>
      <c r="AM324" s="155">
        <f t="shared" si="113"/>
        <v>0</v>
      </c>
      <c r="AN324" s="155">
        <f t="shared" si="113"/>
        <v>0</v>
      </c>
      <c r="AO324" s="155">
        <f t="shared" si="113"/>
        <v>0</v>
      </c>
      <c r="AP324" s="155">
        <f t="shared" si="113"/>
        <v>0</v>
      </c>
      <c r="AQ324" s="155">
        <f t="shared" si="113"/>
        <v>0</v>
      </c>
      <c r="AR324" s="155">
        <f t="shared" si="113"/>
        <v>0</v>
      </c>
      <c r="AS324" s="155">
        <f t="shared" si="113"/>
        <v>0</v>
      </c>
      <c r="AT324" s="155">
        <f t="shared" si="113"/>
        <v>0</v>
      </c>
      <c r="AU324" s="155">
        <f t="shared" si="113"/>
        <v>0</v>
      </c>
      <c r="AV324" s="155">
        <f t="shared" si="113"/>
        <v>0</v>
      </c>
      <c r="AW324" s="155">
        <f t="shared" si="113"/>
        <v>0</v>
      </c>
      <c r="AX324" s="155">
        <f t="shared" si="113"/>
        <v>0</v>
      </c>
      <c r="AY324" s="155">
        <f t="shared" si="113"/>
        <v>0</v>
      </c>
      <c r="AZ324" s="155">
        <f t="shared" si="113"/>
        <v>0</v>
      </c>
      <c r="BA324" s="155">
        <f t="shared" si="113"/>
        <v>0</v>
      </c>
      <c r="BB324" s="155">
        <f t="shared" si="113"/>
        <v>0</v>
      </c>
      <c r="BC324" s="155">
        <f t="shared" si="113"/>
        <v>0</v>
      </c>
      <c r="BD324" s="155">
        <f t="shared" si="113"/>
        <v>0</v>
      </c>
      <c r="BE324" s="155">
        <f t="shared" si="113"/>
        <v>0</v>
      </c>
      <c r="BF324" s="155">
        <f t="shared" si="113"/>
        <v>0</v>
      </c>
      <c r="BG324" s="155">
        <f t="shared" si="113"/>
        <v>0</v>
      </c>
      <c r="BH324" s="155">
        <f t="shared" si="113"/>
        <v>0</v>
      </c>
      <c r="BI324" s="155">
        <f t="shared" si="113"/>
        <v>0</v>
      </c>
      <c r="BJ324" s="155">
        <f t="shared" si="113"/>
        <v>0</v>
      </c>
      <c r="BK324" s="155">
        <f t="shared" si="113"/>
        <v>0</v>
      </c>
      <c r="BL324" s="155">
        <f t="shared" si="113"/>
        <v>0</v>
      </c>
      <c r="BM324" s="155">
        <f t="shared" si="113"/>
        <v>0</v>
      </c>
      <c r="BN324" s="155">
        <f t="shared" ref="BN324:BR324" si="114">BN142</f>
        <v>0</v>
      </c>
      <c r="BO324" s="155">
        <f t="shared" si="114"/>
        <v>0</v>
      </c>
      <c r="BP324" s="155">
        <f t="shared" si="114"/>
        <v>0</v>
      </c>
      <c r="BQ324" s="155">
        <f t="shared" si="114"/>
        <v>0</v>
      </c>
      <c r="BR324" s="155">
        <f t="shared" si="114"/>
        <v>0</v>
      </c>
      <c r="BS324" s="155">
        <f t="shared" ref="BS324:CJ324" si="115">BS142</f>
        <v>0</v>
      </c>
      <c r="BT324" s="155">
        <f t="shared" si="115"/>
        <v>0</v>
      </c>
      <c r="BU324" s="155">
        <f t="shared" si="115"/>
        <v>0</v>
      </c>
      <c r="BV324" s="155">
        <f t="shared" si="115"/>
        <v>0</v>
      </c>
      <c r="BW324" s="155">
        <f t="shared" si="115"/>
        <v>0</v>
      </c>
      <c r="BX324" s="155">
        <f t="shared" si="115"/>
        <v>0</v>
      </c>
      <c r="BY324" s="155">
        <f t="shared" si="115"/>
        <v>0</v>
      </c>
      <c r="BZ324" s="155">
        <f t="shared" si="115"/>
        <v>0</v>
      </c>
      <c r="CA324" s="155">
        <f t="shared" si="115"/>
        <v>0</v>
      </c>
      <c r="CB324" s="155">
        <f t="shared" si="115"/>
        <v>0</v>
      </c>
      <c r="CC324" s="155">
        <f t="shared" si="115"/>
        <v>0</v>
      </c>
      <c r="CD324" s="155">
        <f t="shared" si="115"/>
        <v>0</v>
      </c>
      <c r="CE324" s="155">
        <f t="shared" si="115"/>
        <v>0</v>
      </c>
      <c r="CF324" s="155">
        <f t="shared" si="115"/>
        <v>0</v>
      </c>
      <c r="CG324" s="155">
        <f t="shared" si="115"/>
        <v>0</v>
      </c>
      <c r="CH324" s="155">
        <f t="shared" si="115"/>
        <v>0</v>
      </c>
      <c r="CI324" s="155">
        <f t="shared" si="115"/>
        <v>0</v>
      </c>
      <c r="CJ324" s="155">
        <f t="shared" si="115"/>
        <v>0</v>
      </c>
      <c r="CK324" s="785"/>
      <c r="CL324" s="785"/>
      <c r="CM324" s="785"/>
      <c r="CN324" s="785"/>
      <c r="CO324" s="785"/>
      <c r="CP324" s="785"/>
      <c r="CQ324" s="785"/>
      <c r="CR324" s="785"/>
      <c r="CS324" s="785"/>
      <c r="CT324" s="785"/>
      <c r="CU324" s="785"/>
      <c r="CV324" s="785"/>
      <c r="CW324" s="785"/>
      <c r="CX324" s="785"/>
      <c r="CY324" s="785"/>
      <c r="CZ324" s="785"/>
    </row>
    <row r="325" spans="1:104" s="559" customFormat="1" hidden="1" x14ac:dyDescent="0.3">
      <c r="A325" s="564">
        <f>A169</f>
        <v>624</v>
      </c>
      <c r="B325" s="564" t="str">
        <f t="shared" ref="B325:BM325" si="116">B169</f>
        <v>Does the County collect real estate property taxes on your behalf? Select "1" for "yes and "2" for "No"</v>
      </c>
      <c r="C325" s="564">
        <f t="shared" si="116"/>
        <v>0</v>
      </c>
      <c r="D325" s="564">
        <f t="shared" si="116"/>
        <v>2</v>
      </c>
      <c r="E325" s="564">
        <f t="shared" si="116"/>
        <v>1</v>
      </c>
      <c r="F325" s="564">
        <f t="shared" si="116"/>
        <v>1</v>
      </c>
      <c r="G325" s="564">
        <f t="shared" si="116"/>
        <v>2</v>
      </c>
      <c r="H325" s="564">
        <f t="shared" si="116"/>
        <v>0</v>
      </c>
      <c r="I325" s="564">
        <f t="shared" si="116"/>
        <v>2</v>
      </c>
      <c r="J325" s="564">
        <f t="shared" si="116"/>
        <v>2</v>
      </c>
      <c r="K325" s="564">
        <f t="shared" si="116"/>
        <v>1</v>
      </c>
      <c r="L325" s="564">
        <f t="shared" si="116"/>
        <v>1</v>
      </c>
      <c r="M325" s="564">
        <f t="shared" si="116"/>
        <v>1</v>
      </c>
      <c r="N325" s="564">
        <f t="shared" si="116"/>
        <v>2</v>
      </c>
      <c r="O325" s="564">
        <f t="shared" si="116"/>
        <v>1</v>
      </c>
      <c r="P325" s="564">
        <f t="shared" si="116"/>
        <v>1</v>
      </c>
      <c r="Q325" s="564">
        <f t="shared" si="116"/>
        <v>1</v>
      </c>
      <c r="R325" s="564">
        <f t="shared" si="116"/>
        <v>1</v>
      </c>
      <c r="S325" s="564">
        <f t="shared" si="116"/>
        <v>1</v>
      </c>
      <c r="T325" s="564">
        <f t="shared" si="116"/>
        <v>2</v>
      </c>
      <c r="U325" s="564">
        <f t="shared" si="116"/>
        <v>1</v>
      </c>
      <c r="V325" s="564">
        <f t="shared" si="116"/>
        <v>1</v>
      </c>
      <c r="W325" s="564">
        <f t="shared" si="116"/>
        <v>1</v>
      </c>
      <c r="X325" s="564">
        <f t="shared" si="116"/>
        <v>1</v>
      </c>
      <c r="Y325" s="564">
        <f t="shared" si="116"/>
        <v>1</v>
      </c>
      <c r="Z325" s="564">
        <f t="shared" si="116"/>
        <v>1</v>
      </c>
      <c r="AA325" s="564">
        <f t="shared" si="116"/>
        <v>1</v>
      </c>
      <c r="AB325" s="564">
        <f t="shared" si="116"/>
        <v>2</v>
      </c>
      <c r="AC325" s="564">
        <f t="shared" si="116"/>
        <v>0</v>
      </c>
      <c r="AD325" s="564">
        <f t="shared" si="116"/>
        <v>1</v>
      </c>
      <c r="AE325" s="564">
        <f t="shared" si="116"/>
        <v>2</v>
      </c>
      <c r="AF325" s="564">
        <f t="shared" si="116"/>
        <v>2</v>
      </c>
      <c r="AG325" s="564">
        <f t="shared" si="116"/>
        <v>1</v>
      </c>
      <c r="AH325" s="564">
        <f t="shared" si="116"/>
        <v>1</v>
      </c>
      <c r="AI325" s="564">
        <f t="shared" si="116"/>
        <v>0</v>
      </c>
      <c r="AJ325" s="564">
        <f t="shared" si="116"/>
        <v>2</v>
      </c>
      <c r="AK325" s="564">
        <f t="shared" si="116"/>
        <v>2</v>
      </c>
      <c r="AL325" s="564">
        <f t="shared" si="116"/>
        <v>1</v>
      </c>
      <c r="AM325" s="564">
        <f t="shared" si="116"/>
        <v>0</v>
      </c>
      <c r="AN325" s="564">
        <f t="shared" si="116"/>
        <v>1</v>
      </c>
      <c r="AO325" s="564">
        <f t="shared" si="116"/>
        <v>0</v>
      </c>
      <c r="AP325" s="564">
        <f t="shared" si="116"/>
        <v>1</v>
      </c>
      <c r="AQ325" s="564">
        <f t="shared" si="116"/>
        <v>1</v>
      </c>
      <c r="AR325" s="564">
        <f t="shared" si="116"/>
        <v>1</v>
      </c>
      <c r="AS325" s="564">
        <f t="shared" si="116"/>
        <v>1</v>
      </c>
      <c r="AT325" s="564">
        <f t="shared" si="116"/>
        <v>1</v>
      </c>
      <c r="AU325" s="564">
        <f t="shared" si="116"/>
        <v>2</v>
      </c>
      <c r="AV325" s="564">
        <f t="shared" si="116"/>
        <v>1</v>
      </c>
      <c r="AW325" s="564">
        <f t="shared" si="116"/>
        <v>1</v>
      </c>
      <c r="AX325" s="564">
        <f t="shared" si="116"/>
        <v>1</v>
      </c>
      <c r="AY325" s="564">
        <f t="shared" si="116"/>
        <v>1</v>
      </c>
      <c r="AZ325" s="564">
        <f t="shared" si="116"/>
        <v>1</v>
      </c>
      <c r="BA325" s="564">
        <f t="shared" si="116"/>
        <v>1</v>
      </c>
      <c r="BB325" s="564">
        <f t="shared" si="116"/>
        <v>1</v>
      </c>
      <c r="BC325" s="564">
        <f t="shared" si="116"/>
        <v>1</v>
      </c>
      <c r="BD325" s="564">
        <f t="shared" si="116"/>
        <v>1</v>
      </c>
      <c r="BE325" s="564">
        <f t="shared" si="116"/>
        <v>1</v>
      </c>
      <c r="BF325" s="564">
        <f t="shared" si="116"/>
        <v>2</v>
      </c>
      <c r="BG325" s="564">
        <f t="shared" si="116"/>
        <v>1</v>
      </c>
      <c r="BH325" s="564">
        <f t="shared" si="116"/>
        <v>2</v>
      </c>
      <c r="BI325" s="564">
        <f t="shared" si="116"/>
        <v>1</v>
      </c>
      <c r="BJ325" s="564">
        <f t="shared" si="116"/>
        <v>2</v>
      </c>
      <c r="BK325" s="564">
        <f t="shared" si="116"/>
        <v>0</v>
      </c>
      <c r="BL325" s="564">
        <f t="shared" si="116"/>
        <v>2</v>
      </c>
      <c r="BM325" s="564">
        <f t="shared" si="116"/>
        <v>2</v>
      </c>
      <c r="BN325" s="564">
        <f t="shared" ref="BN325:BR325" si="117">BN169</f>
        <v>1</v>
      </c>
      <c r="BO325" s="564">
        <f t="shared" si="117"/>
        <v>2</v>
      </c>
      <c r="BP325" s="564">
        <f t="shared" si="117"/>
        <v>1</v>
      </c>
      <c r="BQ325" s="564">
        <f t="shared" si="117"/>
        <v>1</v>
      </c>
      <c r="BR325" s="564">
        <f t="shared" si="117"/>
        <v>0</v>
      </c>
      <c r="BS325" s="564">
        <f t="shared" ref="BS325:CJ325" si="118">BS169</f>
        <v>1</v>
      </c>
      <c r="BT325" s="564">
        <f t="shared" si="118"/>
        <v>0</v>
      </c>
      <c r="BU325" s="564">
        <f t="shared" si="118"/>
        <v>2</v>
      </c>
      <c r="BV325" s="564">
        <f t="shared" si="118"/>
        <v>1</v>
      </c>
      <c r="BW325" s="564">
        <f t="shared" si="118"/>
        <v>1</v>
      </c>
      <c r="BX325" s="564">
        <f t="shared" si="118"/>
        <v>1</v>
      </c>
      <c r="BY325" s="564">
        <f t="shared" si="118"/>
        <v>2</v>
      </c>
      <c r="BZ325" s="564">
        <f t="shared" si="118"/>
        <v>1</v>
      </c>
      <c r="CA325" s="564">
        <f t="shared" si="118"/>
        <v>1</v>
      </c>
      <c r="CB325" s="564">
        <f t="shared" si="118"/>
        <v>1</v>
      </c>
      <c r="CC325" s="564">
        <f t="shared" si="118"/>
        <v>1</v>
      </c>
      <c r="CD325" s="564">
        <f t="shared" si="118"/>
        <v>0</v>
      </c>
      <c r="CE325" s="564">
        <f t="shared" si="118"/>
        <v>2</v>
      </c>
      <c r="CF325" s="564">
        <f t="shared" si="118"/>
        <v>2</v>
      </c>
      <c r="CG325" s="564">
        <f t="shared" si="118"/>
        <v>1</v>
      </c>
      <c r="CH325" s="564">
        <f t="shared" si="118"/>
        <v>2</v>
      </c>
      <c r="CI325" s="564">
        <f t="shared" si="118"/>
        <v>0</v>
      </c>
      <c r="CJ325" s="564">
        <f t="shared" si="118"/>
        <v>0</v>
      </c>
    </row>
    <row r="326" spans="1:104" hidden="1" x14ac:dyDescent="0.3">
      <c r="A326" s="564">
        <f>A150</f>
        <v>577</v>
      </c>
      <c r="B326" s="564" t="str">
        <f t="shared" ref="B326:BM326" si="119">B150</f>
        <v>Yes  or "1" indicates unit has defined benefit other than the ones adm. By the state</v>
      </c>
      <c r="C326" s="564">
        <f t="shared" si="119"/>
        <v>0</v>
      </c>
      <c r="D326" s="564">
        <f t="shared" si="119"/>
        <v>0</v>
      </c>
      <c r="E326" s="564">
        <f t="shared" si="119"/>
        <v>2</v>
      </c>
      <c r="F326" s="564">
        <f t="shared" si="119"/>
        <v>2</v>
      </c>
      <c r="G326" s="564">
        <f t="shared" si="119"/>
        <v>2</v>
      </c>
      <c r="H326" s="564">
        <f t="shared" si="119"/>
        <v>0</v>
      </c>
      <c r="I326" s="564">
        <f t="shared" si="119"/>
        <v>2</v>
      </c>
      <c r="J326" s="564">
        <f t="shared" si="119"/>
        <v>2</v>
      </c>
      <c r="K326" s="564">
        <f t="shared" si="119"/>
        <v>2</v>
      </c>
      <c r="L326" s="564">
        <f t="shared" si="119"/>
        <v>2</v>
      </c>
      <c r="M326" s="564">
        <f t="shared" si="119"/>
        <v>1</v>
      </c>
      <c r="N326" s="564">
        <f t="shared" si="119"/>
        <v>2</v>
      </c>
      <c r="O326" s="564">
        <f t="shared" si="119"/>
        <v>2</v>
      </c>
      <c r="P326" s="564">
        <f t="shared" si="119"/>
        <v>2</v>
      </c>
      <c r="Q326" s="564">
        <f t="shared" si="119"/>
        <v>2</v>
      </c>
      <c r="R326" s="564">
        <f t="shared" si="119"/>
        <v>2</v>
      </c>
      <c r="S326" s="564">
        <f t="shared" si="119"/>
        <v>2</v>
      </c>
      <c r="T326" s="564">
        <f t="shared" si="119"/>
        <v>2</v>
      </c>
      <c r="U326" s="564">
        <f t="shared" si="119"/>
        <v>0</v>
      </c>
      <c r="V326" s="564">
        <f t="shared" si="119"/>
        <v>2</v>
      </c>
      <c r="W326" s="564">
        <f t="shared" si="119"/>
        <v>2</v>
      </c>
      <c r="X326" s="564">
        <f t="shared" si="119"/>
        <v>2</v>
      </c>
      <c r="Y326" s="564">
        <f t="shared" si="119"/>
        <v>1</v>
      </c>
      <c r="Z326" s="564">
        <f t="shared" si="119"/>
        <v>2</v>
      </c>
      <c r="AA326" s="564">
        <f t="shared" si="119"/>
        <v>2</v>
      </c>
      <c r="AB326" s="564">
        <f t="shared" si="119"/>
        <v>0</v>
      </c>
      <c r="AC326" s="564">
        <f t="shared" si="119"/>
        <v>0</v>
      </c>
      <c r="AD326" s="564">
        <f t="shared" si="119"/>
        <v>2</v>
      </c>
      <c r="AE326" s="564">
        <f t="shared" si="119"/>
        <v>2</v>
      </c>
      <c r="AF326" s="564">
        <f t="shared" si="119"/>
        <v>2</v>
      </c>
      <c r="AG326" s="564">
        <f t="shared" si="119"/>
        <v>2</v>
      </c>
      <c r="AH326" s="564">
        <f t="shared" si="119"/>
        <v>2</v>
      </c>
      <c r="AI326" s="564">
        <f t="shared" si="119"/>
        <v>2</v>
      </c>
      <c r="AJ326" s="564">
        <f t="shared" si="119"/>
        <v>0</v>
      </c>
      <c r="AK326" s="564">
        <f t="shared" si="119"/>
        <v>2</v>
      </c>
      <c r="AL326" s="564">
        <f t="shared" si="119"/>
        <v>2</v>
      </c>
      <c r="AM326" s="564">
        <f t="shared" si="119"/>
        <v>0</v>
      </c>
      <c r="AN326" s="564">
        <f t="shared" si="119"/>
        <v>2</v>
      </c>
      <c r="AO326" s="564">
        <f t="shared" si="119"/>
        <v>0</v>
      </c>
      <c r="AP326" s="564">
        <f t="shared" si="119"/>
        <v>0</v>
      </c>
      <c r="AQ326" s="564">
        <f t="shared" si="119"/>
        <v>2</v>
      </c>
      <c r="AR326" s="564">
        <f t="shared" si="119"/>
        <v>2</v>
      </c>
      <c r="AS326" s="564">
        <f t="shared" si="119"/>
        <v>0</v>
      </c>
      <c r="AT326" s="564">
        <f t="shared" si="119"/>
        <v>2</v>
      </c>
      <c r="AU326" s="564">
        <f t="shared" si="119"/>
        <v>2</v>
      </c>
      <c r="AV326" s="564">
        <f t="shared" si="119"/>
        <v>2</v>
      </c>
      <c r="AW326" s="564">
        <f t="shared" si="119"/>
        <v>2</v>
      </c>
      <c r="AX326" s="564">
        <f t="shared" si="119"/>
        <v>2</v>
      </c>
      <c r="AY326" s="564">
        <f t="shared" si="119"/>
        <v>2</v>
      </c>
      <c r="AZ326" s="564">
        <f t="shared" si="119"/>
        <v>2</v>
      </c>
      <c r="BA326" s="564">
        <f t="shared" si="119"/>
        <v>2</v>
      </c>
      <c r="BB326" s="564">
        <f t="shared" si="119"/>
        <v>2</v>
      </c>
      <c r="BC326" s="564">
        <f t="shared" si="119"/>
        <v>2</v>
      </c>
      <c r="BD326" s="564">
        <f t="shared" si="119"/>
        <v>0</v>
      </c>
      <c r="BE326" s="564">
        <f t="shared" si="119"/>
        <v>2</v>
      </c>
      <c r="BF326" s="564">
        <f t="shared" si="119"/>
        <v>2</v>
      </c>
      <c r="BG326" s="564">
        <f t="shared" si="119"/>
        <v>0</v>
      </c>
      <c r="BH326" s="564">
        <f t="shared" si="119"/>
        <v>2</v>
      </c>
      <c r="BI326" s="564">
        <f t="shared" si="119"/>
        <v>2</v>
      </c>
      <c r="BJ326" s="564">
        <f t="shared" si="119"/>
        <v>2</v>
      </c>
      <c r="BK326" s="564">
        <f t="shared" si="119"/>
        <v>0</v>
      </c>
      <c r="BL326" s="564">
        <f t="shared" si="119"/>
        <v>2</v>
      </c>
      <c r="BM326" s="564">
        <f t="shared" si="119"/>
        <v>2</v>
      </c>
      <c r="BN326" s="564">
        <f t="shared" ref="BN326:BR326" si="120">BN150</f>
        <v>2</v>
      </c>
      <c r="BO326" s="564">
        <f t="shared" si="120"/>
        <v>2</v>
      </c>
      <c r="BP326" s="564">
        <f t="shared" si="120"/>
        <v>2</v>
      </c>
      <c r="BQ326" s="564">
        <f t="shared" si="120"/>
        <v>0</v>
      </c>
      <c r="BR326" s="564">
        <f t="shared" si="120"/>
        <v>0</v>
      </c>
      <c r="BS326" s="564">
        <f t="shared" ref="BS326:CJ326" si="121">BS150</f>
        <v>2</v>
      </c>
      <c r="BT326" s="564">
        <f t="shared" si="121"/>
        <v>0</v>
      </c>
      <c r="BU326" s="564">
        <f t="shared" si="121"/>
        <v>2</v>
      </c>
      <c r="BV326" s="564">
        <f t="shared" si="121"/>
        <v>0</v>
      </c>
      <c r="BW326" s="564">
        <f t="shared" si="121"/>
        <v>2</v>
      </c>
      <c r="BX326" s="564">
        <f t="shared" si="121"/>
        <v>2</v>
      </c>
      <c r="BY326" s="564">
        <f t="shared" si="121"/>
        <v>2</v>
      </c>
      <c r="BZ326" s="564">
        <f t="shared" si="121"/>
        <v>2</v>
      </c>
      <c r="CA326" s="564">
        <f t="shared" si="121"/>
        <v>2</v>
      </c>
      <c r="CB326" s="564">
        <f t="shared" si="121"/>
        <v>2</v>
      </c>
      <c r="CC326" s="564">
        <f t="shared" si="121"/>
        <v>2</v>
      </c>
      <c r="CD326" s="564">
        <f t="shared" si="121"/>
        <v>0</v>
      </c>
      <c r="CE326" s="564">
        <f t="shared" si="121"/>
        <v>2</v>
      </c>
      <c r="CF326" s="564">
        <f t="shared" si="121"/>
        <v>2</v>
      </c>
      <c r="CG326" s="564">
        <f t="shared" si="121"/>
        <v>2</v>
      </c>
      <c r="CH326" s="564">
        <f t="shared" si="121"/>
        <v>2</v>
      </c>
      <c r="CI326" s="564">
        <f t="shared" si="121"/>
        <v>0</v>
      </c>
      <c r="CJ326" s="564">
        <f t="shared" si="121"/>
        <v>0</v>
      </c>
      <c r="CK326" s="561"/>
      <c r="CL326" s="561"/>
      <c r="CM326" s="561"/>
      <c r="CN326" s="561"/>
      <c r="CO326" s="561"/>
      <c r="CP326" s="561"/>
      <c r="CQ326" s="561"/>
      <c r="CR326" s="561"/>
      <c r="CS326" s="561"/>
      <c r="CT326" s="561"/>
      <c r="CU326" s="561"/>
      <c r="CV326" s="561"/>
      <c r="CW326" s="561"/>
      <c r="CX326" s="561"/>
      <c r="CY326" s="561"/>
      <c r="CZ326" s="561"/>
    </row>
    <row r="327" spans="1:104" hidden="1" x14ac:dyDescent="0.3">
      <c r="A327" s="564">
        <f>A229</f>
        <v>991</v>
      </c>
      <c r="B327" s="564" t="str">
        <f t="shared" ref="B327:BM327" si="122">B229</f>
        <v>The Counties listed in cell H260 are scheduled to revalue property listing by 1/1/2022 according to the Dept. of Revenue records.  Please indicate if you expect your revaluation to increase, decrease, or no change.  If you are not listed please select N/A</v>
      </c>
      <c r="C327" s="564">
        <f t="shared" si="122"/>
        <v>0</v>
      </c>
      <c r="D327" s="564">
        <f t="shared" si="122"/>
        <v>0</v>
      </c>
      <c r="E327" s="564">
        <f t="shared" si="122"/>
        <v>23</v>
      </c>
      <c r="F327" s="564">
        <f t="shared" si="122"/>
        <v>23</v>
      </c>
      <c r="G327" s="564">
        <f t="shared" si="122"/>
        <v>23</v>
      </c>
      <c r="H327" s="564">
        <f t="shared" si="122"/>
        <v>0</v>
      </c>
      <c r="I327" s="564">
        <f t="shared" si="122"/>
        <v>22</v>
      </c>
      <c r="J327" s="564">
        <f t="shared" si="122"/>
        <v>22</v>
      </c>
      <c r="K327" s="564">
        <f t="shared" si="122"/>
        <v>23</v>
      </c>
      <c r="L327" s="564">
        <f t="shared" si="122"/>
        <v>23</v>
      </c>
      <c r="M327" s="564">
        <f t="shared" si="122"/>
        <v>23</v>
      </c>
      <c r="N327" s="564">
        <f t="shared" si="122"/>
        <v>23</v>
      </c>
      <c r="O327" s="564">
        <f t="shared" si="122"/>
        <v>20</v>
      </c>
      <c r="P327" s="564">
        <f t="shared" si="122"/>
        <v>23</v>
      </c>
      <c r="Q327" s="564">
        <f t="shared" si="122"/>
        <v>22</v>
      </c>
      <c r="R327" s="564">
        <f t="shared" si="122"/>
        <v>23</v>
      </c>
      <c r="S327" s="564">
        <f t="shared" si="122"/>
        <v>23</v>
      </c>
      <c r="T327" s="564">
        <f t="shared" si="122"/>
        <v>23</v>
      </c>
      <c r="U327" s="564">
        <f t="shared" si="122"/>
        <v>23</v>
      </c>
      <c r="V327" s="564">
        <f t="shared" si="122"/>
        <v>23</v>
      </c>
      <c r="W327" s="564">
        <f t="shared" si="122"/>
        <v>23</v>
      </c>
      <c r="X327" s="564">
        <f t="shared" si="122"/>
        <v>0</v>
      </c>
      <c r="Y327" s="564">
        <f t="shared" si="122"/>
        <v>23</v>
      </c>
      <c r="Z327" s="564">
        <f t="shared" si="122"/>
        <v>23</v>
      </c>
      <c r="AA327" s="564">
        <f t="shared" si="122"/>
        <v>23</v>
      </c>
      <c r="AB327" s="564">
        <f t="shared" si="122"/>
        <v>23</v>
      </c>
      <c r="AC327" s="564">
        <f t="shared" si="122"/>
        <v>0</v>
      </c>
      <c r="AD327" s="564">
        <f t="shared" si="122"/>
        <v>23</v>
      </c>
      <c r="AE327" s="564">
        <f t="shared" si="122"/>
        <v>23</v>
      </c>
      <c r="AF327" s="564">
        <f t="shared" si="122"/>
        <v>23</v>
      </c>
      <c r="AG327" s="564">
        <f t="shared" si="122"/>
        <v>23</v>
      </c>
      <c r="AH327" s="564">
        <f t="shared" si="122"/>
        <v>23</v>
      </c>
      <c r="AI327" s="564">
        <f t="shared" si="122"/>
        <v>23</v>
      </c>
      <c r="AJ327" s="564">
        <f t="shared" si="122"/>
        <v>0</v>
      </c>
      <c r="AK327" s="564">
        <f t="shared" si="122"/>
        <v>23</v>
      </c>
      <c r="AL327" s="564">
        <f t="shared" si="122"/>
        <v>23</v>
      </c>
      <c r="AM327" s="564">
        <f t="shared" si="122"/>
        <v>0</v>
      </c>
      <c r="AN327" s="564">
        <f t="shared" si="122"/>
        <v>0</v>
      </c>
      <c r="AO327" s="564">
        <f t="shared" si="122"/>
        <v>0</v>
      </c>
      <c r="AP327" s="564">
        <f t="shared" si="122"/>
        <v>0</v>
      </c>
      <c r="AQ327" s="564">
        <f t="shared" si="122"/>
        <v>20</v>
      </c>
      <c r="AR327" s="564">
        <f t="shared" si="122"/>
        <v>20</v>
      </c>
      <c r="AS327" s="564">
        <f t="shared" si="122"/>
        <v>23</v>
      </c>
      <c r="AT327" s="564">
        <f t="shared" si="122"/>
        <v>23</v>
      </c>
      <c r="AU327" s="564">
        <f t="shared" si="122"/>
        <v>20</v>
      </c>
      <c r="AV327" s="564">
        <f t="shared" si="122"/>
        <v>23</v>
      </c>
      <c r="AW327" s="564">
        <f t="shared" si="122"/>
        <v>23</v>
      </c>
      <c r="AX327" s="564">
        <f t="shared" si="122"/>
        <v>23</v>
      </c>
      <c r="AY327" s="564">
        <f t="shared" si="122"/>
        <v>23</v>
      </c>
      <c r="AZ327" s="564">
        <f t="shared" si="122"/>
        <v>20</v>
      </c>
      <c r="BA327" s="564">
        <f t="shared" si="122"/>
        <v>23</v>
      </c>
      <c r="BB327" s="564">
        <f t="shared" si="122"/>
        <v>22</v>
      </c>
      <c r="BC327" s="564">
        <f t="shared" si="122"/>
        <v>23</v>
      </c>
      <c r="BD327" s="564">
        <f t="shared" si="122"/>
        <v>22</v>
      </c>
      <c r="BE327" s="564">
        <f t="shared" si="122"/>
        <v>23</v>
      </c>
      <c r="BF327" s="564">
        <f t="shared" si="122"/>
        <v>23</v>
      </c>
      <c r="BG327" s="564">
        <f t="shared" si="122"/>
        <v>0</v>
      </c>
      <c r="BH327" s="564">
        <f t="shared" si="122"/>
        <v>20</v>
      </c>
      <c r="BI327" s="564">
        <f t="shared" si="122"/>
        <v>23</v>
      </c>
      <c r="BJ327" s="564">
        <f t="shared" si="122"/>
        <v>23</v>
      </c>
      <c r="BK327" s="564">
        <f t="shared" si="122"/>
        <v>0</v>
      </c>
      <c r="BL327" s="564">
        <f t="shared" si="122"/>
        <v>0</v>
      </c>
      <c r="BM327" s="564">
        <f t="shared" si="122"/>
        <v>23</v>
      </c>
      <c r="BN327" s="564">
        <f t="shared" ref="BN327:BR327" si="123">BN229</f>
        <v>23</v>
      </c>
      <c r="BO327" s="564">
        <f t="shared" si="123"/>
        <v>23</v>
      </c>
      <c r="BP327" s="564">
        <f t="shared" si="123"/>
        <v>23</v>
      </c>
      <c r="BQ327" s="564">
        <f t="shared" si="123"/>
        <v>23</v>
      </c>
      <c r="BR327" s="564">
        <f t="shared" si="123"/>
        <v>0</v>
      </c>
      <c r="BS327" s="564">
        <f t="shared" ref="BS327:CJ327" si="124">BS229</f>
        <v>23</v>
      </c>
      <c r="BT327" s="564">
        <f t="shared" si="124"/>
        <v>0</v>
      </c>
      <c r="BU327" s="564">
        <f t="shared" si="124"/>
        <v>23</v>
      </c>
      <c r="BV327" s="564">
        <f t="shared" si="124"/>
        <v>20</v>
      </c>
      <c r="BW327" s="564">
        <f t="shared" si="124"/>
        <v>23</v>
      </c>
      <c r="BX327" s="564">
        <f t="shared" si="124"/>
        <v>23</v>
      </c>
      <c r="BY327" s="564">
        <f t="shared" si="124"/>
        <v>23</v>
      </c>
      <c r="BZ327" s="564">
        <f t="shared" si="124"/>
        <v>22</v>
      </c>
      <c r="CA327" s="564">
        <f t="shared" si="124"/>
        <v>23</v>
      </c>
      <c r="CB327" s="564">
        <f t="shared" si="124"/>
        <v>23</v>
      </c>
      <c r="CC327" s="564">
        <f t="shared" si="124"/>
        <v>20</v>
      </c>
      <c r="CD327" s="564">
        <f t="shared" si="124"/>
        <v>0</v>
      </c>
      <c r="CE327" s="564">
        <f t="shared" si="124"/>
        <v>23</v>
      </c>
      <c r="CF327" s="564">
        <f t="shared" si="124"/>
        <v>20</v>
      </c>
      <c r="CG327" s="564">
        <f t="shared" si="124"/>
        <v>22</v>
      </c>
      <c r="CH327" s="564">
        <f t="shared" si="124"/>
        <v>23</v>
      </c>
      <c r="CI327" s="564">
        <f t="shared" si="124"/>
        <v>0</v>
      </c>
      <c r="CJ327" s="564">
        <f t="shared" si="124"/>
        <v>0</v>
      </c>
      <c r="CK327" s="561"/>
      <c r="CL327" s="561"/>
      <c r="CM327" s="561"/>
      <c r="CN327" s="561"/>
      <c r="CO327" s="561"/>
      <c r="CP327" s="561"/>
      <c r="CQ327" s="561"/>
      <c r="CR327" s="561"/>
      <c r="CS327" s="561"/>
      <c r="CT327" s="561"/>
      <c r="CU327" s="561"/>
      <c r="CV327" s="561"/>
      <c r="CW327" s="561"/>
      <c r="CX327" s="561"/>
      <c r="CY327" s="561"/>
      <c r="CZ327" s="561"/>
    </row>
    <row r="328" spans="1:104" hidden="1" x14ac:dyDescent="0.3">
      <c r="A328" s="558" t="s">
        <v>982</v>
      </c>
      <c r="B328" s="180"/>
      <c r="C328" s="180"/>
      <c r="D328" s="570">
        <f>SUM(D285:D327)</f>
        <v>5721742.0099999998</v>
      </c>
      <c r="E328" s="570">
        <f>SUM(E285:E327)</f>
        <v>8307878</v>
      </c>
      <c r="F328" s="570">
        <f t="shared" ref="F328:BQ328" si="125">SUM(F285:F327)</f>
        <v>2696540.01</v>
      </c>
      <c r="G328" s="570">
        <f t="shared" si="125"/>
        <v>1582139.01</v>
      </c>
      <c r="H328" s="570">
        <f t="shared" si="125"/>
        <v>50112.01</v>
      </c>
      <c r="I328" s="570">
        <f t="shared" si="125"/>
        <v>79048423.00999999</v>
      </c>
      <c r="J328" s="570">
        <f t="shared" si="125"/>
        <v>7971313</v>
      </c>
      <c r="K328" s="570">
        <f t="shared" si="125"/>
        <v>112854313.00999999</v>
      </c>
      <c r="L328" s="570">
        <f t="shared" si="125"/>
        <v>13717352</v>
      </c>
      <c r="M328" s="570">
        <f t="shared" si="125"/>
        <v>206960524</v>
      </c>
      <c r="N328" s="570">
        <f t="shared" si="125"/>
        <v>20322233.009999998</v>
      </c>
      <c r="O328" s="570">
        <f t="shared" si="125"/>
        <v>2549662906.0100002</v>
      </c>
      <c r="P328" s="570">
        <f t="shared" si="125"/>
        <v>319397</v>
      </c>
      <c r="Q328" s="570">
        <f t="shared" si="125"/>
        <v>1135630</v>
      </c>
      <c r="R328" s="570">
        <f t="shared" si="125"/>
        <v>18319075</v>
      </c>
      <c r="S328" s="570">
        <f t="shared" si="125"/>
        <v>5082792</v>
      </c>
      <c r="T328" s="570">
        <f t="shared" si="125"/>
        <v>8587396</v>
      </c>
      <c r="U328" s="570">
        <f t="shared" si="125"/>
        <v>1100617</v>
      </c>
      <c r="V328" s="570">
        <f t="shared" si="125"/>
        <v>1683664.01</v>
      </c>
      <c r="W328" s="570">
        <f t="shared" si="125"/>
        <v>10052400.01</v>
      </c>
      <c r="X328" s="570">
        <f t="shared" si="125"/>
        <v>531905469</v>
      </c>
      <c r="Y328" s="570">
        <f t="shared" si="125"/>
        <v>15104198582.01</v>
      </c>
      <c r="Z328" s="570">
        <f t="shared" si="125"/>
        <v>34780303.079999998</v>
      </c>
      <c r="AA328" s="570">
        <f t="shared" si="125"/>
        <v>3669467.98</v>
      </c>
      <c r="AB328" s="570">
        <f t="shared" si="125"/>
        <v>17385277</v>
      </c>
      <c r="AC328" s="570">
        <f t="shared" si="125"/>
        <v>50128.01</v>
      </c>
      <c r="AD328" s="570">
        <f t="shared" si="125"/>
        <v>33363319.009999998</v>
      </c>
      <c r="AE328" s="570">
        <f t="shared" si="125"/>
        <v>5436150.0099999998</v>
      </c>
      <c r="AF328" s="570">
        <f t="shared" si="125"/>
        <v>268547623.09000003</v>
      </c>
      <c r="AG328" s="570">
        <f t="shared" si="125"/>
        <v>83257142</v>
      </c>
      <c r="AH328" s="570">
        <f t="shared" si="125"/>
        <v>9742462.0099999998</v>
      </c>
      <c r="AI328" s="570">
        <f t="shared" si="125"/>
        <v>44081155.009999998</v>
      </c>
      <c r="AJ328" s="570">
        <f t="shared" si="125"/>
        <v>5245300.01</v>
      </c>
      <c r="AK328" s="570">
        <f t="shared" si="125"/>
        <v>6495656.0099999998</v>
      </c>
      <c r="AL328" s="570">
        <f t="shared" si="125"/>
        <v>3108341.01</v>
      </c>
      <c r="AM328" s="570">
        <f t="shared" si="125"/>
        <v>50136.01</v>
      </c>
      <c r="AN328" s="570">
        <f t="shared" si="125"/>
        <v>5951063.0099999998</v>
      </c>
      <c r="AO328" s="570">
        <f t="shared" si="125"/>
        <v>50138.01</v>
      </c>
      <c r="AP328" s="570">
        <f t="shared" si="125"/>
        <v>180283</v>
      </c>
      <c r="AQ328" s="570">
        <f t="shared" si="125"/>
        <v>1217669351.0900002</v>
      </c>
      <c r="AR328" s="570">
        <f t="shared" si="125"/>
        <v>604919</v>
      </c>
      <c r="AS328" s="570">
        <f t="shared" si="125"/>
        <v>5579627.0099999998</v>
      </c>
      <c r="AT328" s="570">
        <f t="shared" si="125"/>
        <v>104949558.00999999</v>
      </c>
      <c r="AU328" s="570">
        <f t="shared" si="125"/>
        <v>3608658.01</v>
      </c>
      <c r="AV328" s="570">
        <f t="shared" si="125"/>
        <v>2610647</v>
      </c>
      <c r="AW328" s="570">
        <f t="shared" si="125"/>
        <v>242080467.06999999</v>
      </c>
      <c r="AX328" s="570">
        <f t="shared" si="125"/>
        <v>1096531.01</v>
      </c>
      <c r="AY328" s="570">
        <f t="shared" si="125"/>
        <v>30887262</v>
      </c>
      <c r="AZ328" s="570">
        <f t="shared" si="125"/>
        <v>43404023</v>
      </c>
      <c r="BA328" s="570">
        <f t="shared" si="125"/>
        <v>1223847.01</v>
      </c>
      <c r="BB328" s="570">
        <f t="shared" si="125"/>
        <v>758613.01</v>
      </c>
      <c r="BC328" s="570">
        <f t="shared" si="125"/>
        <v>34171547.100000001</v>
      </c>
      <c r="BD328" s="570">
        <f t="shared" si="125"/>
        <v>721284</v>
      </c>
      <c r="BE328" s="570">
        <f t="shared" si="125"/>
        <v>126378774</v>
      </c>
      <c r="BF328" s="570">
        <f t="shared" si="125"/>
        <v>8685686.0099999998</v>
      </c>
      <c r="BG328" s="570">
        <f t="shared" si="125"/>
        <v>2040435</v>
      </c>
      <c r="BH328" s="570">
        <f t="shared" si="125"/>
        <v>1578695</v>
      </c>
      <c r="BI328" s="570">
        <f t="shared" si="125"/>
        <v>10382211.01</v>
      </c>
      <c r="BJ328" s="570">
        <f t="shared" si="125"/>
        <v>4427917</v>
      </c>
      <c r="BK328" s="570">
        <f t="shared" si="125"/>
        <v>50156.01</v>
      </c>
      <c r="BL328" s="570">
        <f t="shared" si="125"/>
        <v>22465952.079999998</v>
      </c>
      <c r="BM328" s="570">
        <f t="shared" si="125"/>
        <v>2913867.01</v>
      </c>
      <c r="BN328" s="570">
        <f t="shared" si="125"/>
        <v>67888199</v>
      </c>
      <c r="BO328" s="570">
        <f t="shared" si="125"/>
        <v>91041079.00999999</v>
      </c>
      <c r="BP328" s="570">
        <f t="shared" si="125"/>
        <v>2648219029.0100002</v>
      </c>
      <c r="BQ328" s="570">
        <f t="shared" si="125"/>
        <v>349333</v>
      </c>
      <c r="BR328" s="570">
        <f t="shared" ref="BR328:CJ328" si="126">SUM(BR285:BR327)</f>
        <v>50511.01</v>
      </c>
      <c r="BS328" s="570">
        <f t="shared" si="126"/>
        <v>3373370.01</v>
      </c>
      <c r="BT328" s="570">
        <f t="shared" si="126"/>
        <v>50163.01</v>
      </c>
      <c r="BU328" s="570">
        <f t="shared" si="126"/>
        <v>13360321</v>
      </c>
      <c r="BV328" s="570">
        <f t="shared" si="126"/>
        <v>115408928.00999999</v>
      </c>
      <c r="BW328" s="570">
        <f t="shared" si="126"/>
        <v>36870219.090000004</v>
      </c>
      <c r="BX328" s="570">
        <f t="shared" si="126"/>
        <v>140118906.09</v>
      </c>
      <c r="BY328" s="570">
        <f t="shared" si="126"/>
        <v>47716343.009999998</v>
      </c>
      <c r="BZ328" s="570">
        <f t="shared" si="126"/>
        <v>2652467.0099999998</v>
      </c>
      <c r="CA328" s="570">
        <f t="shared" si="126"/>
        <v>27363049.009999998</v>
      </c>
      <c r="CB328" s="570">
        <f t="shared" si="126"/>
        <v>3439996.01</v>
      </c>
      <c r="CC328" s="570">
        <f t="shared" si="126"/>
        <v>4042143.01</v>
      </c>
      <c r="CD328" s="570">
        <f t="shared" si="126"/>
        <v>50172.01</v>
      </c>
      <c r="CE328" s="570">
        <f t="shared" si="126"/>
        <v>49552171.009999998</v>
      </c>
      <c r="CF328" s="570">
        <f t="shared" si="126"/>
        <v>54224589</v>
      </c>
      <c r="CG328" s="570">
        <f t="shared" si="126"/>
        <v>25727506.100000001</v>
      </c>
      <c r="CH328" s="570">
        <f t="shared" si="126"/>
        <v>21098012</v>
      </c>
      <c r="CI328" s="570">
        <f t="shared" si="126"/>
        <v>50177.01</v>
      </c>
      <c r="CJ328" s="570">
        <f t="shared" si="126"/>
        <v>50178.01</v>
      </c>
      <c r="CK328" s="570"/>
      <c r="CL328" s="570"/>
      <c r="CM328" s="570"/>
      <c r="CN328" s="570"/>
      <c r="CO328" s="570"/>
      <c r="CP328" s="570"/>
      <c r="CQ328" s="570"/>
      <c r="CR328" s="570"/>
      <c r="CS328" s="570"/>
      <c r="CT328" s="570"/>
      <c r="CU328" s="570"/>
      <c r="CV328" s="570"/>
      <c r="CW328" s="570"/>
      <c r="CX328" s="570"/>
      <c r="CY328" s="570"/>
      <c r="CZ328" s="570"/>
    </row>
    <row r="329" spans="1:104" hidden="1" x14ac:dyDescent="0.3">
      <c r="A329" s="558"/>
      <c r="B329" s="180"/>
      <c r="C329" s="180"/>
      <c r="D329" s="570">
        <f>D259-D328</f>
        <v>52646666</v>
      </c>
      <c r="E329" s="570">
        <f t="shared" ref="E329:BP329" si="127">E259-E328</f>
        <v>39964802.287500001</v>
      </c>
      <c r="F329" s="570">
        <f t="shared" si="127"/>
        <v>32829465.130000003</v>
      </c>
      <c r="G329" s="570">
        <f t="shared" si="127"/>
        <v>11482282.6</v>
      </c>
      <c r="H329" s="570">
        <f t="shared" si="127"/>
        <v>0</v>
      </c>
      <c r="I329" s="570">
        <f t="shared" si="127"/>
        <v>261183119.29000002</v>
      </c>
      <c r="J329" s="570">
        <f t="shared" si="127"/>
        <v>40423465.222499996</v>
      </c>
      <c r="K329" s="570">
        <f t="shared" si="127"/>
        <v>621639220.09500003</v>
      </c>
      <c r="L329" s="570">
        <f t="shared" si="127"/>
        <v>87906980.271599993</v>
      </c>
      <c r="M329" s="570">
        <f t="shared" si="127"/>
        <v>486189026.55439997</v>
      </c>
      <c r="N329" s="570">
        <f t="shared" si="127"/>
        <v>179612240.655</v>
      </c>
      <c r="O329" s="570">
        <f t="shared" si="127"/>
        <v>11590761680.955</v>
      </c>
      <c r="P329" s="570">
        <f t="shared" si="127"/>
        <v>1248361.82</v>
      </c>
      <c r="Q329" s="570">
        <f t="shared" si="127"/>
        <v>4859755.22</v>
      </c>
      <c r="R329" s="570">
        <f t="shared" si="127"/>
        <v>40982586.979999997</v>
      </c>
      <c r="S329" s="570">
        <f t="shared" si="127"/>
        <v>20200197.879999999</v>
      </c>
      <c r="T329" s="570">
        <f t="shared" si="127"/>
        <v>26306889.092500001</v>
      </c>
      <c r="U329" s="570">
        <f t="shared" si="127"/>
        <v>5810424.1399999997</v>
      </c>
      <c r="V329" s="570">
        <f t="shared" si="127"/>
        <v>16141610.65</v>
      </c>
      <c r="W329" s="570">
        <f t="shared" si="127"/>
        <v>106085006.45999999</v>
      </c>
      <c r="X329" s="570">
        <f t="shared" si="127"/>
        <v>1562941875.362</v>
      </c>
      <c r="Y329" s="570">
        <f t="shared" si="127"/>
        <v>57089060405.779991</v>
      </c>
      <c r="Z329" s="570">
        <f t="shared" si="127"/>
        <v>274000595.06</v>
      </c>
      <c r="AA329" s="570">
        <f t="shared" si="127"/>
        <v>24386785.300000001</v>
      </c>
      <c r="AB329" s="570">
        <f t="shared" si="127"/>
        <v>85047209.459999993</v>
      </c>
      <c r="AC329" s="570">
        <f t="shared" si="127"/>
        <v>0</v>
      </c>
      <c r="AD329" s="570">
        <f t="shared" si="127"/>
        <v>192052314.13</v>
      </c>
      <c r="AE329" s="570">
        <f t="shared" si="127"/>
        <v>56128436.649999999</v>
      </c>
      <c r="AF329" s="570">
        <f t="shared" si="127"/>
        <v>2380581039.54</v>
      </c>
      <c r="AG329" s="570">
        <f t="shared" si="127"/>
        <v>298212076.5</v>
      </c>
      <c r="AH329" s="570">
        <f t="shared" si="127"/>
        <v>72541952.140000001</v>
      </c>
      <c r="AI329" s="570">
        <f t="shared" si="127"/>
        <v>392406566.50999999</v>
      </c>
      <c r="AJ329" s="570">
        <f t="shared" si="127"/>
        <v>52566510.350000001</v>
      </c>
      <c r="AK329" s="570">
        <f t="shared" si="127"/>
        <v>48097808.770000003</v>
      </c>
      <c r="AL329" s="570">
        <f t="shared" si="127"/>
        <v>26890292.950000003</v>
      </c>
      <c r="AM329" s="570">
        <f t="shared" si="127"/>
        <v>0</v>
      </c>
      <c r="AN329" s="570">
        <f t="shared" si="127"/>
        <v>82144395.670000002</v>
      </c>
      <c r="AO329" s="570">
        <f t="shared" si="127"/>
        <v>0</v>
      </c>
      <c r="AP329" s="570">
        <f t="shared" si="127"/>
        <v>973270.78</v>
      </c>
      <c r="AQ329" s="570">
        <f t="shared" si="127"/>
        <v>7583305658.1399994</v>
      </c>
      <c r="AR329" s="570">
        <f t="shared" si="127"/>
        <v>4235890.17</v>
      </c>
      <c r="AS329" s="570">
        <f t="shared" si="127"/>
        <v>33981967.109999999</v>
      </c>
      <c r="AT329" s="570">
        <f t="shared" si="127"/>
        <v>561448161.54999995</v>
      </c>
      <c r="AU329" s="570">
        <f t="shared" si="127"/>
        <v>37563090.260000005</v>
      </c>
      <c r="AV329" s="570">
        <f t="shared" si="127"/>
        <v>13520754.49</v>
      </c>
      <c r="AW329" s="570">
        <f t="shared" si="127"/>
        <v>887581198.40199995</v>
      </c>
      <c r="AX329" s="570">
        <f t="shared" si="127"/>
        <v>26544314.889999997</v>
      </c>
      <c r="AY329" s="570">
        <f t="shared" si="127"/>
        <v>117133997.69499999</v>
      </c>
      <c r="AZ329" s="570">
        <f t="shared" si="127"/>
        <v>149218591.38499999</v>
      </c>
      <c r="BA329" s="570">
        <f t="shared" si="127"/>
        <v>32558100.309999999</v>
      </c>
      <c r="BB329" s="570">
        <f t="shared" si="127"/>
        <v>11273180.050000001</v>
      </c>
      <c r="BC329" s="570">
        <f t="shared" si="127"/>
        <v>276300497.66999996</v>
      </c>
      <c r="BD329" s="570">
        <f t="shared" si="127"/>
        <v>2606951.65</v>
      </c>
      <c r="BE329" s="570">
        <f t="shared" si="127"/>
        <v>358006032.96499997</v>
      </c>
      <c r="BF329" s="570">
        <f t="shared" si="127"/>
        <v>112431620.00999999</v>
      </c>
      <c r="BG329" s="570">
        <f t="shared" si="127"/>
        <v>9708376.2899999991</v>
      </c>
      <c r="BH329" s="570">
        <f t="shared" si="127"/>
        <v>8763762.8499999996</v>
      </c>
      <c r="BI329" s="570">
        <f t="shared" si="127"/>
        <v>114962779.95999999</v>
      </c>
      <c r="BJ329" s="570">
        <f t="shared" si="127"/>
        <v>25521032</v>
      </c>
      <c r="BK329" s="570">
        <f t="shared" si="127"/>
        <v>0</v>
      </c>
      <c r="BL329" s="570">
        <f t="shared" si="127"/>
        <v>97867945.140000001</v>
      </c>
      <c r="BM329" s="570">
        <f t="shared" si="127"/>
        <v>27823440.399999999</v>
      </c>
      <c r="BN329" s="570">
        <f t="shared" si="127"/>
        <v>230909626.92000002</v>
      </c>
      <c r="BO329" s="570">
        <f t="shared" si="127"/>
        <v>465034501.35000002</v>
      </c>
      <c r="BP329" s="570">
        <f t="shared" si="127"/>
        <v>12789997445.5277</v>
      </c>
      <c r="BQ329" s="570">
        <f t="shared" ref="BQ329:CJ329" si="128">BQ259-BQ328</f>
        <v>1483154.24</v>
      </c>
      <c r="BR329" s="570">
        <f t="shared" si="128"/>
        <v>0</v>
      </c>
      <c r="BS329" s="570">
        <f t="shared" si="128"/>
        <v>22031959.410000004</v>
      </c>
      <c r="BT329" s="570">
        <f t="shared" si="128"/>
        <v>0</v>
      </c>
      <c r="BU329" s="570">
        <f t="shared" si="128"/>
        <v>75877733.549999997</v>
      </c>
      <c r="BV329" s="570">
        <f t="shared" si="128"/>
        <v>726832812.94000006</v>
      </c>
      <c r="BW329" s="570">
        <f t="shared" si="128"/>
        <v>287051714.55999994</v>
      </c>
      <c r="BX329" s="570">
        <f t="shared" si="128"/>
        <v>1109650840.8700001</v>
      </c>
      <c r="BY329" s="570">
        <f t="shared" si="128"/>
        <v>238918974.46500003</v>
      </c>
      <c r="BZ329" s="570">
        <f t="shared" si="128"/>
        <v>24426297.899999999</v>
      </c>
      <c r="CA329" s="570">
        <f t="shared" si="128"/>
        <v>189954384.00550002</v>
      </c>
      <c r="CB329" s="570">
        <f t="shared" si="128"/>
        <v>33359868.719999999</v>
      </c>
      <c r="CC329" s="570">
        <f t="shared" si="128"/>
        <v>49587364.93</v>
      </c>
      <c r="CD329" s="570">
        <f t="shared" si="128"/>
        <v>0</v>
      </c>
      <c r="CE329" s="570">
        <f t="shared" si="128"/>
        <v>249401509.40000004</v>
      </c>
      <c r="CF329" s="570">
        <f t="shared" si="128"/>
        <v>179239097.405</v>
      </c>
      <c r="CG329" s="570">
        <f t="shared" si="128"/>
        <v>162454648.83700001</v>
      </c>
      <c r="CH329" s="570">
        <f t="shared" si="128"/>
        <v>81437482.209999993</v>
      </c>
      <c r="CI329" s="570">
        <f t="shared" si="128"/>
        <v>0</v>
      </c>
      <c r="CJ329" s="570">
        <f t="shared" si="128"/>
        <v>0</v>
      </c>
      <c r="CK329" s="570"/>
      <c r="CL329" s="570"/>
      <c r="CM329" s="570"/>
      <c r="CN329" s="570"/>
      <c r="CO329" s="570"/>
      <c r="CP329" s="570"/>
      <c r="CQ329" s="570"/>
      <c r="CR329" s="570"/>
      <c r="CS329" s="570"/>
      <c r="CT329" s="570"/>
      <c r="CU329" s="570"/>
      <c r="CV329" s="570"/>
      <c r="CW329" s="570"/>
      <c r="CX329" s="570"/>
      <c r="CY329" s="570"/>
      <c r="CZ329" s="570"/>
    </row>
    <row r="330" spans="1:104" hidden="1" x14ac:dyDescent="0.3">
      <c r="A330" s="558" t="s">
        <v>1669</v>
      </c>
      <c r="F330" s="180"/>
      <c r="G330" s="180"/>
      <c r="H330" s="180"/>
      <c r="I330" s="180"/>
      <c r="J330" s="180"/>
      <c r="K330" s="180"/>
      <c r="L330" s="180"/>
      <c r="M330" s="180"/>
      <c r="N330" s="180"/>
      <c r="O330" s="180"/>
      <c r="P330" s="180"/>
      <c r="Q330" s="180"/>
      <c r="R330" s="180"/>
      <c r="S330" s="180"/>
      <c r="T330" s="180"/>
      <c r="U330" s="180"/>
      <c r="V330" s="180"/>
      <c r="W330" s="180"/>
      <c r="X330" s="180"/>
      <c r="Y330" s="180"/>
      <c r="Z330" s="180"/>
      <c r="AA330" s="180"/>
      <c r="AB330" s="180"/>
      <c r="AC330" s="180"/>
      <c r="AD330" s="180"/>
      <c r="AE330" s="180"/>
      <c r="AF330" s="180"/>
      <c r="AG330" s="180"/>
      <c r="AH330" s="180"/>
      <c r="AI330" s="180"/>
      <c r="AJ330" s="180"/>
      <c r="AK330" s="180"/>
      <c r="AL330" s="180"/>
      <c r="AM330" s="180"/>
      <c r="AN330" s="180"/>
      <c r="AO330" s="180"/>
      <c r="AP330" s="180"/>
      <c r="AQ330" s="180"/>
      <c r="AR330" s="180"/>
      <c r="AS330" s="180"/>
      <c r="AT330" s="180"/>
      <c r="AU330" s="180"/>
      <c r="AV330" s="180"/>
      <c r="AW330" s="180"/>
      <c r="AX330" s="180"/>
      <c r="AY330" s="180"/>
      <c r="AZ330" s="180"/>
      <c r="BA330" s="180"/>
      <c r="BB330" s="180"/>
      <c r="BC330" s="180"/>
      <c r="BD330" s="180"/>
      <c r="BE330" s="180"/>
      <c r="BF330" s="180"/>
      <c r="BG330" s="180"/>
      <c r="BH330" s="180"/>
      <c r="BI330" s="180"/>
      <c r="BJ330" s="180"/>
      <c r="BK330" s="180"/>
      <c r="BL330" s="180"/>
      <c r="BM330" s="180"/>
      <c r="BN330" s="180"/>
      <c r="BO330" s="180"/>
      <c r="BP330" s="180"/>
      <c r="BQ330" s="180"/>
      <c r="BR330" s="180"/>
    </row>
    <row r="331" spans="1:104" hidden="1" x14ac:dyDescent="0.3">
      <c r="A331" s="558"/>
      <c r="E331" s="180"/>
      <c r="F331" s="180"/>
      <c r="G331" s="180"/>
      <c r="H331" s="180"/>
      <c r="I331" s="180"/>
      <c r="J331" s="180"/>
      <c r="K331" s="180"/>
      <c r="L331" s="180"/>
      <c r="M331" s="180"/>
      <c r="N331" s="180"/>
      <c r="O331" s="180"/>
      <c r="P331" s="180"/>
      <c r="Q331" s="180"/>
      <c r="R331" s="180"/>
      <c r="S331" s="180"/>
      <c r="T331" s="180"/>
      <c r="U331" s="180"/>
      <c r="V331" s="180"/>
      <c r="W331" s="180"/>
      <c r="X331" s="180"/>
      <c r="Y331" s="180"/>
      <c r="Z331" s="180"/>
      <c r="AA331" s="180"/>
      <c r="AB331" s="180"/>
      <c r="AC331" s="180"/>
      <c r="AD331" s="180"/>
      <c r="AE331" s="180"/>
      <c r="AF331" s="180"/>
      <c r="AG331" s="180"/>
      <c r="AH331" s="180"/>
      <c r="AI331" s="180"/>
      <c r="AJ331" s="180"/>
      <c r="AK331" s="180"/>
      <c r="AL331" s="180"/>
      <c r="AM331" s="180"/>
      <c r="AN331" s="180"/>
      <c r="AO331" s="180"/>
      <c r="AP331" s="180"/>
      <c r="AQ331" s="180"/>
      <c r="AR331" s="180"/>
      <c r="AS331" s="180"/>
      <c r="AT331" s="180"/>
      <c r="AU331" s="180"/>
      <c r="AV331" s="180"/>
      <c r="AW331" s="180"/>
      <c r="AX331" s="180"/>
      <c r="AY331" s="180"/>
      <c r="AZ331" s="180"/>
      <c r="BA331" s="180"/>
      <c r="BB331" s="180"/>
      <c r="BC331" s="180"/>
      <c r="BD331" s="180"/>
      <c r="BE331" s="180"/>
      <c r="BF331" s="180"/>
      <c r="BG331" s="180"/>
      <c r="BH331" s="180"/>
      <c r="BI331" s="180"/>
      <c r="BJ331" s="180"/>
      <c r="BK331" s="180"/>
      <c r="BL331" s="180"/>
      <c r="BM331" s="180"/>
      <c r="BN331" s="180"/>
      <c r="BO331" s="180"/>
      <c r="BP331" s="180"/>
      <c r="BQ331" s="180"/>
      <c r="BR331" s="180"/>
      <c r="BS331" s="180"/>
      <c r="BT331" s="180"/>
      <c r="BU331" s="180"/>
      <c r="BV331" s="180"/>
      <c r="BW331" s="180"/>
      <c r="BX331" s="180"/>
      <c r="BY331" s="180"/>
      <c r="BZ331" s="180"/>
      <c r="CA331" s="180"/>
      <c r="CB331" s="180"/>
      <c r="CC331" s="180"/>
      <c r="CD331" s="180"/>
      <c r="CE331" s="180"/>
      <c r="CF331" s="180"/>
      <c r="CG331" s="180"/>
      <c r="CH331" s="180"/>
      <c r="CI331" s="180"/>
      <c r="CJ331" s="180"/>
      <c r="CK331" s="180"/>
      <c r="CL331" s="180"/>
      <c r="CM331" s="180"/>
      <c r="CN331" s="180"/>
      <c r="CO331" s="180"/>
      <c r="CP331" s="180"/>
      <c r="CQ331" s="180"/>
      <c r="CR331" s="180"/>
      <c r="CS331" s="180"/>
      <c r="CT331" s="180"/>
      <c r="CU331" s="180"/>
      <c r="CV331" s="180"/>
      <c r="CW331" s="180"/>
      <c r="CX331" s="180"/>
      <c r="CY331" s="180"/>
      <c r="CZ331" s="180"/>
    </row>
    <row r="332" spans="1:104" hidden="1" x14ac:dyDescent="0.3">
      <c r="A332" s="560">
        <f>A260</f>
        <v>9001</v>
      </c>
      <c r="B332" s="560">
        <v>385</v>
      </c>
      <c r="D332">
        <f>D260</f>
        <v>4269742</v>
      </c>
      <c r="E332" s="180">
        <f t="shared" ref="E332:BP333" si="129">E260</f>
        <v>6184574</v>
      </c>
      <c r="F332" s="180">
        <f t="shared" si="129"/>
        <v>1265891</v>
      </c>
      <c r="G332" s="180">
        <f t="shared" si="129"/>
        <v>1079937</v>
      </c>
      <c r="H332" s="180">
        <f t="shared" si="129"/>
        <v>0</v>
      </c>
      <c r="I332" s="180">
        <f t="shared" si="129"/>
        <v>29314401</v>
      </c>
      <c r="J332" s="180">
        <f t="shared" si="129"/>
        <v>6346235</v>
      </c>
      <c r="K332" s="180">
        <f t="shared" si="129"/>
        <v>60916823</v>
      </c>
      <c r="L332" s="180">
        <f t="shared" si="129"/>
        <v>11361974</v>
      </c>
      <c r="M332" s="180">
        <f t="shared" si="129"/>
        <v>104199861</v>
      </c>
      <c r="N332" s="180">
        <f t="shared" si="129"/>
        <v>6018442</v>
      </c>
      <c r="O332" s="180">
        <f t="shared" si="129"/>
        <v>1516612237</v>
      </c>
      <c r="P332" s="180">
        <f t="shared" si="129"/>
        <v>174204</v>
      </c>
      <c r="Q332" s="180">
        <f t="shared" si="129"/>
        <v>1028453</v>
      </c>
      <c r="R332" s="180">
        <f t="shared" si="129"/>
        <v>12289000</v>
      </c>
      <c r="S332" s="180">
        <f t="shared" si="129"/>
        <v>3210310</v>
      </c>
      <c r="T332" s="180">
        <f t="shared" si="129"/>
        <v>6276607</v>
      </c>
      <c r="U332" s="180">
        <f t="shared" si="129"/>
        <v>870795</v>
      </c>
      <c r="V332" s="180">
        <f t="shared" si="129"/>
        <v>1246052</v>
      </c>
      <c r="W332" s="180">
        <f t="shared" si="129"/>
        <v>5895012</v>
      </c>
      <c r="X332" s="180">
        <f t="shared" si="129"/>
        <v>275102924</v>
      </c>
      <c r="Y332" s="180">
        <f t="shared" si="129"/>
        <v>9155701000</v>
      </c>
      <c r="Z332" s="180">
        <f t="shared" si="129"/>
        <v>14817973</v>
      </c>
      <c r="AA332" s="180">
        <f t="shared" si="129"/>
        <v>2520565</v>
      </c>
      <c r="AB332" s="180">
        <f t="shared" si="129"/>
        <v>11159050</v>
      </c>
      <c r="AC332" s="180">
        <f t="shared" si="129"/>
        <v>0</v>
      </c>
      <c r="AD332" s="180">
        <f t="shared" si="129"/>
        <v>16637779</v>
      </c>
      <c r="AE332" s="180">
        <f t="shared" si="129"/>
        <v>3682125</v>
      </c>
      <c r="AF332" s="180">
        <f t="shared" si="129"/>
        <v>132130395</v>
      </c>
      <c r="AG332" s="180">
        <f t="shared" si="129"/>
        <v>62914995</v>
      </c>
      <c r="AH332" s="180">
        <f t="shared" si="129"/>
        <v>6270647</v>
      </c>
      <c r="AI332" s="180">
        <f t="shared" si="129"/>
        <v>25306395</v>
      </c>
      <c r="AJ332" s="180">
        <f t="shared" si="129"/>
        <v>2984502</v>
      </c>
      <c r="AK332" s="180">
        <f t="shared" si="129"/>
        <v>3844589</v>
      </c>
      <c r="AL332" s="180">
        <f t="shared" si="129"/>
        <v>1972422</v>
      </c>
      <c r="AM332" s="180">
        <f t="shared" si="129"/>
        <v>0</v>
      </c>
      <c r="AN332" s="180">
        <f t="shared" si="129"/>
        <v>1872228</v>
      </c>
      <c r="AO332" s="180">
        <f t="shared" si="129"/>
        <v>0</v>
      </c>
      <c r="AP332" s="180">
        <f t="shared" si="129"/>
        <v>126337</v>
      </c>
      <c r="AQ332" s="180">
        <f t="shared" si="129"/>
        <v>742407508</v>
      </c>
      <c r="AR332" s="180">
        <f t="shared" si="129"/>
        <v>485813</v>
      </c>
      <c r="AS332" s="180">
        <f t="shared" si="129"/>
        <v>4157172</v>
      </c>
      <c r="AT332" s="180">
        <f t="shared" si="129"/>
        <v>70302649</v>
      </c>
      <c r="AU332" s="180">
        <f t="shared" si="129"/>
        <v>1350994</v>
      </c>
      <c r="AV332" s="180">
        <f t="shared" si="129"/>
        <v>2143942</v>
      </c>
      <c r="AW332" s="180">
        <f t="shared" si="129"/>
        <v>151237868</v>
      </c>
      <c r="AX332" s="180">
        <f t="shared" si="129"/>
        <v>799939</v>
      </c>
      <c r="AY332" s="180">
        <f t="shared" si="129"/>
        <v>20138644</v>
      </c>
      <c r="AZ332" s="180">
        <f t="shared" si="129"/>
        <v>36544455</v>
      </c>
      <c r="BA332" s="180">
        <f t="shared" si="129"/>
        <v>713936</v>
      </c>
      <c r="BB332" s="180">
        <f t="shared" si="129"/>
        <v>587259</v>
      </c>
      <c r="BC332" s="180">
        <f t="shared" si="129"/>
        <v>15298018</v>
      </c>
      <c r="BD332" s="180">
        <f t="shared" si="129"/>
        <v>435143</v>
      </c>
      <c r="BE332" s="180">
        <f t="shared" si="129"/>
        <v>73100312</v>
      </c>
      <c r="BF332" s="180">
        <f t="shared" si="129"/>
        <v>5327488</v>
      </c>
      <c r="BG332" s="180">
        <f t="shared" si="129"/>
        <v>1887524</v>
      </c>
      <c r="BH332" s="180">
        <f t="shared" si="129"/>
        <v>1106908</v>
      </c>
      <c r="BI332" s="180">
        <f t="shared" si="129"/>
        <v>5631480</v>
      </c>
      <c r="BJ332" s="180">
        <f t="shared" si="129"/>
        <v>4095739</v>
      </c>
      <c r="BK332" s="180">
        <f t="shared" si="129"/>
        <v>0</v>
      </c>
      <c r="BL332" s="180">
        <f t="shared" si="129"/>
        <v>7786804</v>
      </c>
      <c r="BM332" s="180">
        <f t="shared" si="129"/>
        <v>1684033</v>
      </c>
      <c r="BN332" s="180">
        <f t="shared" si="129"/>
        <v>40741704</v>
      </c>
      <c r="BO332" s="180">
        <f t="shared" si="129"/>
        <v>34770230</v>
      </c>
      <c r="BP332" s="180">
        <f t="shared" si="129"/>
        <v>1400924251</v>
      </c>
      <c r="BQ332" s="180">
        <f t="shared" ref="BQ332:BR334" si="130">BQ260</f>
        <v>194120</v>
      </c>
      <c r="BR332" s="180">
        <f t="shared" si="130"/>
        <v>0</v>
      </c>
      <c r="BS332" s="180">
        <f t="shared" ref="BS332:CJ332" si="131">BS260</f>
        <v>2172763</v>
      </c>
      <c r="BT332" s="180">
        <f t="shared" si="131"/>
        <v>0</v>
      </c>
      <c r="BU332" s="180">
        <f t="shared" si="131"/>
        <v>12488348</v>
      </c>
      <c r="BV332" s="180">
        <f t="shared" si="131"/>
        <v>54239240</v>
      </c>
      <c r="BW332" s="180">
        <f t="shared" si="131"/>
        <v>16192912</v>
      </c>
      <c r="BX332" s="180">
        <f t="shared" si="131"/>
        <v>58785344</v>
      </c>
      <c r="BY332" s="180">
        <f t="shared" si="131"/>
        <v>28985511</v>
      </c>
      <c r="BZ332" s="180">
        <f t="shared" si="131"/>
        <v>1694606</v>
      </c>
      <c r="CA332" s="180">
        <f t="shared" si="131"/>
        <v>17159705</v>
      </c>
      <c r="CB332" s="180">
        <f t="shared" si="131"/>
        <v>1341236</v>
      </c>
      <c r="CC332" s="180">
        <f t="shared" si="131"/>
        <v>2473997</v>
      </c>
      <c r="CD332" s="180">
        <f t="shared" si="131"/>
        <v>0</v>
      </c>
      <c r="CE332" s="180">
        <f t="shared" si="131"/>
        <v>25464173</v>
      </c>
      <c r="CF332" s="180">
        <f t="shared" si="131"/>
        <v>40721076</v>
      </c>
      <c r="CG332" s="180">
        <f t="shared" si="131"/>
        <v>10436933</v>
      </c>
      <c r="CH332" s="180">
        <f t="shared" si="131"/>
        <v>14492168</v>
      </c>
      <c r="CI332" s="180">
        <f t="shared" si="131"/>
        <v>0</v>
      </c>
      <c r="CJ332" s="180">
        <f t="shared" si="131"/>
        <v>0</v>
      </c>
    </row>
    <row r="333" spans="1:104" hidden="1" x14ac:dyDescent="0.3">
      <c r="A333" s="560">
        <f>A261</f>
        <v>9002</v>
      </c>
      <c r="B333" s="560">
        <v>626</v>
      </c>
      <c r="D333" s="180">
        <f t="shared" ref="D333:S334" si="132">D261</f>
        <v>15389</v>
      </c>
      <c r="E333" s="180">
        <f t="shared" si="132"/>
        <v>554867</v>
      </c>
      <c r="F333" s="180">
        <f t="shared" si="132"/>
        <v>10137</v>
      </c>
      <c r="G333" s="180">
        <f t="shared" si="132"/>
        <v>56094</v>
      </c>
      <c r="H333" s="180">
        <f t="shared" si="132"/>
        <v>0</v>
      </c>
      <c r="I333" s="180">
        <f t="shared" si="132"/>
        <v>5476081</v>
      </c>
      <c r="J333" s="180">
        <f t="shared" si="132"/>
        <v>117269</v>
      </c>
      <c r="K333" s="180">
        <f t="shared" si="132"/>
        <v>5618507</v>
      </c>
      <c r="L333" s="180">
        <f t="shared" si="132"/>
        <v>0</v>
      </c>
      <c r="M333" s="180">
        <f t="shared" si="132"/>
        <v>18286184</v>
      </c>
      <c r="N333" s="180">
        <f t="shared" si="132"/>
        <v>869464</v>
      </c>
      <c r="O333" s="180">
        <f t="shared" si="132"/>
        <v>84528231</v>
      </c>
      <c r="P333" s="180">
        <f t="shared" si="132"/>
        <v>31539</v>
      </c>
      <c r="Q333" s="180">
        <f t="shared" si="132"/>
        <v>4658</v>
      </c>
      <c r="R333" s="180">
        <f t="shared" si="132"/>
        <v>1341898</v>
      </c>
      <c r="S333" s="180">
        <f t="shared" si="132"/>
        <v>391741</v>
      </c>
      <c r="T333" s="180">
        <f t="shared" si="129"/>
        <v>313960</v>
      </c>
      <c r="U333" s="180">
        <f t="shared" si="129"/>
        <v>66852</v>
      </c>
      <c r="V333" s="180">
        <f t="shared" si="129"/>
        <v>63484</v>
      </c>
      <c r="W333" s="180">
        <f t="shared" si="129"/>
        <v>53716</v>
      </c>
      <c r="X333" s="180">
        <f t="shared" si="129"/>
        <v>29653442</v>
      </c>
      <c r="Y333" s="180">
        <f t="shared" si="129"/>
        <v>425392000</v>
      </c>
      <c r="Z333" s="180">
        <f t="shared" si="129"/>
        <v>550579</v>
      </c>
      <c r="AA333" s="180">
        <f t="shared" si="129"/>
        <v>255580</v>
      </c>
      <c r="AB333" s="180">
        <f t="shared" si="129"/>
        <v>840248</v>
      </c>
      <c r="AC333" s="180">
        <f t="shared" si="129"/>
        <v>0</v>
      </c>
      <c r="AD333" s="180">
        <f t="shared" si="129"/>
        <v>852159</v>
      </c>
      <c r="AE333" s="180">
        <f t="shared" si="129"/>
        <v>11440</v>
      </c>
      <c r="AF333" s="180">
        <f t="shared" si="129"/>
        <v>5510613</v>
      </c>
      <c r="AG333" s="180">
        <f t="shared" si="129"/>
        <v>2766779</v>
      </c>
      <c r="AH333" s="180">
        <f t="shared" si="129"/>
        <v>19050</v>
      </c>
      <c r="AI333" s="180">
        <f t="shared" si="129"/>
        <v>955209</v>
      </c>
      <c r="AJ333" s="180">
        <f t="shared" si="129"/>
        <v>38862</v>
      </c>
      <c r="AK333" s="180">
        <f t="shared" si="129"/>
        <v>31986</v>
      </c>
      <c r="AL333" s="180">
        <f t="shared" si="129"/>
        <v>15155</v>
      </c>
      <c r="AM333" s="180">
        <f t="shared" si="129"/>
        <v>0</v>
      </c>
      <c r="AN333" s="180">
        <f t="shared" si="129"/>
        <v>23393</v>
      </c>
      <c r="AO333" s="180">
        <f t="shared" si="129"/>
        <v>0</v>
      </c>
      <c r="AP333" s="180">
        <f t="shared" si="129"/>
        <v>1257</v>
      </c>
      <c r="AQ333" s="180">
        <f t="shared" si="129"/>
        <v>31531415</v>
      </c>
      <c r="AR333" s="180">
        <f t="shared" si="129"/>
        <v>0</v>
      </c>
      <c r="AS333" s="180">
        <f t="shared" si="129"/>
        <v>410843</v>
      </c>
      <c r="AT333" s="180">
        <f t="shared" si="129"/>
        <v>1492215</v>
      </c>
      <c r="AU333" s="180">
        <f t="shared" si="129"/>
        <v>213934</v>
      </c>
      <c r="AV333" s="180">
        <f t="shared" si="129"/>
        <v>2258</v>
      </c>
      <c r="AW333" s="180">
        <f t="shared" si="129"/>
        <v>11524579</v>
      </c>
      <c r="AX333" s="180">
        <f t="shared" si="129"/>
        <v>10479</v>
      </c>
      <c r="AY333" s="180">
        <f t="shared" si="129"/>
        <v>758922</v>
      </c>
      <c r="AZ333" s="180">
        <f t="shared" si="129"/>
        <v>337613</v>
      </c>
      <c r="BA333" s="180">
        <f t="shared" si="129"/>
        <v>2766</v>
      </c>
      <c r="BB333" s="180">
        <f t="shared" si="129"/>
        <v>3188</v>
      </c>
      <c r="BC333" s="180">
        <f t="shared" si="129"/>
        <v>1521694</v>
      </c>
      <c r="BD333" s="180">
        <f t="shared" si="129"/>
        <v>59203</v>
      </c>
      <c r="BE333" s="180">
        <f t="shared" si="129"/>
        <v>4028898</v>
      </c>
      <c r="BF333" s="180">
        <f t="shared" si="129"/>
        <v>153449</v>
      </c>
      <c r="BG333" s="180">
        <f t="shared" si="129"/>
        <v>7895</v>
      </c>
      <c r="BH333" s="180">
        <f t="shared" si="129"/>
        <v>136502</v>
      </c>
      <c r="BI333" s="180">
        <f t="shared" si="129"/>
        <v>174399</v>
      </c>
      <c r="BJ333" s="180">
        <f t="shared" si="129"/>
        <v>103638</v>
      </c>
      <c r="BK333" s="180">
        <f t="shared" si="129"/>
        <v>0</v>
      </c>
      <c r="BL333" s="180">
        <f t="shared" si="129"/>
        <v>2731316</v>
      </c>
      <c r="BM333" s="180">
        <f t="shared" si="129"/>
        <v>137893</v>
      </c>
      <c r="BN333" s="180">
        <f t="shared" si="129"/>
        <v>5114256</v>
      </c>
      <c r="BO333" s="180">
        <f t="shared" si="129"/>
        <v>3519096</v>
      </c>
      <c r="BP333" s="180">
        <f t="shared" si="129"/>
        <v>198739086</v>
      </c>
      <c r="BQ333" s="180">
        <f t="shared" si="130"/>
        <v>34878</v>
      </c>
      <c r="BR333" s="180">
        <f t="shared" si="130"/>
        <v>0</v>
      </c>
      <c r="BS333" s="180">
        <f t="shared" ref="BS333:CJ333" si="133">BS261</f>
        <v>131507</v>
      </c>
      <c r="BT333" s="180">
        <f t="shared" si="133"/>
        <v>0</v>
      </c>
      <c r="BU333" s="180">
        <f t="shared" si="133"/>
        <v>95440</v>
      </c>
      <c r="BV333" s="180">
        <f t="shared" si="133"/>
        <v>4175618</v>
      </c>
      <c r="BW333" s="180">
        <f t="shared" si="133"/>
        <v>964140</v>
      </c>
      <c r="BX333" s="180">
        <f t="shared" si="133"/>
        <v>7344744</v>
      </c>
      <c r="BY333" s="180">
        <f t="shared" si="133"/>
        <v>623427</v>
      </c>
      <c r="BZ333" s="180">
        <f t="shared" si="133"/>
        <v>22814</v>
      </c>
      <c r="CA333" s="180">
        <f t="shared" si="133"/>
        <v>182667</v>
      </c>
      <c r="CB333" s="180">
        <f t="shared" si="133"/>
        <v>266873</v>
      </c>
      <c r="CC333" s="180">
        <f t="shared" si="133"/>
        <v>245884</v>
      </c>
      <c r="CD333" s="180">
        <f t="shared" si="133"/>
        <v>0</v>
      </c>
      <c r="CE333" s="180">
        <f t="shared" si="133"/>
        <v>4328387</v>
      </c>
      <c r="CF333" s="180">
        <f t="shared" si="133"/>
        <v>1136716</v>
      </c>
      <c r="CG333" s="180">
        <f t="shared" si="133"/>
        <v>74045</v>
      </c>
      <c r="CH333" s="180">
        <f t="shared" si="133"/>
        <v>1164887</v>
      </c>
      <c r="CI333" s="180">
        <f t="shared" si="133"/>
        <v>0</v>
      </c>
      <c r="CJ333" s="180">
        <f t="shared" si="133"/>
        <v>0</v>
      </c>
    </row>
    <row r="334" spans="1:104" hidden="1" x14ac:dyDescent="0.3">
      <c r="A334" s="560">
        <f>A262</f>
        <v>9003</v>
      </c>
      <c r="B334" s="560">
        <v>338</v>
      </c>
      <c r="D334" s="180">
        <f t="shared" si="132"/>
        <v>19865</v>
      </c>
      <c r="E334" s="180">
        <f t="shared" ref="E334:BP334" si="134">E262</f>
        <v>839770</v>
      </c>
      <c r="F334" s="180">
        <f t="shared" si="134"/>
        <v>42703</v>
      </c>
      <c r="G334" s="180">
        <f t="shared" si="134"/>
        <v>133724</v>
      </c>
      <c r="H334" s="180">
        <f t="shared" si="134"/>
        <v>0</v>
      </c>
      <c r="I334" s="180">
        <f t="shared" si="134"/>
        <v>20436347</v>
      </c>
      <c r="J334" s="180">
        <f t="shared" si="134"/>
        <v>1340365</v>
      </c>
      <c r="K334" s="180">
        <f t="shared" si="134"/>
        <v>28961291</v>
      </c>
      <c r="L334" s="180">
        <f t="shared" si="134"/>
        <v>1437702</v>
      </c>
      <c r="M334" s="180">
        <f t="shared" si="134"/>
        <v>67135264</v>
      </c>
      <c r="N334" s="180">
        <f t="shared" si="134"/>
        <v>3029395</v>
      </c>
      <c r="O334" s="180">
        <f t="shared" si="134"/>
        <v>551090908</v>
      </c>
      <c r="P334" s="180">
        <f t="shared" si="134"/>
        <v>31539</v>
      </c>
      <c r="Q334" s="180">
        <f t="shared" si="134"/>
        <v>4658</v>
      </c>
      <c r="R334" s="180">
        <f t="shared" si="134"/>
        <v>1890537</v>
      </c>
      <c r="S334" s="180">
        <f t="shared" si="134"/>
        <v>950854</v>
      </c>
      <c r="T334" s="180">
        <f t="shared" si="134"/>
        <v>1370208</v>
      </c>
      <c r="U334" s="180">
        <f t="shared" si="134"/>
        <v>66852</v>
      </c>
      <c r="V334" s="180">
        <f t="shared" si="134"/>
        <v>63484</v>
      </c>
      <c r="W334" s="180">
        <f t="shared" si="134"/>
        <v>1004346</v>
      </c>
      <c r="X334" s="180">
        <f t="shared" si="134"/>
        <v>183414612</v>
      </c>
      <c r="Y334" s="180">
        <f t="shared" si="134"/>
        <v>3820314000</v>
      </c>
      <c r="Z334" s="180">
        <f t="shared" si="134"/>
        <v>8733691</v>
      </c>
      <c r="AA334" s="180">
        <f t="shared" si="134"/>
        <v>292548</v>
      </c>
      <c r="AB334" s="180">
        <f t="shared" si="134"/>
        <v>4764635</v>
      </c>
      <c r="AC334" s="180">
        <f t="shared" si="134"/>
        <v>0</v>
      </c>
      <c r="AD334" s="180">
        <f t="shared" si="134"/>
        <v>2323671</v>
      </c>
      <c r="AE334" s="180">
        <f t="shared" si="134"/>
        <v>106434</v>
      </c>
      <c r="AF334" s="180">
        <f t="shared" si="134"/>
        <v>39549654</v>
      </c>
      <c r="AG334" s="180">
        <f t="shared" si="134"/>
        <v>3755731</v>
      </c>
      <c r="AH334" s="180">
        <f t="shared" si="134"/>
        <v>712899</v>
      </c>
      <c r="AI334" s="180">
        <f t="shared" si="134"/>
        <v>9494778</v>
      </c>
      <c r="AJ334" s="180">
        <f t="shared" si="134"/>
        <v>233953</v>
      </c>
      <c r="AK334" s="180">
        <f t="shared" si="134"/>
        <v>952823</v>
      </c>
      <c r="AL334" s="180">
        <f t="shared" si="134"/>
        <v>144323</v>
      </c>
      <c r="AM334" s="180">
        <f t="shared" si="134"/>
        <v>0</v>
      </c>
      <c r="AN334" s="180">
        <f t="shared" si="134"/>
        <v>796655</v>
      </c>
      <c r="AO334" s="180">
        <f t="shared" si="134"/>
        <v>0</v>
      </c>
      <c r="AP334" s="180">
        <f t="shared" si="134"/>
        <v>1257</v>
      </c>
      <c r="AQ334" s="180">
        <f t="shared" si="134"/>
        <v>129537389</v>
      </c>
      <c r="AR334" s="180">
        <f t="shared" si="134"/>
        <v>0</v>
      </c>
      <c r="AS334" s="180">
        <f t="shared" si="134"/>
        <v>468380</v>
      </c>
      <c r="AT334" s="180">
        <f t="shared" si="134"/>
        <v>9354413</v>
      </c>
      <c r="AU334" s="180">
        <f t="shared" si="134"/>
        <v>400974</v>
      </c>
      <c r="AV334" s="180">
        <f t="shared" si="134"/>
        <v>98288</v>
      </c>
      <c r="AW334" s="180">
        <f t="shared" si="134"/>
        <v>43714066</v>
      </c>
      <c r="AX334" s="180">
        <f t="shared" si="134"/>
        <v>34254</v>
      </c>
      <c r="AY334" s="180">
        <f t="shared" si="134"/>
        <v>8500645</v>
      </c>
      <c r="AZ334" s="180">
        <f t="shared" si="134"/>
        <v>6164356</v>
      </c>
      <c r="BA334" s="180">
        <f t="shared" si="134"/>
        <v>20479</v>
      </c>
      <c r="BB334" s="180">
        <f t="shared" si="134"/>
        <v>3188</v>
      </c>
      <c r="BC334" s="180">
        <f t="shared" si="134"/>
        <v>4604342</v>
      </c>
      <c r="BD334" s="180">
        <f t="shared" si="134"/>
        <v>59203</v>
      </c>
      <c r="BE334" s="180">
        <f t="shared" si="134"/>
        <v>29825653</v>
      </c>
      <c r="BF334" s="180">
        <f t="shared" si="134"/>
        <v>1165653</v>
      </c>
      <c r="BG334" s="180">
        <f t="shared" si="134"/>
        <v>7895</v>
      </c>
      <c r="BH334" s="180">
        <f t="shared" si="134"/>
        <v>137081</v>
      </c>
      <c r="BI334" s="180">
        <f t="shared" si="134"/>
        <v>2246857</v>
      </c>
      <c r="BJ334" s="180">
        <f t="shared" si="134"/>
        <v>103638</v>
      </c>
      <c r="BK334" s="180">
        <f t="shared" si="134"/>
        <v>0</v>
      </c>
      <c r="BL334" s="180">
        <f t="shared" si="134"/>
        <v>3442931</v>
      </c>
      <c r="BM334" s="180">
        <f t="shared" si="134"/>
        <v>270635</v>
      </c>
      <c r="BN334" s="180">
        <f t="shared" si="134"/>
        <v>10554047</v>
      </c>
      <c r="BO334" s="180">
        <f t="shared" si="134"/>
        <v>22512447</v>
      </c>
      <c r="BP334" s="180">
        <f t="shared" si="134"/>
        <v>635457615</v>
      </c>
      <c r="BQ334" s="180">
        <f t="shared" si="130"/>
        <v>34878</v>
      </c>
      <c r="BR334" s="180">
        <f t="shared" si="130"/>
        <v>0</v>
      </c>
      <c r="BS334" s="180">
        <f t="shared" ref="BS334:CJ334" si="135">BS262</f>
        <v>259248</v>
      </c>
      <c r="BT334" s="180">
        <f t="shared" si="135"/>
        <v>0</v>
      </c>
      <c r="BU334" s="180">
        <f t="shared" si="135"/>
        <v>630413</v>
      </c>
      <c r="BV334" s="180">
        <f t="shared" si="135"/>
        <v>27112416</v>
      </c>
      <c r="BW334" s="180">
        <f t="shared" si="135"/>
        <v>8872856</v>
      </c>
      <c r="BX334" s="180">
        <f t="shared" si="135"/>
        <v>33582182</v>
      </c>
      <c r="BY334" s="180">
        <f t="shared" si="135"/>
        <v>8942472</v>
      </c>
      <c r="BZ334" s="180">
        <f t="shared" si="135"/>
        <v>541314</v>
      </c>
      <c r="CA334" s="180">
        <f t="shared" si="135"/>
        <v>2637107</v>
      </c>
      <c r="CB334" s="180">
        <f t="shared" si="135"/>
        <v>278578</v>
      </c>
      <c r="CC334" s="180">
        <f t="shared" si="135"/>
        <v>770121</v>
      </c>
      <c r="CD334" s="180">
        <f t="shared" si="135"/>
        <v>0</v>
      </c>
      <c r="CE334" s="180">
        <f t="shared" si="135"/>
        <v>8202569</v>
      </c>
      <c r="CF334" s="180">
        <f t="shared" si="135"/>
        <v>8242095</v>
      </c>
      <c r="CG334" s="180">
        <f t="shared" si="135"/>
        <v>803534</v>
      </c>
      <c r="CH334" s="180">
        <f t="shared" si="135"/>
        <v>3657540</v>
      </c>
      <c r="CI334" s="180">
        <f t="shared" si="135"/>
        <v>0</v>
      </c>
      <c r="CJ334" s="180">
        <f t="shared" si="135"/>
        <v>0</v>
      </c>
    </row>
    <row r="335" spans="1:104" hidden="1" x14ac:dyDescent="0.3">
      <c r="BS335" s="180"/>
      <c r="BT335" s="180"/>
      <c r="BU335" s="180"/>
      <c r="BV335" s="180"/>
      <c r="BW335" s="180"/>
      <c r="BX335" s="180"/>
      <c r="BY335" s="180"/>
      <c r="BZ335" s="180"/>
      <c r="CA335" s="180"/>
      <c r="CB335" s="180"/>
      <c r="CC335" s="180"/>
      <c r="CD335" s="180"/>
      <c r="CE335" s="180"/>
      <c r="CF335" s="180"/>
      <c r="CG335" s="180"/>
      <c r="CH335" s="180"/>
      <c r="CI335" s="180"/>
      <c r="CJ335" s="180"/>
    </row>
    <row r="336" spans="1:104" hidden="1" x14ac:dyDescent="0.3">
      <c r="D336" s="570">
        <f>D329+D332+D333+D334</f>
        <v>56951662</v>
      </c>
      <c r="E336" s="570">
        <f>E329+E332+E333+E334</f>
        <v>47544013.287500001</v>
      </c>
      <c r="F336" s="570">
        <f t="shared" ref="F336:BQ336" si="136">F329+F332+F333+F334</f>
        <v>34148196.130000003</v>
      </c>
      <c r="G336" s="570">
        <f t="shared" si="136"/>
        <v>12752037.6</v>
      </c>
      <c r="H336" s="570">
        <f t="shared" si="136"/>
        <v>0</v>
      </c>
      <c r="I336" s="570">
        <f t="shared" si="136"/>
        <v>316409948.29000002</v>
      </c>
      <c r="J336" s="570">
        <f t="shared" si="136"/>
        <v>48227334.222499996</v>
      </c>
      <c r="K336" s="570">
        <f t="shared" si="136"/>
        <v>717135841.09500003</v>
      </c>
      <c r="L336" s="570">
        <f t="shared" si="136"/>
        <v>100706656.27159999</v>
      </c>
      <c r="M336" s="570">
        <f t="shared" si="136"/>
        <v>675810335.55439997</v>
      </c>
      <c r="N336" s="570">
        <f t="shared" si="136"/>
        <v>189529541.655</v>
      </c>
      <c r="O336" s="570">
        <f t="shared" si="136"/>
        <v>13742993056.955</v>
      </c>
      <c r="P336" s="570">
        <f t="shared" si="136"/>
        <v>1485643.82</v>
      </c>
      <c r="Q336" s="570">
        <f>Q329+Q332+Q333+Q334</f>
        <v>5897524.2199999997</v>
      </c>
      <c r="R336" s="570">
        <f t="shared" si="136"/>
        <v>56504021.979999997</v>
      </c>
      <c r="S336" s="570">
        <f t="shared" si="136"/>
        <v>24753102.879999999</v>
      </c>
      <c r="T336" s="570">
        <f t="shared" si="136"/>
        <v>34267664.092500001</v>
      </c>
      <c r="U336" s="570">
        <f t="shared" si="136"/>
        <v>6814923.1399999997</v>
      </c>
      <c r="V336" s="570">
        <f t="shared" si="136"/>
        <v>17514630.649999999</v>
      </c>
      <c r="W336" s="570">
        <f t="shared" si="136"/>
        <v>113038080.45999999</v>
      </c>
      <c r="X336" s="570">
        <f t="shared" si="136"/>
        <v>2051112853.362</v>
      </c>
      <c r="Y336" s="570">
        <f t="shared" si="136"/>
        <v>70490467405.779999</v>
      </c>
      <c r="Z336" s="570">
        <f t="shared" si="136"/>
        <v>298102838.06</v>
      </c>
      <c r="AA336" s="570">
        <f t="shared" si="136"/>
        <v>27455478.300000001</v>
      </c>
      <c r="AB336" s="570">
        <f t="shared" si="136"/>
        <v>101811142.45999999</v>
      </c>
      <c r="AC336" s="570">
        <f t="shared" si="136"/>
        <v>0</v>
      </c>
      <c r="AD336" s="570">
        <f t="shared" si="136"/>
        <v>211865923.13</v>
      </c>
      <c r="AE336" s="570">
        <f t="shared" si="136"/>
        <v>59928435.649999999</v>
      </c>
      <c r="AF336" s="570">
        <f t="shared" si="136"/>
        <v>2557771701.54</v>
      </c>
      <c r="AG336" s="570">
        <f t="shared" si="136"/>
        <v>367649581.5</v>
      </c>
      <c r="AH336" s="570">
        <f t="shared" si="136"/>
        <v>79544548.140000001</v>
      </c>
      <c r="AI336" s="570">
        <f t="shared" si="136"/>
        <v>428162948.50999999</v>
      </c>
      <c r="AJ336" s="570">
        <f t="shared" si="136"/>
        <v>55823827.350000001</v>
      </c>
      <c r="AK336" s="570">
        <f t="shared" si="136"/>
        <v>52927206.770000003</v>
      </c>
      <c r="AL336" s="570">
        <f t="shared" si="136"/>
        <v>29022192.950000003</v>
      </c>
      <c r="AM336" s="570">
        <f t="shared" si="136"/>
        <v>0</v>
      </c>
      <c r="AN336" s="570">
        <f t="shared" si="136"/>
        <v>84836671.670000002</v>
      </c>
      <c r="AO336" s="570">
        <f t="shared" si="136"/>
        <v>0</v>
      </c>
      <c r="AP336" s="570">
        <f t="shared" si="136"/>
        <v>1102121.78</v>
      </c>
      <c r="AQ336" s="570">
        <f t="shared" si="136"/>
        <v>8486781970.1399994</v>
      </c>
      <c r="AR336" s="570">
        <f t="shared" si="136"/>
        <v>4721703.17</v>
      </c>
      <c r="AS336" s="570">
        <f t="shared" si="136"/>
        <v>39018362.109999999</v>
      </c>
      <c r="AT336" s="570">
        <f t="shared" si="136"/>
        <v>642597438.54999995</v>
      </c>
      <c r="AU336" s="570">
        <f t="shared" si="136"/>
        <v>39528992.260000005</v>
      </c>
      <c r="AV336" s="570">
        <f t="shared" si="136"/>
        <v>15765242.49</v>
      </c>
      <c r="AW336" s="570">
        <f t="shared" si="136"/>
        <v>1094057711.402</v>
      </c>
      <c r="AX336" s="570">
        <f t="shared" si="136"/>
        <v>27388986.889999997</v>
      </c>
      <c r="AY336" s="570">
        <f t="shared" si="136"/>
        <v>146532208.69499999</v>
      </c>
      <c r="AZ336" s="570">
        <f t="shared" si="136"/>
        <v>192265015.38499999</v>
      </c>
      <c r="BA336" s="570">
        <f t="shared" si="136"/>
        <v>33295281.309999999</v>
      </c>
      <c r="BB336" s="570">
        <f t="shared" si="136"/>
        <v>11866815.050000001</v>
      </c>
      <c r="BC336" s="570">
        <f t="shared" si="136"/>
        <v>297724551.66999996</v>
      </c>
      <c r="BD336" s="570">
        <f t="shared" si="136"/>
        <v>3160500.65</v>
      </c>
      <c r="BE336" s="570">
        <f t="shared" si="136"/>
        <v>464960895.96499997</v>
      </c>
      <c r="BF336" s="570">
        <f t="shared" si="136"/>
        <v>119078210.00999999</v>
      </c>
      <c r="BG336" s="570">
        <f t="shared" si="136"/>
        <v>11611690.289999999</v>
      </c>
      <c r="BH336" s="570">
        <f t="shared" si="136"/>
        <v>10144253.85</v>
      </c>
      <c r="BI336" s="570">
        <f t="shared" si="136"/>
        <v>123015515.95999999</v>
      </c>
      <c r="BJ336" s="570">
        <f t="shared" si="136"/>
        <v>29824047</v>
      </c>
      <c r="BK336" s="570">
        <f t="shared" si="136"/>
        <v>0</v>
      </c>
      <c r="BL336" s="570">
        <f t="shared" si="136"/>
        <v>111828996.14</v>
      </c>
      <c r="BM336" s="570">
        <f t="shared" si="136"/>
        <v>29916001.399999999</v>
      </c>
      <c r="BN336" s="570">
        <f t="shared" si="136"/>
        <v>287319633.92000002</v>
      </c>
      <c r="BO336" s="570">
        <f t="shared" si="136"/>
        <v>525836274.35000002</v>
      </c>
      <c r="BP336" s="570">
        <f t="shared" si="136"/>
        <v>15025118397.5277</v>
      </c>
      <c r="BQ336" s="570">
        <f t="shared" si="136"/>
        <v>1747030.24</v>
      </c>
      <c r="BR336" s="570">
        <f t="shared" ref="BR336:CJ336" si="137">BR329+BR332+BR333+BR334</f>
        <v>0</v>
      </c>
      <c r="BS336" s="570">
        <f t="shared" si="137"/>
        <v>24595477.410000004</v>
      </c>
      <c r="BT336" s="570">
        <f t="shared" si="137"/>
        <v>0</v>
      </c>
      <c r="BU336" s="570">
        <f t="shared" si="137"/>
        <v>89091934.549999997</v>
      </c>
      <c r="BV336" s="570">
        <f t="shared" si="137"/>
        <v>812360086.94000006</v>
      </c>
      <c r="BW336" s="570">
        <f t="shared" si="137"/>
        <v>313081622.55999994</v>
      </c>
      <c r="BX336" s="570">
        <f t="shared" si="137"/>
        <v>1209363110.8700001</v>
      </c>
      <c r="BY336" s="570">
        <f t="shared" si="137"/>
        <v>277470384.46500003</v>
      </c>
      <c r="BZ336" s="570">
        <f t="shared" si="137"/>
        <v>26685031.899999999</v>
      </c>
      <c r="CA336" s="570">
        <f t="shared" si="137"/>
        <v>209933863.00550002</v>
      </c>
      <c r="CB336" s="570">
        <f t="shared" si="137"/>
        <v>35246555.719999999</v>
      </c>
      <c r="CC336" s="570">
        <f t="shared" si="137"/>
        <v>53077366.93</v>
      </c>
      <c r="CD336" s="570">
        <f t="shared" si="137"/>
        <v>0</v>
      </c>
      <c r="CE336" s="570">
        <f t="shared" si="137"/>
        <v>287396638.40000004</v>
      </c>
      <c r="CF336" s="570">
        <f t="shared" si="137"/>
        <v>229338984.405</v>
      </c>
      <c r="CG336" s="570">
        <f t="shared" si="137"/>
        <v>173769160.83700001</v>
      </c>
      <c r="CH336" s="570">
        <f t="shared" si="137"/>
        <v>100752077.20999999</v>
      </c>
      <c r="CI336" s="570">
        <f t="shared" si="137"/>
        <v>0</v>
      </c>
      <c r="CJ336" s="570">
        <f t="shared" si="137"/>
        <v>0</v>
      </c>
    </row>
    <row r="337" spans="1:88" hidden="1" x14ac:dyDescent="0.3"/>
    <row r="338" spans="1:88" s="1059" customFormat="1" hidden="1" x14ac:dyDescent="0.3">
      <c r="A338" s="1060"/>
      <c r="D338" s="1058">
        <v>56951662</v>
      </c>
      <c r="L338" s="1059">
        <v>6383672140.7700014</v>
      </c>
      <c r="AQ338" s="251">
        <v>8486781970.1299992</v>
      </c>
      <c r="BE338" s="1058">
        <v>859658864.5999999</v>
      </c>
      <c r="CH338" s="1058">
        <v>100752077.20999999</v>
      </c>
    </row>
    <row r="339" spans="1:88" s="180" customFormat="1" hidden="1" x14ac:dyDescent="0.3">
      <c r="A339" s="155"/>
      <c r="E339" s="1052"/>
      <c r="Q339" s="1054">
        <v>5965291240.743</v>
      </c>
      <c r="R339" s="180">
        <v>14168360.91</v>
      </c>
      <c r="BR339" s="570" t="e">
        <f>BR336-#REF!</f>
        <v>#REF!</v>
      </c>
    </row>
    <row r="340" spans="1:88" s="180" customFormat="1" hidden="1" x14ac:dyDescent="0.3">
      <c r="A340" s="155"/>
      <c r="D340" s="570">
        <f>D336-D338</f>
        <v>0</v>
      </c>
      <c r="L340" s="570">
        <f>L336-L338</f>
        <v>-6282965484.4984016</v>
      </c>
      <c r="Q340" s="1052"/>
      <c r="AQ340" s="570">
        <f>AQ336-AQ338</f>
        <v>1.0000228881835938E-2</v>
      </c>
      <c r="BE340" s="570">
        <f>BE336-BE338</f>
        <v>-394697968.63499993</v>
      </c>
    </row>
    <row r="341" spans="1:88" s="180" customFormat="1" hidden="1" x14ac:dyDescent="0.3">
      <c r="A341" s="155"/>
      <c r="Q341" s="526">
        <f>Q336-Q339</f>
        <v>-5959393716.5229998</v>
      </c>
      <c r="R341" s="570">
        <f>R336-R339</f>
        <v>42335661.069999993</v>
      </c>
    </row>
    <row r="342" spans="1:88" s="180" customFormat="1" hidden="1" x14ac:dyDescent="0.3">
      <c r="A342" s="155"/>
      <c r="Q342" s="1052"/>
    </row>
    <row r="343" spans="1:88" s="180" customFormat="1" hidden="1" x14ac:dyDescent="0.3">
      <c r="A343" s="155"/>
      <c r="D343" s="570">
        <v>58368408.009999998</v>
      </c>
      <c r="E343" s="570">
        <v>48272680.289999999</v>
      </c>
      <c r="F343" s="570">
        <v>35526005.140000001</v>
      </c>
      <c r="G343" s="570">
        <v>13064421.609999999</v>
      </c>
      <c r="H343" s="180">
        <v>0.01</v>
      </c>
      <c r="I343" s="570">
        <v>340231542.30000001</v>
      </c>
      <c r="J343" s="570">
        <v>48394778.219999999</v>
      </c>
      <c r="K343" s="570">
        <v>734493533.11000001</v>
      </c>
      <c r="L343" s="570">
        <v>101624332.27</v>
      </c>
      <c r="M343" s="570">
        <v>693149550.54999995</v>
      </c>
      <c r="N343" s="570">
        <v>199934473.66999999</v>
      </c>
      <c r="O343" s="570">
        <v>14140424586.969999</v>
      </c>
      <c r="P343" s="570">
        <v>1567758.82</v>
      </c>
      <c r="Q343" s="1052">
        <v>5995385.2199999997</v>
      </c>
      <c r="R343" s="570">
        <v>59301661.979999997</v>
      </c>
      <c r="S343" s="570">
        <v>25282989.879999999</v>
      </c>
      <c r="T343" s="570">
        <v>34894285.090000004</v>
      </c>
      <c r="U343" s="570">
        <v>6911041.1399999997</v>
      </c>
      <c r="V343" s="570">
        <v>17825274.66</v>
      </c>
      <c r="W343" s="570">
        <v>116137406.47</v>
      </c>
      <c r="X343" s="570">
        <v>2094847344.3599999</v>
      </c>
      <c r="Y343" s="570">
        <v>72193258987.789993</v>
      </c>
      <c r="Z343" s="570">
        <v>308780898.13999999</v>
      </c>
      <c r="AA343" s="570">
        <v>28056253.280000001</v>
      </c>
      <c r="AB343" s="570">
        <v>102432486.45999999</v>
      </c>
      <c r="AC343" s="180">
        <v>0.01</v>
      </c>
      <c r="AD343" s="570">
        <v>225415633.13999999</v>
      </c>
      <c r="AE343" s="570">
        <v>61564586.659999996</v>
      </c>
      <c r="AF343" s="570">
        <v>2649128662.6300001</v>
      </c>
      <c r="AG343" s="570">
        <v>381469218.5</v>
      </c>
      <c r="AH343" s="570">
        <v>82284414.150000006</v>
      </c>
      <c r="AI343" s="570">
        <v>436487721.51999998</v>
      </c>
      <c r="AJ343" s="570">
        <v>57811810.359999999</v>
      </c>
      <c r="AK343" s="570">
        <v>54593464.780000001</v>
      </c>
      <c r="AL343" s="570">
        <v>29998633.960000001</v>
      </c>
      <c r="AM343" s="180">
        <v>0.01</v>
      </c>
      <c r="AN343" s="570">
        <v>88095458.680000007</v>
      </c>
      <c r="AO343" s="180">
        <v>0.01</v>
      </c>
      <c r="AP343" s="570">
        <v>1153553.78</v>
      </c>
      <c r="AQ343" s="570">
        <v>8800975009.2299995</v>
      </c>
      <c r="AR343" s="570">
        <v>4840809.17</v>
      </c>
      <c r="AS343" s="570">
        <v>39561594.119999997</v>
      </c>
      <c r="AT343" s="570">
        <v>666397719.55999994</v>
      </c>
      <c r="AU343" s="570">
        <v>41171748.270000003</v>
      </c>
      <c r="AV343" s="570">
        <v>16131401.49</v>
      </c>
      <c r="AW343" s="570">
        <v>1129661665.47</v>
      </c>
      <c r="AX343" s="570">
        <v>27640845.899999999</v>
      </c>
      <c r="AY343" s="570">
        <v>148021259.69999999</v>
      </c>
      <c r="AZ343" s="570">
        <v>192622614.38999999</v>
      </c>
      <c r="BA343" s="570">
        <v>33781947.32</v>
      </c>
      <c r="BB343" s="570">
        <v>12031793.060000001</v>
      </c>
      <c r="BC343" s="570">
        <v>310472044.76999998</v>
      </c>
      <c r="BD343" s="570">
        <v>3328235.65</v>
      </c>
      <c r="BE343" s="570">
        <v>484384806.97000003</v>
      </c>
      <c r="BF343" s="570">
        <v>121117306.02</v>
      </c>
      <c r="BG343" s="570">
        <v>11748811.289999999</v>
      </c>
      <c r="BH343" s="570">
        <v>10342457.85</v>
      </c>
      <c r="BI343" s="180">
        <v>0.01</v>
      </c>
      <c r="BJ343" s="570">
        <v>29948949</v>
      </c>
      <c r="BK343" s="180">
        <v>0.01</v>
      </c>
      <c r="BL343" s="570">
        <v>120333897.22</v>
      </c>
      <c r="BM343" s="570">
        <v>30737307.41</v>
      </c>
      <c r="BN343" s="570">
        <v>298797825.92000002</v>
      </c>
      <c r="BO343" s="570">
        <v>556075580.36000001</v>
      </c>
      <c r="BP343" s="570">
        <v>15438216474.540001</v>
      </c>
      <c r="BQ343" s="570">
        <v>1832487.24</v>
      </c>
      <c r="BR343" s="180">
        <v>0.01</v>
      </c>
      <c r="BS343" s="570">
        <v>25405329.420000002</v>
      </c>
      <c r="BT343" s="180">
        <v>0.01</v>
      </c>
      <c r="BU343" s="570">
        <v>89238054.549999997</v>
      </c>
      <c r="BV343" s="570">
        <v>842241740.95000005</v>
      </c>
      <c r="BW343" s="570">
        <v>323921933.64999998</v>
      </c>
      <c r="BX343" s="180">
        <v>0.09</v>
      </c>
      <c r="BY343" s="570">
        <v>286635317.48000002</v>
      </c>
      <c r="BZ343" s="570">
        <v>27078764.91</v>
      </c>
      <c r="CA343" s="570">
        <v>217317433.02000001</v>
      </c>
      <c r="CB343" s="570">
        <v>36799864.729999997</v>
      </c>
      <c r="CC343" s="570">
        <v>53629507.939999998</v>
      </c>
      <c r="CD343" s="180">
        <v>0.01</v>
      </c>
      <c r="CE343" s="570">
        <v>298953680.41000003</v>
      </c>
      <c r="CF343" s="570">
        <v>233463686.41</v>
      </c>
      <c r="CG343" s="570">
        <v>188182154.94</v>
      </c>
      <c r="CH343" s="570">
        <v>102535494.20999999</v>
      </c>
      <c r="CI343" s="180">
        <v>0.01</v>
      </c>
      <c r="CJ343" s="180">
        <v>0.01</v>
      </c>
    </row>
    <row r="344" spans="1:88" s="180" customFormat="1" hidden="1" x14ac:dyDescent="0.3">
      <c r="A344" s="155"/>
      <c r="Q344" s="1052"/>
    </row>
    <row r="345" spans="1:88" hidden="1" x14ac:dyDescent="0.3">
      <c r="D345" s="570">
        <f>D259-D343</f>
        <v>0</v>
      </c>
      <c r="E345" s="570">
        <f t="shared" ref="E345:BP345" si="138">E259-E343</f>
        <v>-2.499997615814209E-3</v>
      </c>
      <c r="F345" s="570">
        <f t="shared" si="138"/>
        <v>0</v>
      </c>
      <c r="G345" s="570">
        <f t="shared" si="138"/>
        <v>0</v>
      </c>
      <c r="H345" s="570">
        <f t="shared" si="138"/>
        <v>50112</v>
      </c>
      <c r="I345" s="570">
        <f t="shared" si="138"/>
        <v>0</v>
      </c>
      <c r="J345" s="570">
        <f t="shared" si="138"/>
        <v>2.499997615814209E-3</v>
      </c>
      <c r="K345" s="570">
        <f t="shared" si="138"/>
        <v>-4.999995231628418E-3</v>
      </c>
      <c r="L345" s="570">
        <f t="shared" si="138"/>
        <v>1.5999972820281982E-3</v>
      </c>
      <c r="M345" s="570">
        <f t="shared" si="138"/>
        <v>4.4000148773193359E-3</v>
      </c>
      <c r="N345" s="570">
        <f t="shared" si="138"/>
        <v>-4.999995231628418E-3</v>
      </c>
      <c r="O345" s="570">
        <f t="shared" si="138"/>
        <v>-4.9991607666015625E-3</v>
      </c>
      <c r="P345" s="570">
        <f t="shared" si="138"/>
        <v>0</v>
      </c>
      <c r="Q345" s="570">
        <f t="shared" si="138"/>
        <v>0</v>
      </c>
      <c r="R345" s="570">
        <f t="shared" si="138"/>
        <v>0</v>
      </c>
      <c r="S345" s="570">
        <f t="shared" si="138"/>
        <v>0</v>
      </c>
      <c r="T345" s="570">
        <f t="shared" si="138"/>
        <v>2.499997615814209E-3</v>
      </c>
      <c r="U345" s="570">
        <f t="shared" si="138"/>
        <v>0</v>
      </c>
      <c r="V345" s="570">
        <f t="shared" si="138"/>
        <v>0</v>
      </c>
      <c r="W345" s="570">
        <f t="shared" si="138"/>
        <v>0</v>
      </c>
      <c r="X345" s="570">
        <f t="shared" si="138"/>
        <v>2.0000934600830078E-3</v>
      </c>
      <c r="Y345" s="570">
        <f t="shared" si="138"/>
        <v>0</v>
      </c>
      <c r="Z345" s="570">
        <f t="shared" si="138"/>
        <v>0</v>
      </c>
      <c r="AA345" s="570">
        <f t="shared" si="138"/>
        <v>0</v>
      </c>
      <c r="AB345" s="570">
        <f t="shared" si="138"/>
        <v>0</v>
      </c>
      <c r="AC345" s="570">
        <f t="shared" si="138"/>
        <v>50128</v>
      </c>
      <c r="AD345" s="570">
        <f t="shared" si="138"/>
        <v>0</v>
      </c>
      <c r="AE345" s="570">
        <f t="shared" si="138"/>
        <v>0</v>
      </c>
      <c r="AF345" s="570">
        <f t="shared" si="138"/>
        <v>0</v>
      </c>
      <c r="AG345" s="570">
        <f t="shared" si="138"/>
        <v>0</v>
      </c>
      <c r="AH345" s="570">
        <f t="shared" si="138"/>
        <v>0</v>
      </c>
      <c r="AI345" s="570">
        <f t="shared" si="138"/>
        <v>0</v>
      </c>
      <c r="AJ345" s="570">
        <f t="shared" si="138"/>
        <v>0</v>
      </c>
      <c r="AK345" s="570">
        <f t="shared" si="138"/>
        <v>0</v>
      </c>
      <c r="AL345" s="570">
        <f t="shared" si="138"/>
        <v>0</v>
      </c>
      <c r="AM345" s="570">
        <f t="shared" si="138"/>
        <v>50136</v>
      </c>
      <c r="AN345" s="570">
        <f t="shared" si="138"/>
        <v>0</v>
      </c>
      <c r="AO345" s="570">
        <f t="shared" si="138"/>
        <v>50138</v>
      </c>
      <c r="AP345" s="570">
        <f t="shared" si="138"/>
        <v>0</v>
      </c>
      <c r="AQ345" s="570">
        <f t="shared" si="138"/>
        <v>0</v>
      </c>
      <c r="AR345" s="570">
        <f t="shared" si="138"/>
        <v>0</v>
      </c>
      <c r="AS345" s="570">
        <f t="shared" si="138"/>
        <v>0</v>
      </c>
      <c r="AT345" s="570">
        <f t="shared" si="138"/>
        <v>0</v>
      </c>
      <c r="AU345" s="570">
        <f t="shared" si="138"/>
        <v>0</v>
      </c>
      <c r="AV345" s="570">
        <f t="shared" si="138"/>
        <v>0</v>
      </c>
      <c r="AW345" s="570">
        <f t="shared" si="138"/>
        <v>1.9998550415039063E-3</v>
      </c>
      <c r="AX345" s="570">
        <f t="shared" si="138"/>
        <v>0</v>
      </c>
      <c r="AY345" s="570">
        <f t="shared" si="138"/>
        <v>-4.999995231628418E-3</v>
      </c>
      <c r="AZ345" s="570">
        <f t="shared" si="138"/>
        <v>-4.999995231628418E-3</v>
      </c>
      <c r="BA345" s="570">
        <f t="shared" si="138"/>
        <v>0</v>
      </c>
      <c r="BB345" s="570">
        <f t="shared" si="138"/>
        <v>0</v>
      </c>
      <c r="BC345" s="570">
        <f t="shared" si="138"/>
        <v>0</v>
      </c>
      <c r="BD345" s="570">
        <f t="shared" si="138"/>
        <v>0</v>
      </c>
      <c r="BE345" s="570">
        <f t="shared" si="138"/>
        <v>-5.0000548362731934E-3</v>
      </c>
      <c r="BF345" s="570">
        <f t="shared" si="138"/>
        <v>0</v>
      </c>
      <c r="BG345" s="570">
        <f t="shared" si="138"/>
        <v>0</v>
      </c>
      <c r="BH345" s="570">
        <f t="shared" si="138"/>
        <v>0</v>
      </c>
      <c r="BI345" s="570">
        <f t="shared" si="138"/>
        <v>125344990.95999999</v>
      </c>
      <c r="BJ345" s="570">
        <f t="shared" si="138"/>
        <v>0</v>
      </c>
      <c r="BK345" s="570">
        <f t="shared" si="138"/>
        <v>50156</v>
      </c>
      <c r="BL345" s="570">
        <f t="shared" si="138"/>
        <v>0</v>
      </c>
      <c r="BM345" s="570">
        <f t="shared" si="138"/>
        <v>0</v>
      </c>
      <c r="BN345" s="570">
        <f t="shared" si="138"/>
        <v>0</v>
      </c>
      <c r="BO345" s="570">
        <f t="shared" si="138"/>
        <v>0</v>
      </c>
      <c r="BP345" s="570">
        <f t="shared" si="138"/>
        <v>-2.300262451171875E-3</v>
      </c>
      <c r="BQ345" s="570">
        <f t="shared" ref="BQ345:CJ345" si="139">BQ259-BQ343</f>
        <v>0</v>
      </c>
      <c r="BR345" s="570">
        <f t="shared" si="139"/>
        <v>50511</v>
      </c>
      <c r="BS345" s="570">
        <f t="shared" si="139"/>
        <v>0</v>
      </c>
      <c r="BT345" s="570">
        <f t="shared" si="139"/>
        <v>50163</v>
      </c>
      <c r="BU345" s="570">
        <f t="shared" si="139"/>
        <v>0</v>
      </c>
      <c r="BV345" s="570">
        <f t="shared" si="139"/>
        <v>0</v>
      </c>
      <c r="BW345" s="570">
        <f t="shared" si="139"/>
        <v>0</v>
      </c>
      <c r="BX345" s="570">
        <f t="shared" si="139"/>
        <v>1249769746.8700001</v>
      </c>
      <c r="BY345" s="570">
        <f t="shared" si="139"/>
        <v>-4.999995231628418E-3</v>
      </c>
      <c r="BZ345" s="570">
        <f t="shared" si="139"/>
        <v>0</v>
      </c>
      <c r="CA345" s="570">
        <f t="shared" si="139"/>
        <v>-4.5000016689300537E-3</v>
      </c>
      <c r="CB345" s="570">
        <f t="shared" si="139"/>
        <v>0</v>
      </c>
      <c r="CC345" s="570">
        <f t="shared" si="139"/>
        <v>0</v>
      </c>
      <c r="CD345" s="570">
        <f t="shared" si="139"/>
        <v>50172</v>
      </c>
      <c r="CE345" s="570">
        <f t="shared" si="139"/>
        <v>0</v>
      </c>
      <c r="CF345" s="570">
        <f t="shared" si="139"/>
        <v>-4.999995231628418E-3</v>
      </c>
      <c r="CG345" s="570">
        <f t="shared" si="139"/>
        <v>-2.9999911785125732E-3</v>
      </c>
      <c r="CH345" s="570">
        <f t="shared" si="139"/>
        <v>0</v>
      </c>
      <c r="CI345" s="570">
        <f t="shared" si="139"/>
        <v>50177</v>
      </c>
      <c r="CJ345" s="570">
        <f t="shared" si="139"/>
        <v>50178</v>
      </c>
    </row>
    <row r="346" spans="1:88" hidden="1" x14ac:dyDescent="0.3"/>
    <row r="347" spans="1:88" hidden="1" x14ac:dyDescent="0.3">
      <c r="A347"/>
    </row>
    <row r="349" spans="1:88" x14ac:dyDescent="0.3">
      <c r="AQ349">
        <v>0.01</v>
      </c>
    </row>
    <row r="350" spans="1:88" x14ac:dyDescent="0.3">
      <c r="C350">
        <v>506</v>
      </c>
      <c r="CG350">
        <f>CG106</f>
        <v>442700</v>
      </c>
    </row>
    <row r="351" spans="1:88" x14ac:dyDescent="0.3">
      <c r="C351">
        <v>536</v>
      </c>
      <c r="CG351">
        <f>CG135</f>
        <v>134536</v>
      </c>
    </row>
    <row r="352" spans="1:88" x14ac:dyDescent="0.3">
      <c r="C352">
        <v>4</v>
      </c>
      <c r="CG352">
        <f>CG3</f>
        <v>22114</v>
      </c>
    </row>
    <row r="353" spans="3:85" x14ac:dyDescent="0.3">
      <c r="C353">
        <v>5</v>
      </c>
      <c r="CG353" s="180">
        <f t="shared" ref="CG353:CG354" si="140">CG4</f>
        <v>0</v>
      </c>
    </row>
    <row r="354" spans="3:85" x14ac:dyDescent="0.3">
      <c r="C354">
        <v>6</v>
      </c>
      <c r="CG354" s="180">
        <f t="shared" si="140"/>
        <v>0</v>
      </c>
    </row>
    <row r="355" spans="3:85" x14ac:dyDescent="0.3">
      <c r="C355">
        <v>11</v>
      </c>
      <c r="CG355">
        <f>CG8</f>
        <v>134536</v>
      </c>
    </row>
    <row r="356" spans="3:85" x14ac:dyDescent="0.3">
      <c r="C356">
        <v>647</v>
      </c>
      <c r="CG356">
        <f>CG191</f>
        <v>0</v>
      </c>
    </row>
    <row r="357" spans="3:85" x14ac:dyDescent="0.3">
      <c r="CG357">
        <f>CG350+CG351-CG352-CG353-CG354-CG355+CG356</f>
        <v>420586</v>
      </c>
    </row>
    <row r="358" spans="3:85" x14ac:dyDescent="0.3">
      <c r="C358">
        <v>532</v>
      </c>
      <c r="CG358">
        <f>CG132</f>
        <v>1325530</v>
      </c>
    </row>
    <row r="359" spans="3:85" x14ac:dyDescent="0.3">
      <c r="C359">
        <v>509</v>
      </c>
      <c r="CG359">
        <f>CG109</f>
        <v>0</v>
      </c>
    </row>
    <row r="360" spans="3:85" x14ac:dyDescent="0.3">
      <c r="C360">
        <v>20</v>
      </c>
      <c r="CG360">
        <f>CG11</f>
        <v>0</v>
      </c>
    </row>
    <row r="361" spans="3:85" x14ac:dyDescent="0.3">
      <c r="C361">
        <v>533</v>
      </c>
      <c r="CG361">
        <f>CG133</f>
        <v>0</v>
      </c>
    </row>
    <row r="362" spans="3:85" x14ac:dyDescent="0.3">
      <c r="CG362">
        <f>CG108</f>
        <v>0</v>
      </c>
    </row>
    <row r="363" spans="3:85" x14ac:dyDescent="0.3">
      <c r="C363">
        <v>508</v>
      </c>
      <c r="CG363">
        <f>CG108</f>
        <v>0</v>
      </c>
    </row>
    <row r="364" spans="3:85" x14ac:dyDescent="0.3">
      <c r="C364">
        <v>1050</v>
      </c>
      <c r="CG364">
        <f>CG234</f>
        <v>100702</v>
      </c>
    </row>
    <row r="365" spans="3:85" x14ac:dyDescent="0.3">
      <c r="CG365">
        <f>CG358+CG359+CG360-CG361-CG363-CG364</f>
        <v>1224828</v>
      </c>
    </row>
    <row r="367" spans="3:85" x14ac:dyDescent="0.3">
      <c r="CG367">
        <f>CG357/CG365</f>
        <v>0.34338372408207518</v>
      </c>
    </row>
  </sheetData>
  <sheetProtection algorithmName="SHA-512" hashValue="Yp5Ps6RthJZlBzdUgyGZBqAaqfA04czbLVnmSt0OxP6psVAJpu4Y5Vn7jMjpbmAtcPPrRrN+aaq4fiqpdXQ7NA==" saltValue="jWe2Xf6+f7TuTZxl9DYbDw=="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6CD5-EC5E-464A-94B3-C0CA93EDE12D}">
  <sheetPr codeName="Sheet18"/>
  <dimension ref="A1:CK282"/>
  <sheetViews>
    <sheetView workbookViewId="0">
      <pane xSplit="3" ySplit="2" topLeftCell="D207" activePane="bottomRight" state="frozen"/>
      <selection activeCell="CI36" sqref="CI36"/>
      <selection pane="topRight" activeCell="CI36" sqref="CI36"/>
      <selection pane="bottomLeft" activeCell="CI36" sqref="CI36"/>
      <selection pane="bottomRight" activeCell="B237" sqref="B237"/>
    </sheetView>
  </sheetViews>
  <sheetFormatPr defaultRowHeight="14.4" x14ac:dyDescent="0.3"/>
  <cols>
    <col min="1" max="1" width="12.5546875" style="155" customWidth="1"/>
    <col min="2" max="2" width="66.5546875" customWidth="1"/>
    <col min="3" max="3" width="37.6640625" customWidth="1"/>
    <col min="4" max="97" width="20.6640625" customWidth="1"/>
  </cols>
  <sheetData>
    <row r="1" spans="1:89" x14ac:dyDescent="0.3">
      <c r="A1" s="183" t="s">
        <v>1984</v>
      </c>
      <c r="B1" t="s">
        <v>1985</v>
      </c>
      <c r="C1" t="s">
        <v>349</v>
      </c>
      <c r="D1" t="s">
        <v>1136</v>
      </c>
      <c r="E1" t="s">
        <v>1137</v>
      </c>
      <c r="F1" t="s">
        <v>1138</v>
      </c>
      <c r="G1" t="s">
        <v>1139</v>
      </c>
      <c r="H1" t="s">
        <v>1140</v>
      </c>
      <c r="I1" t="s">
        <v>1141</v>
      </c>
      <c r="J1" t="s">
        <v>1142</v>
      </c>
      <c r="K1" t="s">
        <v>1143</v>
      </c>
      <c r="L1" t="s">
        <v>1144</v>
      </c>
      <c r="M1" t="s">
        <v>1145</v>
      </c>
      <c r="N1" t="s">
        <v>1146</v>
      </c>
      <c r="O1" t="s">
        <v>1147</v>
      </c>
      <c r="P1" t="s">
        <v>805</v>
      </c>
      <c r="Q1" t="s">
        <v>484</v>
      </c>
      <c r="R1" t="s">
        <v>1148</v>
      </c>
      <c r="S1" t="s">
        <v>1149</v>
      </c>
      <c r="T1" t="s">
        <v>1150</v>
      </c>
      <c r="U1" t="s">
        <v>1151</v>
      </c>
      <c r="V1" t="s">
        <v>485</v>
      </c>
      <c r="W1" t="s">
        <v>1152</v>
      </c>
      <c r="X1" t="s">
        <v>392</v>
      </c>
      <c r="Y1" t="s">
        <v>393</v>
      </c>
      <c r="Z1" t="s">
        <v>1153</v>
      </c>
      <c r="AA1" t="s">
        <v>486</v>
      </c>
      <c r="AB1" t="s">
        <v>1154</v>
      </c>
      <c r="AC1" t="s">
        <v>806</v>
      </c>
      <c r="AD1" t="s">
        <v>1155</v>
      </c>
      <c r="AE1" t="s">
        <v>807</v>
      </c>
      <c r="AF1" t="s">
        <v>1156</v>
      </c>
      <c r="AG1" t="s">
        <v>1157</v>
      </c>
      <c r="AH1" t="s">
        <v>1158</v>
      </c>
      <c r="AI1" t="s">
        <v>1159</v>
      </c>
      <c r="AJ1" t="s">
        <v>1160</v>
      </c>
      <c r="AK1" t="s">
        <v>1161</v>
      </c>
      <c r="AL1" t="s">
        <v>808</v>
      </c>
      <c r="AM1" t="s">
        <v>487</v>
      </c>
      <c r="AN1" t="s">
        <v>488</v>
      </c>
      <c r="AO1" t="s">
        <v>1162</v>
      </c>
      <c r="AP1" t="s">
        <v>1163</v>
      </c>
      <c r="AQ1" t="s">
        <v>1164</v>
      </c>
      <c r="AR1" t="s">
        <v>809</v>
      </c>
      <c r="AS1" t="s">
        <v>1165</v>
      </c>
      <c r="AT1" t="s">
        <v>1166</v>
      </c>
      <c r="AU1" t="s">
        <v>1167</v>
      </c>
      <c r="AV1" t="s">
        <v>1168</v>
      </c>
      <c r="AW1" t="s">
        <v>1169</v>
      </c>
      <c r="AX1" t="s">
        <v>1170</v>
      </c>
      <c r="AY1" t="s">
        <v>1171</v>
      </c>
      <c r="AZ1" t="s">
        <v>1172</v>
      </c>
      <c r="BA1" t="s">
        <v>810</v>
      </c>
      <c r="BB1" t="s">
        <v>1173</v>
      </c>
      <c r="BC1" t="s">
        <v>811</v>
      </c>
      <c r="BD1" t="s">
        <v>1174</v>
      </c>
      <c r="BE1" t="s">
        <v>1175</v>
      </c>
      <c r="BF1" t="s">
        <v>1176</v>
      </c>
      <c r="BG1" t="s">
        <v>1177</v>
      </c>
      <c r="BH1" t="s">
        <v>489</v>
      </c>
      <c r="BI1" t="s">
        <v>1178</v>
      </c>
      <c r="BJ1" t="s">
        <v>1179</v>
      </c>
      <c r="BK1" t="s">
        <v>490</v>
      </c>
      <c r="BL1" t="s">
        <v>1180</v>
      </c>
      <c r="BM1" t="s">
        <v>1181</v>
      </c>
      <c r="BN1" t="s">
        <v>1182</v>
      </c>
      <c r="BO1" t="s">
        <v>1183</v>
      </c>
      <c r="BP1" t="s">
        <v>387</v>
      </c>
      <c r="BQ1" t="s">
        <v>491</v>
      </c>
      <c r="BR1" t="s">
        <v>1184</v>
      </c>
      <c r="BS1" t="s">
        <v>1185</v>
      </c>
      <c r="BT1" t="s">
        <v>492</v>
      </c>
      <c r="BU1" t="s">
        <v>493</v>
      </c>
      <c r="BV1" t="s">
        <v>1186</v>
      </c>
      <c r="BW1" t="s">
        <v>1187</v>
      </c>
      <c r="BX1" t="s">
        <v>1188</v>
      </c>
      <c r="BY1" t="s">
        <v>812</v>
      </c>
      <c r="BZ1" t="s">
        <v>1189</v>
      </c>
      <c r="CA1" t="s">
        <v>1190</v>
      </c>
      <c r="CB1" t="s">
        <v>1191</v>
      </c>
      <c r="CC1" t="s">
        <v>1192</v>
      </c>
      <c r="CD1" t="s">
        <v>495</v>
      </c>
      <c r="CE1" t="s">
        <v>496</v>
      </c>
      <c r="CF1" t="s">
        <v>1193</v>
      </c>
      <c r="CG1" t="s">
        <v>1194</v>
      </c>
      <c r="CH1" t="s">
        <v>497</v>
      </c>
      <c r="CI1" t="s">
        <v>813</v>
      </c>
      <c r="CJ1" t="s">
        <v>814</v>
      </c>
      <c r="CK1" t="s">
        <v>498</v>
      </c>
    </row>
    <row r="2" spans="1:89" x14ac:dyDescent="0.3">
      <c r="A2" s="155" t="s">
        <v>877</v>
      </c>
      <c r="B2" t="s">
        <v>41</v>
      </c>
      <c r="C2" t="s">
        <v>13</v>
      </c>
      <c r="D2" s="788">
        <v>50508</v>
      </c>
      <c r="E2" s="788">
        <v>50465</v>
      </c>
      <c r="F2" s="788">
        <v>50060</v>
      </c>
      <c r="G2" s="788">
        <v>50061</v>
      </c>
      <c r="H2" s="788">
        <v>50062</v>
      </c>
      <c r="I2" s="788">
        <v>50063</v>
      </c>
      <c r="J2" s="788">
        <v>50064</v>
      </c>
      <c r="K2" s="788">
        <v>50065</v>
      </c>
      <c r="L2" s="788">
        <v>50551</v>
      </c>
      <c r="M2" s="788">
        <v>50066</v>
      </c>
      <c r="N2" s="788">
        <v>50067</v>
      </c>
      <c r="O2" s="788">
        <v>50068</v>
      </c>
      <c r="P2" s="788">
        <v>50466</v>
      </c>
      <c r="Q2" s="788">
        <v>50069</v>
      </c>
      <c r="R2" s="788">
        <v>50450</v>
      </c>
      <c r="S2" s="788">
        <v>50070</v>
      </c>
      <c r="T2" s="788">
        <v>50509</v>
      </c>
      <c r="U2" s="788">
        <v>50539</v>
      </c>
      <c r="V2" s="788">
        <v>50467</v>
      </c>
      <c r="W2" s="788">
        <v>50072</v>
      </c>
      <c r="X2" s="788">
        <v>50074</v>
      </c>
      <c r="Y2" s="788">
        <v>50075</v>
      </c>
      <c r="Z2" s="788">
        <v>50076</v>
      </c>
      <c r="AA2" s="788">
        <v>50510</v>
      </c>
      <c r="AB2" s="788">
        <v>50077</v>
      </c>
      <c r="AC2" s="788">
        <v>50078</v>
      </c>
      <c r="AD2" s="788">
        <v>50079</v>
      </c>
      <c r="AE2" s="788">
        <v>50080</v>
      </c>
      <c r="AF2" s="788">
        <v>50081</v>
      </c>
      <c r="AG2" s="788">
        <v>50502</v>
      </c>
      <c r="AH2" s="788">
        <v>50082</v>
      </c>
      <c r="AI2" s="788">
        <v>50083</v>
      </c>
      <c r="AJ2" s="788">
        <v>50084</v>
      </c>
      <c r="AK2" s="788">
        <v>50085</v>
      </c>
      <c r="AL2" s="788">
        <v>50468</v>
      </c>
      <c r="AM2" s="788">
        <v>50086</v>
      </c>
      <c r="AN2" s="788">
        <v>50087</v>
      </c>
      <c r="AO2" s="788">
        <v>50088</v>
      </c>
      <c r="AP2" s="788">
        <v>50089</v>
      </c>
      <c r="AQ2" s="788">
        <v>50090</v>
      </c>
      <c r="AR2" s="788">
        <v>50091</v>
      </c>
      <c r="AS2" s="788">
        <v>50511</v>
      </c>
      <c r="AT2" s="788">
        <v>50092</v>
      </c>
      <c r="AU2" s="788">
        <v>50093</v>
      </c>
      <c r="AV2" s="788">
        <v>50512</v>
      </c>
      <c r="AW2" s="788">
        <v>50094</v>
      </c>
      <c r="AX2" s="788">
        <v>50095</v>
      </c>
      <c r="AY2" s="788">
        <v>50096</v>
      </c>
      <c r="AZ2" s="788">
        <v>50097</v>
      </c>
      <c r="BA2" s="788">
        <v>50098</v>
      </c>
      <c r="BB2" s="788">
        <v>50099</v>
      </c>
      <c r="BC2" s="788">
        <v>50100</v>
      </c>
      <c r="BD2" s="788">
        <v>50101</v>
      </c>
      <c r="BE2" s="788">
        <v>50102</v>
      </c>
      <c r="BF2" s="788">
        <v>50103</v>
      </c>
      <c r="BG2" s="788">
        <v>50104</v>
      </c>
      <c r="BH2" s="788">
        <v>50513</v>
      </c>
      <c r="BI2" s="788">
        <v>50105</v>
      </c>
      <c r="BJ2" s="788">
        <v>50460</v>
      </c>
      <c r="BK2" s="788">
        <v>50106</v>
      </c>
      <c r="BL2" s="788">
        <v>50107</v>
      </c>
      <c r="BM2" s="788">
        <v>50108</v>
      </c>
      <c r="BN2" s="788">
        <v>50559</v>
      </c>
      <c r="BO2" s="788">
        <v>50109</v>
      </c>
      <c r="BP2" s="788">
        <v>50110</v>
      </c>
      <c r="BQ2" s="788">
        <v>50472</v>
      </c>
      <c r="BR2" s="788">
        <v>50461</v>
      </c>
      <c r="BS2" s="788">
        <v>50111</v>
      </c>
      <c r="BT2" s="788">
        <v>50112</v>
      </c>
      <c r="BU2" s="788">
        <v>50113</v>
      </c>
      <c r="BV2" s="788">
        <v>50568</v>
      </c>
      <c r="BW2" s="788">
        <v>50114</v>
      </c>
      <c r="BX2" s="788">
        <v>50115</v>
      </c>
      <c r="BY2" s="788">
        <v>50116</v>
      </c>
      <c r="BZ2" s="788">
        <v>50117</v>
      </c>
      <c r="CA2" s="788">
        <v>50119</v>
      </c>
      <c r="CB2" s="788">
        <v>50118</v>
      </c>
      <c r="CC2" s="788">
        <v>50120</v>
      </c>
      <c r="CD2" s="788">
        <v>50121</v>
      </c>
      <c r="CE2" s="788">
        <v>50122</v>
      </c>
      <c r="CF2" s="788">
        <v>50123</v>
      </c>
      <c r="CG2" s="788">
        <v>50124</v>
      </c>
      <c r="CH2" s="788">
        <v>50125</v>
      </c>
      <c r="CI2" s="788">
        <v>50126</v>
      </c>
      <c r="CJ2" s="788">
        <v>50127</v>
      </c>
      <c r="CK2" s="788">
        <v>50128</v>
      </c>
    </row>
    <row r="3" spans="1:89" x14ac:dyDescent="0.3">
      <c r="A3" s="155">
        <v>4</v>
      </c>
      <c r="B3" t="s">
        <v>111</v>
      </c>
      <c r="D3">
        <v>19079</v>
      </c>
      <c r="E3">
        <v>304757</v>
      </c>
      <c r="F3">
        <v>22098</v>
      </c>
      <c r="G3">
        <v>24899</v>
      </c>
      <c r="I3">
        <v>203020</v>
      </c>
      <c r="J3">
        <v>26977</v>
      </c>
      <c r="K3">
        <v>949172</v>
      </c>
      <c r="L3">
        <v>0</v>
      </c>
      <c r="M3">
        <v>1168663</v>
      </c>
      <c r="N3">
        <v>1473123</v>
      </c>
      <c r="O3">
        <v>24475404</v>
      </c>
      <c r="P3">
        <v>1014</v>
      </c>
      <c r="Q3">
        <v>4765</v>
      </c>
      <c r="R3">
        <v>331067</v>
      </c>
      <c r="S3">
        <v>25837</v>
      </c>
      <c r="T3">
        <v>186512</v>
      </c>
      <c r="U3">
        <v>49412</v>
      </c>
      <c r="V3">
        <v>100635</v>
      </c>
      <c r="W3">
        <v>34749</v>
      </c>
      <c r="X3">
        <v>5521240</v>
      </c>
      <c r="Y3">
        <v>43768000</v>
      </c>
      <c r="Z3">
        <v>441379</v>
      </c>
      <c r="AA3">
        <v>13570</v>
      </c>
      <c r="AB3">
        <v>327089</v>
      </c>
      <c r="AD3">
        <v>103413</v>
      </c>
      <c r="AE3">
        <v>93531</v>
      </c>
      <c r="AF3">
        <v>2525823</v>
      </c>
      <c r="AG3">
        <v>708111</v>
      </c>
      <c r="AH3">
        <v>28561</v>
      </c>
      <c r="AI3">
        <v>478868</v>
      </c>
      <c r="AJ3">
        <v>47173</v>
      </c>
      <c r="AK3">
        <v>4903</v>
      </c>
      <c r="AL3">
        <v>12828</v>
      </c>
      <c r="AN3">
        <v>8520</v>
      </c>
      <c r="AP3">
        <v>1299</v>
      </c>
      <c r="AQ3">
        <v>16722579</v>
      </c>
      <c r="AR3">
        <v>0</v>
      </c>
      <c r="AS3">
        <v>31810</v>
      </c>
      <c r="AT3">
        <v>955655</v>
      </c>
      <c r="AU3">
        <v>22493</v>
      </c>
      <c r="AV3">
        <v>2784</v>
      </c>
      <c r="AW3">
        <v>3426174</v>
      </c>
      <c r="AX3">
        <v>7813</v>
      </c>
      <c r="AY3">
        <v>285875</v>
      </c>
      <c r="AZ3">
        <v>155301</v>
      </c>
      <c r="BA3">
        <v>552</v>
      </c>
      <c r="BB3">
        <v>760</v>
      </c>
      <c r="BC3">
        <v>83059</v>
      </c>
      <c r="BD3">
        <v>702</v>
      </c>
      <c r="BE3">
        <v>1484199</v>
      </c>
      <c r="BF3">
        <v>27452</v>
      </c>
      <c r="BG3">
        <v>6771</v>
      </c>
      <c r="BH3">
        <v>137711</v>
      </c>
      <c r="BI3">
        <v>75232</v>
      </c>
      <c r="BJ3">
        <v>36137</v>
      </c>
      <c r="BK3">
        <v>158462</v>
      </c>
      <c r="BL3">
        <v>17839</v>
      </c>
      <c r="BM3">
        <v>6691</v>
      </c>
      <c r="BN3">
        <v>383060</v>
      </c>
      <c r="BO3">
        <v>2418886</v>
      </c>
      <c r="BP3">
        <v>25660279</v>
      </c>
      <c r="BQ3">
        <v>691</v>
      </c>
      <c r="BR3">
        <v>71909</v>
      </c>
      <c r="BS3">
        <v>13059</v>
      </c>
      <c r="BU3">
        <v>20537</v>
      </c>
      <c r="BV3">
        <v>14837</v>
      </c>
      <c r="BW3">
        <v>324455</v>
      </c>
      <c r="BX3">
        <v>13626</v>
      </c>
      <c r="BY3">
        <v>5335456</v>
      </c>
      <c r="BZ3">
        <v>181173</v>
      </c>
      <c r="CA3">
        <v>33804</v>
      </c>
      <c r="CB3">
        <v>219863</v>
      </c>
      <c r="CC3">
        <v>6857</v>
      </c>
      <c r="CD3">
        <v>19374</v>
      </c>
      <c r="CF3">
        <v>120695</v>
      </c>
      <c r="CG3">
        <v>514606</v>
      </c>
      <c r="CH3">
        <v>193278</v>
      </c>
      <c r="CI3">
        <v>379844</v>
      </c>
      <c r="CK3">
        <v>647</v>
      </c>
    </row>
    <row r="4" spans="1:89" x14ac:dyDescent="0.3">
      <c r="A4" s="155">
        <v>5</v>
      </c>
      <c r="B4" t="s">
        <v>112</v>
      </c>
      <c r="D4">
        <v>0</v>
      </c>
      <c r="E4">
        <v>0</v>
      </c>
      <c r="F4">
        <v>0</v>
      </c>
      <c r="G4">
        <v>0</v>
      </c>
      <c r="I4">
        <v>3764</v>
      </c>
      <c r="J4">
        <v>718657</v>
      </c>
      <c r="K4">
        <v>0</v>
      </c>
      <c r="L4">
        <v>124607</v>
      </c>
      <c r="M4">
        <v>59709</v>
      </c>
      <c r="N4">
        <v>0</v>
      </c>
      <c r="O4">
        <v>0</v>
      </c>
      <c r="P4">
        <v>0</v>
      </c>
      <c r="Q4">
        <v>0</v>
      </c>
      <c r="R4">
        <v>0</v>
      </c>
      <c r="S4">
        <v>268</v>
      </c>
      <c r="T4">
        <v>0</v>
      </c>
      <c r="U4">
        <v>0</v>
      </c>
      <c r="V4">
        <v>0</v>
      </c>
      <c r="W4">
        <v>0</v>
      </c>
      <c r="X4">
        <v>10045</v>
      </c>
      <c r="Y4">
        <v>264000</v>
      </c>
      <c r="Z4">
        <v>0</v>
      </c>
      <c r="AA4">
        <v>18484</v>
      </c>
      <c r="AB4">
        <v>0</v>
      </c>
      <c r="AD4">
        <v>0</v>
      </c>
      <c r="AE4">
        <v>2903</v>
      </c>
      <c r="AF4">
        <v>70</v>
      </c>
      <c r="AG4">
        <v>283</v>
      </c>
      <c r="AH4">
        <v>2057</v>
      </c>
      <c r="AI4">
        <v>0</v>
      </c>
      <c r="AJ4">
        <v>1945</v>
      </c>
      <c r="AK4">
        <v>0</v>
      </c>
      <c r="AL4">
        <v>0</v>
      </c>
      <c r="AN4">
        <v>4440</v>
      </c>
      <c r="AP4">
        <v>596</v>
      </c>
      <c r="AQ4">
        <v>24822</v>
      </c>
      <c r="AR4">
        <v>0</v>
      </c>
      <c r="AS4">
        <v>0</v>
      </c>
      <c r="AT4">
        <v>3875</v>
      </c>
      <c r="AU4">
        <v>200</v>
      </c>
      <c r="AV4">
        <v>0</v>
      </c>
      <c r="AW4">
        <v>0</v>
      </c>
      <c r="AX4">
        <v>100000</v>
      </c>
      <c r="AY4">
        <v>61160</v>
      </c>
      <c r="AZ4">
        <v>11333</v>
      </c>
      <c r="BA4">
        <v>0</v>
      </c>
      <c r="BB4">
        <v>0</v>
      </c>
      <c r="BC4">
        <v>0</v>
      </c>
      <c r="BD4">
        <v>0</v>
      </c>
      <c r="BE4">
        <v>0</v>
      </c>
      <c r="BF4">
        <v>0</v>
      </c>
      <c r="BG4">
        <v>0</v>
      </c>
      <c r="BH4">
        <v>162</v>
      </c>
      <c r="BI4">
        <v>0</v>
      </c>
      <c r="BJ4">
        <v>0</v>
      </c>
      <c r="BK4">
        <v>0</v>
      </c>
      <c r="BL4">
        <v>0</v>
      </c>
      <c r="BM4">
        <v>0</v>
      </c>
      <c r="BN4">
        <v>92402</v>
      </c>
      <c r="BO4">
        <v>1823</v>
      </c>
      <c r="BP4">
        <v>428092</v>
      </c>
      <c r="BQ4">
        <v>0</v>
      </c>
      <c r="BR4">
        <v>0</v>
      </c>
      <c r="BS4">
        <v>0</v>
      </c>
      <c r="BU4">
        <v>0</v>
      </c>
      <c r="BV4">
        <v>0</v>
      </c>
      <c r="BW4">
        <v>503717</v>
      </c>
      <c r="BX4">
        <v>0</v>
      </c>
      <c r="BY4">
        <v>92645</v>
      </c>
      <c r="BZ4">
        <v>5676</v>
      </c>
      <c r="CA4">
        <v>0</v>
      </c>
      <c r="CB4">
        <v>3457</v>
      </c>
      <c r="CC4">
        <v>0</v>
      </c>
      <c r="CD4">
        <v>616</v>
      </c>
      <c r="CF4">
        <v>1536</v>
      </c>
      <c r="CG4">
        <v>0</v>
      </c>
      <c r="CH4">
        <v>0</v>
      </c>
      <c r="CI4">
        <v>1846</v>
      </c>
      <c r="CK4">
        <v>0</v>
      </c>
    </row>
    <row r="5" spans="1:89" x14ac:dyDescent="0.3">
      <c r="A5" s="155">
        <v>6</v>
      </c>
      <c r="B5" t="s">
        <v>251</v>
      </c>
      <c r="D5">
        <v>0</v>
      </c>
      <c r="E5">
        <v>0</v>
      </c>
      <c r="F5">
        <v>0</v>
      </c>
      <c r="G5">
        <v>0</v>
      </c>
      <c r="I5">
        <v>0</v>
      </c>
      <c r="J5">
        <v>0</v>
      </c>
      <c r="K5">
        <v>0</v>
      </c>
      <c r="L5">
        <v>0</v>
      </c>
      <c r="M5">
        <v>484372</v>
      </c>
      <c r="N5">
        <v>0</v>
      </c>
      <c r="O5">
        <v>8870823</v>
      </c>
      <c r="P5">
        <v>0</v>
      </c>
      <c r="Q5">
        <v>0</v>
      </c>
      <c r="R5">
        <v>0</v>
      </c>
      <c r="S5">
        <v>0</v>
      </c>
      <c r="T5">
        <v>0</v>
      </c>
      <c r="U5">
        <v>0</v>
      </c>
      <c r="V5">
        <v>0</v>
      </c>
      <c r="W5">
        <v>0</v>
      </c>
      <c r="X5">
        <v>1326306</v>
      </c>
      <c r="Y5">
        <v>14369000</v>
      </c>
      <c r="Z5">
        <v>0</v>
      </c>
      <c r="AA5">
        <v>0</v>
      </c>
      <c r="AB5">
        <v>107330</v>
      </c>
      <c r="AD5">
        <v>24027</v>
      </c>
      <c r="AE5">
        <v>0</v>
      </c>
      <c r="AF5">
        <v>0</v>
      </c>
      <c r="AG5">
        <v>574571</v>
      </c>
      <c r="AH5">
        <v>0</v>
      </c>
      <c r="AI5">
        <v>0</v>
      </c>
      <c r="AJ5">
        <v>0</v>
      </c>
      <c r="AK5">
        <v>0</v>
      </c>
      <c r="AL5">
        <v>0</v>
      </c>
      <c r="AN5">
        <v>0</v>
      </c>
      <c r="AP5">
        <v>0</v>
      </c>
      <c r="AQ5">
        <v>5465623</v>
      </c>
      <c r="AR5">
        <v>0</v>
      </c>
      <c r="AS5">
        <v>0</v>
      </c>
      <c r="AT5">
        <v>488354</v>
      </c>
      <c r="AU5">
        <v>0</v>
      </c>
      <c r="AV5">
        <v>0</v>
      </c>
      <c r="AW5">
        <v>0</v>
      </c>
      <c r="AX5">
        <v>0</v>
      </c>
      <c r="AY5">
        <v>0</v>
      </c>
      <c r="AZ5">
        <v>0</v>
      </c>
      <c r="BA5">
        <v>0</v>
      </c>
      <c r="BB5">
        <v>0</v>
      </c>
      <c r="BC5">
        <v>0</v>
      </c>
      <c r="BD5">
        <v>0</v>
      </c>
      <c r="BE5">
        <v>806172</v>
      </c>
      <c r="BF5">
        <v>0</v>
      </c>
      <c r="BG5">
        <v>0</v>
      </c>
      <c r="BH5">
        <v>0</v>
      </c>
      <c r="BI5">
        <v>0</v>
      </c>
      <c r="BJ5">
        <v>0</v>
      </c>
      <c r="BK5">
        <v>0</v>
      </c>
      <c r="BL5">
        <v>0</v>
      </c>
      <c r="BM5">
        <v>0</v>
      </c>
      <c r="BN5">
        <v>212161</v>
      </c>
      <c r="BO5">
        <v>0</v>
      </c>
      <c r="BP5">
        <v>10199904</v>
      </c>
      <c r="BQ5">
        <v>0</v>
      </c>
      <c r="BR5">
        <v>0</v>
      </c>
      <c r="BS5">
        <v>0</v>
      </c>
      <c r="BU5">
        <v>0</v>
      </c>
      <c r="BV5">
        <v>0</v>
      </c>
      <c r="BW5">
        <v>0</v>
      </c>
      <c r="BX5">
        <v>0</v>
      </c>
      <c r="BY5">
        <v>0</v>
      </c>
      <c r="BZ5">
        <v>0</v>
      </c>
      <c r="CA5">
        <v>0</v>
      </c>
      <c r="CB5">
        <v>252518</v>
      </c>
      <c r="CC5">
        <v>0</v>
      </c>
      <c r="CD5">
        <v>0</v>
      </c>
      <c r="CF5">
        <v>0</v>
      </c>
      <c r="CG5">
        <v>113304</v>
      </c>
      <c r="CH5">
        <v>0</v>
      </c>
      <c r="CI5">
        <v>0</v>
      </c>
      <c r="CK5">
        <v>0</v>
      </c>
    </row>
    <row r="6" spans="1:89" x14ac:dyDescent="0.3">
      <c r="A6" s="155">
        <v>7</v>
      </c>
      <c r="B6" t="s">
        <v>193</v>
      </c>
      <c r="D6">
        <v>0</v>
      </c>
      <c r="E6">
        <v>0</v>
      </c>
      <c r="F6">
        <v>0</v>
      </c>
      <c r="G6">
        <v>0</v>
      </c>
      <c r="I6">
        <v>11208</v>
      </c>
      <c r="J6">
        <v>4136</v>
      </c>
      <c r="K6">
        <v>0</v>
      </c>
      <c r="L6">
        <v>0</v>
      </c>
      <c r="M6">
        <v>603981</v>
      </c>
      <c r="N6">
        <v>0</v>
      </c>
      <c r="O6">
        <v>3200933</v>
      </c>
      <c r="P6">
        <v>0</v>
      </c>
      <c r="Q6">
        <v>5000</v>
      </c>
      <c r="R6">
        <v>0</v>
      </c>
      <c r="S6">
        <v>3513</v>
      </c>
      <c r="T6">
        <v>0</v>
      </c>
      <c r="U6">
        <v>0</v>
      </c>
      <c r="V6">
        <v>0</v>
      </c>
      <c r="W6">
        <v>0</v>
      </c>
      <c r="X6">
        <v>3822</v>
      </c>
      <c r="Y6">
        <v>199000</v>
      </c>
      <c r="Z6">
        <v>0</v>
      </c>
      <c r="AA6">
        <v>0</v>
      </c>
      <c r="AB6">
        <v>63092</v>
      </c>
      <c r="AD6">
        <v>26349</v>
      </c>
      <c r="AE6">
        <v>0</v>
      </c>
      <c r="AF6">
        <v>36200</v>
      </c>
      <c r="AG6">
        <v>88462</v>
      </c>
      <c r="AH6">
        <v>0</v>
      </c>
      <c r="AI6">
        <v>17510</v>
      </c>
      <c r="AJ6">
        <v>0</v>
      </c>
      <c r="AK6">
        <v>0</v>
      </c>
      <c r="AL6">
        <v>0</v>
      </c>
      <c r="AN6">
        <v>0</v>
      </c>
      <c r="AP6">
        <v>0</v>
      </c>
      <c r="AQ6">
        <v>241969</v>
      </c>
      <c r="AR6">
        <v>0</v>
      </c>
      <c r="AS6">
        <v>0</v>
      </c>
      <c r="AT6">
        <v>82232</v>
      </c>
      <c r="AU6">
        <v>0</v>
      </c>
      <c r="AV6">
        <v>0</v>
      </c>
      <c r="AW6">
        <v>165019</v>
      </c>
      <c r="AX6">
        <v>0</v>
      </c>
      <c r="AY6">
        <v>1644005</v>
      </c>
      <c r="AZ6">
        <v>1079</v>
      </c>
      <c r="BA6">
        <v>0</v>
      </c>
      <c r="BB6">
        <v>2029</v>
      </c>
      <c r="BC6">
        <v>312</v>
      </c>
      <c r="BD6">
        <v>0</v>
      </c>
      <c r="BE6">
        <v>0</v>
      </c>
      <c r="BF6">
        <v>0</v>
      </c>
      <c r="BG6">
        <v>0</v>
      </c>
      <c r="BH6">
        <v>0</v>
      </c>
      <c r="BI6">
        <v>21795</v>
      </c>
      <c r="BJ6">
        <v>0</v>
      </c>
      <c r="BK6">
        <v>0</v>
      </c>
      <c r="BL6">
        <v>0</v>
      </c>
      <c r="BM6">
        <v>0</v>
      </c>
      <c r="BN6">
        <v>158793</v>
      </c>
      <c r="BO6">
        <v>164901</v>
      </c>
      <c r="BP6">
        <v>629591</v>
      </c>
      <c r="BQ6">
        <v>0</v>
      </c>
      <c r="BR6">
        <v>0</v>
      </c>
      <c r="BS6">
        <v>0</v>
      </c>
      <c r="BU6">
        <v>25000</v>
      </c>
      <c r="BV6">
        <v>0</v>
      </c>
      <c r="BW6">
        <v>347111</v>
      </c>
      <c r="BX6">
        <v>14709</v>
      </c>
      <c r="BY6">
        <v>88887</v>
      </c>
      <c r="BZ6">
        <v>0</v>
      </c>
      <c r="CA6">
        <v>0</v>
      </c>
      <c r="CB6">
        <v>0</v>
      </c>
      <c r="CC6">
        <v>11700</v>
      </c>
      <c r="CD6">
        <v>9803</v>
      </c>
      <c r="CF6">
        <v>0</v>
      </c>
      <c r="CG6">
        <v>39551</v>
      </c>
      <c r="CH6">
        <v>0</v>
      </c>
      <c r="CI6">
        <v>0</v>
      </c>
      <c r="CK6">
        <v>2404</v>
      </c>
    </row>
    <row r="7" spans="1:89" x14ac:dyDescent="0.3">
      <c r="A7" s="155">
        <v>9</v>
      </c>
      <c r="B7" t="s">
        <v>195</v>
      </c>
      <c r="D7">
        <v>3454351</v>
      </c>
      <c r="E7">
        <v>2294772</v>
      </c>
      <c r="F7">
        <v>973959</v>
      </c>
      <c r="G7">
        <v>680135</v>
      </c>
      <c r="I7">
        <v>4229383</v>
      </c>
      <c r="J7">
        <v>2300625</v>
      </c>
      <c r="K7">
        <v>9714788</v>
      </c>
      <c r="L7">
        <v>5189667</v>
      </c>
      <c r="M7">
        <v>15601262</v>
      </c>
      <c r="N7">
        <v>2233766</v>
      </c>
      <c r="O7">
        <v>182664805</v>
      </c>
      <c r="P7">
        <v>89047</v>
      </c>
      <c r="Q7">
        <v>332057</v>
      </c>
      <c r="R7">
        <v>1117895</v>
      </c>
      <c r="S7">
        <v>1288198</v>
      </c>
      <c r="T7">
        <v>1413181</v>
      </c>
      <c r="U7">
        <v>432813</v>
      </c>
      <c r="V7">
        <v>347193</v>
      </c>
      <c r="W7">
        <v>2365213</v>
      </c>
      <c r="X7">
        <v>36300291</v>
      </c>
      <c r="Y7">
        <v>212484000</v>
      </c>
      <c r="Z7">
        <v>5516695</v>
      </c>
      <c r="AA7">
        <v>513096</v>
      </c>
      <c r="AB7">
        <v>3473934</v>
      </c>
      <c r="AD7">
        <v>4636111</v>
      </c>
      <c r="AE7">
        <v>2643953</v>
      </c>
      <c r="AF7">
        <v>25437923</v>
      </c>
      <c r="AG7">
        <v>9247710</v>
      </c>
      <c r="AH7">
        <v>3445452</v>
      </c>
      <c r="AI7">
        <v>8527077</v>
      </c>
      <c r="AJ7">
        <v>1499926</v>
      </c>
      <c r="AK7">
        <v>1898004</v>
      </c>
      <c r="AL7">
        <v>997369</v>
      </c>
      <c r="AN7">
        <v>1037330</v>
      </c>
      <c r="AP7">
        <v>83352</v>
      </c>
      <c r="AQ7">
        <v>89286479</v>
      </c>
      <c r="AR7">
        <v>403794</v>
      </c>
      <c r="AS7">
        <v>2068634</v>
      </c>
      <c r="AT7">
        <v>12182386</v>
      </c>
      <c r="AU7">
        <v>641020</v>
      </c>
      <c r="AV7">
        <v>1204460</v>
      </c>
      <c r="AW7">
        <v>30406551</v>
      </c>
      <c r="AX7">
        <v>257086</v>
      </c>
      <c r="AY7">
        <v>5567849</v>
      </c>
      <c r="AZ7">
        <v>9783593</v>
      </c>
      <c r="BA7">
        <v>596822</v>
      </c>
      <c r="BB7">
        <v>331476</v>
      </c>
      <c r="BC7">
        <v>3876998</v>
      </c>
      <c r="BD7">
        <v>185591</v>
      </c>
      <c r="BE7">
        <v>13536145</v>
      </c>
      <c r="BF7">
        <v>2662232</v>
      </c>
      <c r="BG7">
        <v>860014</v>
      </c>
      <c r="BH7">
        <v>540551</v>
      </c>
      <c r="BI7">
        <v>1867314</v>
      </c>
      <c r="BJ7">
        <v>3347965</v>
      </c>
      <c r="BK7">
        <v>363876</v>
      </c>
      <c r="BL7">
        <v>2185680</v>
      </c>
      <c r="BM7">
        <v>1086236</v>
      </c>
      <c r="BN7">
        <v>11328460</v>
      </c>
      <c r="BO7">
        <v>6590480</v>
      </c>
      <c r="BP7">
        <v>123290886</v>
      </c>
      <c r="BQ7">
        <v>110300</v>
      </c>
      <c r="BR7">
        <v>297249</v>
      </c>
      <c r="BS7">
        <v>925605</v>
      </c>
      <c r="BU7">
        <v>2365710</v>
      </c>
      <c r="BV7">
        <v>7326222</v>
      </c>
      <c r="BW7">
        <v>12378104</v>
      </c>
      <c r="BX7">
        <v>3557682</v>
      </c>
      <c r="BY7">
        <v>7811598</v>
      </c>
      <c r="BZ7">
        <v>2656101</v>
      </c>
      <c r="CA7">
        <v>755607</v>
      </c>
      <c r="CB7">
        <v>6243316</v>
      </c>
      <c r="CC7">
        <v>949189</v>
      </c>
      <c r="CD7">
        <v>1080908</v>
      </c>
      <c r="CF7">
        <v>9687042</v>
      </c>
      <c r="CG7">
        <v>3967067</v>
      </c>
      <c r="CH7">
        <v>516953</v>
      </c>
      <c r="CI7">
        <v>3933245</v>
      </c>
      <c r="CK7">
        <v>74014</v>
      </c>
    </row>
    <row r="8" spans="1:89" x14ac:dyDescent="0.3">
      <c r="A8" s="155">
        <v>11</v>
      </c>
      <c r="B8" t="s">
        <v>194</v>
      </c>
      <c r="D8">
        <v>0</v>
      </c>
      <c r="E8">
        <v>0</v>
      </c>
      <c r="F8">
        <v>39114</v>
      </c>
      <c r="G8">
        <v>42965</v>
      </c>
      <c r="I8">
        <v>99715</v>
      </c>
      <c r="J8">
        <v>16404</v>
      </c>
      <c r="K8">
        <v>639679</v>
      </c>
      <c r="L8">
        <v>0</v>
      </c>
      <c r="M8">
        <v>312385</v>
      </c>
      <c r="N8">
        <v>65176</v>
      </c>
      <c r="O8">
        <v>9144916</v>
      </c>
      <c r="P8">
        <v>0</v>
      </c>
      <c r="Q8">
        <v>22764</v>
      </c>
      <c r="R8">
        <v>0</v>
      </c>
      <c r="S8">
        <v>474</v>
      </c>
      <c r="T8">
        <v>111156</v>
      </c>
      <c r="U8">
        <v>0</v>
      </c>
      <c r="V8">
        <v>32083</v>
      </c>
      <c r="W8">
        <v>79329</v>
      </c>
      <c r="X8">
        <v>0</v>
      </c>
      <c r="Y8">
        <v>0</v>
      </c>
      <c r="Z8">
        <v>268933</v>
      </c>
      <c r="AA8">
        <v>0</v>
      </c>
      <c r="AB8">
        <v>238186</v>
      </c>
      <c r="AD8">
        <v>30553</v>
      </c>
      <c r="AE8">
        <v>58714</v>
      </c>
      <c r="AF8">
        <v>296450</v>
      </c>
      <c r="AG8">
        <v>29478</v>
      </c>
      <c r="AH8">
        <v>177483</v>
      </c>
      <c r="AI8">
        <v>0</v>
      </c>
      <c r="AJ8">
        <v>42921</v>
      </c>
      <c r="AK8">
        <v>149190</v>
      </c>
      <c r="AL8">
        <v>43633</v>
      </c>
      <c r="AN8">
        <v>0</v>
      </c>
      <c r="AP8">
        <v>0</v>
      </c>
      <c r="AQ8">
        <v>1313931</v>
      </c>
      <c r="AR8">
        <v>82005</v>
      </c>
      <c r="AS8">
        <v>104393</v>
      </c>
      <c r="AT8">
        <v>220013</v>
      </c>
      <c r="AU8">
        <v>43508</v>
      </c>
      <c r="AV8">
        <v>64587</v>
      </c>
      <c r="AW8">
        <v>940853</v>
      </c>
      <c r="AX8">
        <v>67032</v>
      </c>
      <c r="AY8">
        <v>100444</v>
      </c>
      <c r="AZ8">
        <v>476555</v>
      </c>
      <c r="BA8">
        <v>84084</v>
      </c>
      <c r="BB8">
        <v>20380</v>
      </c>
      <c r="BC8">
        <v>109902</v>
      </c>
      <c r="BD8">
        <v>15540</v>
      </c>
      <c r="BE8">
        <v>270303</v>
      </c>
      <c r="BF8">
        <v>106188</v>
      </c>
      <c r="BG8">
        <v>11005</v>
      </c>
      <c r="BH8">
        <v>0</v>
      </c>
      <c r="BI8">
        <v>203559</v>
      </c>
      <c r="BJ8">
        <v>0</v>
      </c>
      <c r="BK8">
        <v>45225</v>
      </c>
      <c r="BL8">
        <v>65428</v>
      </c>
      <c r="BM8">
        <v>59615</v>
      </c>
      <c r="BN8">
        <v>0</v>
      </c>
      <c r="BO8">
        <v>0</v>
      </c>
      <c r="BP8">
        <v>0</v>
      </c>
      <c r="BQ8">
        <v>46529</v>
      </c>
      <c r="BR8">
        <v>45212</v>
      </c>
      <c r="BS8">
        <v>2124</v>
      </c>
      <c r="BU8">
        <v>174611</v>
      </c>
      <c r="BV8">
        <v>693161</v>
      </c>
      <c r="BW8">
        <v>104894</v>
      </c>
      <c r="BX8">
        <v>65183</v>
      </c>
      <c r="BY8">
        <v>7112</v>
      </c>
      <c r="BZ8">
        <v>733912</v>
      </c>
      <c r="CA8">
        <v>12150</v>
      </c>
      <c r="CB8">
        <v>83231</v>
      </c>
      <c r="CC8">
        <v>97325</v>
      </c>
      <c r="CD8">
        <v>198807</v>
      </c>
      <c r="CF8">
        <v>367458</v>
      </c>
      <c r="CG8">
        <v>11617</v>
      </c>
      <c r="CH8">
        <v>168197</v>
      </c>
      <c r="CI8">
        <v>205188</v>
      </c>
      <c r="CK8">
        <v>6736</v>
      </c>
    </row>
    <row r="9" spans="1:89" x14ac:dyDescent="0.3">
      <c r="A9" s="155">
        <v>16</v>
      </c>
      <c r="B9" t="s">
        <v>197</v>
      </c>
      <c r="D9">
        <v>923619</v>
      </c>
      <c r="E9">
        <v>1729895</v>
      </c>
      <c r="F9">
        <v>573634</v>
      </c>
      <c r="G9">
        <v>285385</v>
      </c>
      <c r="I9">
        <v>9438683</v>
      </c>
      <c r="J9">
        <v>2273184</v>
      </c>
      <c r="K9">
        <v>19839192</v>
      </c>
      <c r="L9">
        <v>4945821</v>
      </c>
      <c r="M9">
        <v>27591634</v>
      </c>
      <c r="N9">
        <v>3522912</v>
      </c>
      <c r="O9">
        <v>213697544</v>
      </c>
      <c r="P9">
        <v>46166</v>
      </c>
      <c r="Q9">
        <v>207061</v>
      </c>
      <c r="R9">
        <v>1210070</v>
      </c>
      <c r="S9">
        <v>1028268</v>
      </c>
      <c r="T9">
        <v>2364224</v>
      </c>
      <c r="U9">
        <v>266722</v>
      </c>
      <c r="V9">
        <v>288257</v>
      </c>
      <c r="W9">
        <v>1657961</v>
      </c>
      <c r="X9">
        <v>72540727</v>
      </c>
      <c r="Y9">
        <v>764641000</v>
      </c>
      <c r="Z9">
        <v>5614067</v>
      </c>
      <c r="AA9">
        <v>610876</v>
      </c>
      <c r="AB9">
        <v>4434547</v>
      </c>
      <c r="AD9">
        <v>4467700</v>
      </c>
      <c r="AE9">
        <v>872636</v>
      </c>
      <c r="AF9">
        <v>38058555</v>
      </c>
      <c r="AG9">
        <v>7685389</v>
      </c>
      <c r="AH9">
        <v>1249920</v>
      </c>
      <c r="AI9">
        <v>11003006</v>
      </c>
      <c r="AJ9">
        <v>1324473</v>
      </c>
      <c r="AK9">
        <v>1707416</v>
      </c>
      <c r="AL9">
        <v>331295</v>
      </c>
      <c r="AN9">
        <v>562750</v>
      </c>
      <c r="AP9">
        <v>33070</v>
      </c>
      <c r="AQ9">
        <v>115661413</v>
      </c>
      <c r="AR9">
        <v>116730</v>
      </c>
      <c r="AS9">
        <v>708548</v>
      </c>
      <c r="AT9">
        <v>11978214</v>
      </c>
      <c r="AU9">
        <v>798656</v>
      </c>
      <c r="AV9">
        <v>616921</v>
      </c>
      <c r="AW9">
        <v>30399641</v>
      </c>
      <c r="AX9">
        <v>210538</v>
      </c>
      <c r="AY9">
        <v>6669376</v>
      </c>
      <c r="AZ9">
        <v>4602744</v>
      </c>
      <c r="BA9">
        <v>177028</v>
      </c>
      <c r="BB9">
        <v>181581</v>
      </c>
      <c r="BC9">
        <v>3393332</v>
      </c>
      <c r="BD9">
        <v>80363</v>
      </c>
      <c r="BE9">
        <v>14724379</v>
      </c>
      <c r="BF9">
        <v>2161338</v>
      </c>
      <c r="BG9">
        <v>257559</v>
      </c>
      <c r="BH9">
        <v>452641</v>
      </c>
      <c r="BI9">
        <v>2109372</v>
      </c>
      <c r="BJ9">
        <v>396841</v>
      </c>
      <c r="BK9">
        <v>256173</v>
      </c>
      <c r="BL9">
        <v>1357181</v>
      </c>
      <c r="BM9">
        <v>599018</v>
      </c>
      <c r="BN9">
        <v>10976150</v>
      </c>
      <c r="BO9">
        <v>12199936</v>
      </c>
      <c r="BP9">
        <v>248188509</v>
      </c>
      <c r="BQ9">
        <v>52193</v>
      </c>
      <c r="BR9">
        <v>103479</v>
      </c>
      <c r="BS9">
        <v>457691</v>
      </c>
      <c r="BU9">
        <v>2352385</v>
      </c>
      <c r="BV9">
        <v>1994808</v>
      </c>
      <c r="BW9">
        <v>16867355</v>
      </c>
      <c r="BX9">
        <v>5590031</v>
      </c>
      <c r="BY9">
        <v>23054118</v>
      </c>
      <c r="BZ9">
        <v>4981126</v>
      </c>
      <c r="CA9">
        <v>442774</v>
      </c>
      <c r="CB9">
        <v>6390534</v>
      </c>
      <c r="CC9">
        <v>224848</v>
      </c>
      <c r="CD9">
        <v>1545031</v>
      </c>
      <c r="CF9">
        <v>8830529</v>
      </c>
      <c r="CG9">
        <v>12015722</v>
      </c>
      <c r="CH9">
        <v>1682480</v>
      </c>
      <c r="CI9">
        <v>3663444</v>
      </c>
      <c r="CK9">
        <v>73062</v>
      </c>
    </row>
    <row r="10" spans="1:89" x14ac:dyDescent="0.3">
      <c r="A10" s="155">
        <v>17</v>
      </c>
      <c r="B10" t="s">
        <v>200</v>
      </c>
      <c r="D10">
        <v>0</v>
      </c>
      <c r="E10">
        <v>31900</v>
      </c>
      <c r="F10">
        <v>0</v>
      </c>
      <c r="G10">
        <v>0</v>
      </c>
      <c r="I10">
        <v>0</v>
      </c>
      <c r="J10">
        <v>0</v>
      </c>
      <c r="K10">
        <v>285555</v>
      </c>
      <c r="L10">
        <v>0</v>
      </c>
      <c r="M10">
        <v>87686</v>
      </c>
      <c r="N10">
        <v>0</v>
      </c>
      <c r="O10">
        <v>17204014</v>
      </c>
      <c r="P10">
        <v>0</v>
      </c>
      <c r="Q10">
        <v>43024</v>
      </c>
      <c r="R10">
        <v>198956</v>
      </c>
      <c r="S10">
        <v>176734</v>
      </c>
      <c r="T10">
        <v>0</v>
      </c>
      <c r="U10">
        <v>0</v>
      </c>
      <c r="V10">
        <v>0</v>
      </c>
      <c r="W10">
        <v>0</v>
      </c>
      <c r="X10">
        <v>45000</v>
      </c>
      <c r="Y10">
        <v>4797000</v>
      </c>
      <c r="Z10">
        <v>0</v>
      </c>
      <c r="AA10">
        <v>3593</v>
      </c>
      <c r="AB10">
        <v>0</v>
      </c>
      <c r="AD10">
        <v>0</v>
      </c>
      <c r="AE10">
        <v>0</v>
      </c>
      <c r="AF10">
        <v>0</v>
      </c>
      <c r="AG10">
        <v>738766</v>
      </c>
      <c r="AH10">
        <v>0</v>
      </c>
      <c r="AI10">
        <v>0</v>
      </c>
      <c r="AJ10">
        <v>0</v>
      </c>
      <c r="AK10">
        <v>0</v>
      </c>
      <c r="AL10">
        <v>0</v>
      </c>
      <c r="AN10">
        <v>0</v>
      </c>
      <c r="AP10">
        <v>0</v>
      </c>
      <c r="AQ10">
        <v>3824686</v>
      </c>
      <c r="AR10">
        <v>0</v>
      </c>
      <c r="AS10">
        <v>0</v>
      </c>
      <c r="AT10">
        <v>1486235</v>
      </c>
      <c r="AU10">
        <v>0</v>
      </c>
      <c r="AV10">
        <v>0</v>
      </c>
      <c r="AW10">
        <v>0</v>
      </c>
      <c r="AX10">
        <v>61827</v>
      </c>
      <c r="AY10">
        <v>748123</v>
      </c>
      <c r="AZ10">
        <v>0</v>
      </c>
      <c r="BA10">
        <v>0</v>
      </c>
      <c r="BB10">
        <v>19017</v>
      </c>
      <c r="BC10">
        <v>895733</v>
      </c>
      <c r="BD10">
        <v>0</v>
      </c>
      <c r="BE10">
        <v>0</v>
      </c>
      <c r="BF10">
        <v>267706</v>
      </c>
      <c r="BG10">
        <v>0</v>
      </c>
      <c r="BH10">
        <v>0</v>
      </c>
      <c r="BI10">
        <v>0</v>
      </c>
      <c r="BJ10">
        <v>65537</v>
      </c>
      <c r="BK10">
        <v>0</v>
      </c>
      <c r="BL10">
        <v>0</v>
      </c>
      <c r="BM10">
        <v>0</v>
      </c>
      <c r="BN10">
        <v>329832</v>
      </c>
      <c r="BO10">
        <v>35554</v>
      </c>
      <c r="BP10">
        <v>0</v>
      </c>
      <c r="BQ10">
        <v>0</v>
      </c>
      <c r="BR10">
        <v>0</v>
      </c>
      <c r="BS10">
        <v>0</v>
      </c>
      <c r="BU10">
        <v>247150</v>
      </c>
      <c r="BV10">
        <v>0</v>
      </c>
      <c r="BW10">
        <v>456961</v>
      </c>
      <c r="BX10">
        <v>332293</v>
      </c>
      <c r="BY10">
        <v>925000</v>
      </c>
      <c r="BZ10">
        <v>0</v>
      </c>
      <c r="CA10">
        <v>35375</v>
      </c>
      <c r="CB10">
        <v>639148</v>
      </c>
      <c r="CC10">
        <v>0</v>
      </c>
      <c r="CD10">
        <v>0</v>
      </c>
      <c r="CF10">
        <v>0</v>
      </c>
      <c r="CG10">
        <v>9071</v>
      </c>
      <c r="CH10">
        <v>0</v>
      </c>
      <c r="CI10">
        <v>0</v>
      </c>
      <c r="CK10">
        <v>22628</v>
      </c>
    </row>
    <row r="11" spans="1:89" x14ac:dyDescent="0.3">
      <c r="A11" s="155">
        <v>20</v>
      </c>
      <c r="B11" t="s">
        <v>201</v>
      </c>
      <c r="D11">
        <v>0</v>
      </c>
      <c r="E11">
        <v>263645</v>
      </c>
      <c r="F11">
        <v>11298</v>
      </c>
      <c r="G11">
        <v>0</v>
      </c>
      <c r="I11">
        <v>0</v>
      </c>
      <c r="J11">
        <v>0</v>
      </c>
      <c r="K11">
        <v>461598</v>
      </c>
      <c r="L11">
        <v>0</v>
      </c>
      <c r="M11">
        <v>6928065</v>
      </c>
      <c r="N11">
        <v>0</v>
      </c>
      <c r="O11">
        <v>30018460</v>
      </c>
      <c r="P11">
        <v>0</v>
      </c>
      <c r="Q11">
        <v>0</v>
      </c>
      <c r="R11">
        <v>20420</v>
      </c>
      <c r="S11">
        <v>20750</v>
      </c>
      <c r="T11">
        <v>0</v>
      </c>
      <c r="U11">
        <v>0</v>
      </c>
      <c r="V11">
        <v>69550</v>
      </c>
      <c r="W11">
        <v>0</v>
      </c>
      <c r="X11">
        <v>5111813</v>
      </c>
      <c r="Y11">
        <v>32597000</v>
      </c>
      <c r="Z11">
        <v>0</v>
      </c>
      <c r="AA11">
        <v>0</v>
      </c>
      <c r="AB11">
        <v>0</v>
      </c>
      <c r="AD11">
        <v>385238</v>
      </c>
      <c r="AE11">
        <v>0</v>
      </c>
      <c r="AF11">
        <v>2500000</v>
      </c>
      <c r="AG11">
        <v>787782</v>
      </c>
      <c r="AH11">
        <v>0</v>
      </c>
      <c r="AI11">
        <v>195700</v>
      </c>
      <c r="AJ11">
        <v>0</v>
      </c>
      <c r="AK11">
        <v>0</v>
      </c>
      <c r="AL11">
        <v>0</v>
      </c>
      <c r="AN11">
        <v>0</v>
      </c>
      <c r="AP11">
        <v>0</v>
      </c>
      <c r="AQ11">
        <v>16061757</v>
      </c>
      <c r="AR11">
        <v>0</v>
      </c>
      <c r="AS11">
        <v>0</v>
      </c>
      <c r="AT11">
        <v>654912</v>
      </c>
      <c r="AU11">
        <v>0</v>
      </c>
      <c r="AV11">
        <v>0</v>
      </c>
      <c r="AW11">
        <v>1433803</v>
      </c>
      <c r="AX11">
        <v>0</v>
      </c>
      <c r="AY11">
        <v>1213739</v>
      </c>
      <c r="AZ11">
        <v>242395</v>
      </c>
      <c r="BA11">
        <v>0</v>
      </c>
      <c r="BB11">
        <v>0</v>
      </c>
      <c r="BC11">
        <v>0</v>
      </c>
      <c r="BD11">
        <v>0</v>
      </c>
      <c r="BE11">
        <v>441595</v>
      </c>
      <c r="BF11">
        <v>0</v>
      </c>
      <c r="BG11">
        <v>0</v>
      </c>
      <c r="BH11">
        <v>0</v>
      </c>
      <c r="BI11">
        <v>0</v>
      </c>
      <c r="BJ11">
        <v>0</v>
      </c>
      <c r="BK11">
        <v>0</v>
      </c>
      <c r="BL11">
        <v>0</v>
      </c>
      <c r="BM11">
        <v>0</v>
      </c>
      <c r="BN11">
        <v>0</v>
      </c>
      <c r="BO11">
        <v>0</v>
      </c>
      <c r="BP11">
        <v>12125032</v>
      </c>
      <c r="BQ11">
        <v>0</v>
      </c>
      <c r="BR11">
        <v>0</v>
      </c>
      <c r="BS11">
        <v>30000</v>
      </c>
      <c r="BU11">
        <v>0</v>
      </c>
      <c r="BV11">
        <v>0</v>
      </c>
      <c r="BW11">
        <v>0</v>
      </c>
      <c r="BX11">
        <v>140000</v>
      </c>
      <c r="BY11">
        <v>0</v>
      </c>
      <c r="BZ11">
        <v>60182</v>
      </c>
      <c r="CA11">
        <v>0</v>
      </c>
      <c r="CB11">
        <v>67363</v>
      </c>
      <c r="CC11">
        <v>0</v>
      </c>
      <c r="CD11">
        <v>99612</v>
      </c>
      <c r="CF11">
        <v>0</v>
      </c>
      <c r="CG11">
        <v>336500</v>
      </c>
      <c r="CH11">
        <v>0</v>
      </c>
      <c r="CI11">
        <v>0</v>
      </c>
      <c r="CK11">
        <v>0</v>
      </c>
    </row>
    <row r="12" spans="1:89" x14ac:dyDescent="0.3">
      <c r="A12" s="155">
        <v>22</v>
      </c>
      <c r="B12" t="s">
        <v>203</v>
      </c>
      <c r="D12">
        <v>0</v>
      </c>
      <c r="E12">
        <v>0</v>
      </c>
      <c r="F12">
        <v>0</v>
      </c>
      <c r="G12">
        <v>0</v>
      </c>
      <c r="I12">
        <v>-2078204</v>
      </c>
      <c r="J12">
        <v>30030</v>
      </c>
      <c r="K12">
        <v>141760</v>
      </c>
      <c r="L12">
        <v>0</v>
      </c>
      <c r="M12">
        <v>0</v>
      </c>
      <c r="N12">
        <v>0</v>
      </c>
      <c r="O12">
        <v>680116</v>
      </c>
      <c r="P12">
        <v>0</v>
      </c>
      <c r="Q12">
        <v>0</v>
      </c>
      <c r="R12">
        <v>0</v>
      </c>
      <c r="S12">
        <v>3051</v>
      </c>
      <c r="T12">
        <v>0</v>
      </c>
      <c r="U12">
        <v>0</v>
      </c>
      <c r="V12">
        <v>0</v>
      </c>
      <c r="W12">
        <v>0</v>
      </c>
      <c r="X12">
        <v>53634</v>
      </c>
      <c r="Y12">
        <v>15005000</v>
      </c>
      <c r="Z12">
        <v>0</v>
      </c>
      <c r="AA12">
        <v>0</v>
      </c>
      <c r="AB12">
        <v>44541</v>
      </c>
      <c r="AD12">
        <v>51077</v>
      </c>
      <c r="AE12">
        <v>0</v>
      </c>
      <c r="AF12">
        <v>0</v>
      </c>
      <c r="AG12">
        <v>0</v>
      </c>
      <c r="AH12">
        <v>0</v>
      </c>
      <c r="AI12">
        <v>10905</v>
      </c>
      <c r="AJ12">
        <v>-117866</v>
      </c>
      <c r="AK12">
        <v>34832</v>
      </c>
      <c r="AL12">
        <v>0</v>
      </c>
      <c r="AN12">
        <v>0</v>
      </c>
      <c r="AP12">
        <v>0</v>
      </c>
      <c r="AQ12">
        <v>534569</v>
      </c>
      <c r="AR12">
        <v>0</v>
      </c>
      <c r="AS12">
        <v>0</v>
      </c>
      <c r="AT12">
        <v>0</v>
      </c>
      <c r="AU12">
        <v>0</v>
      </c>
      <c r="AV12">
        <v>0</v>
      </c>
      <c r="AW12">
        <v>0</v>
      </c>
      <c r="AX12">
        <v>0</v>
      </c>
      <c r="AY12">
        <v>0</v>
      </c>
      <c r="AZ12">
        <v>950</v>
      </c>
      <c r="BA12">
        <v>0</v>
      </c>
      <c r="BB12">
        <v>0</v>
      </c>
      <c r="BC12">
        <v>0</v>
      </c>
      <c r="BD12">
        <v>0</v>
      </c>
      <c r="BE12">
        <v>452841</v>
      </c>
      <c r="BF12">
        <v>0</v>
      </c>
      <c r="BG12">
        <v>0</v>
      </c>
      <c r="BH12">
        <v>0</v>
      </c>
      <c r="BI12">
        <v>0</v>
      </c>
      <c r="BJ12">
        <v>0</v>
      </c>
      <c r="BK12">
        <v>0</v>
      </c>
      <c r="BL12">
        <v>0</v>
      </c>
      <c r="BM12">
        <v>0</v>
      </c>
      <c r="BN12">
        <v>0</v>
      </c>
      <c r="BO12">
        <v>0</v>
      </c>
      <c r="BP12">
        <v>2542976</v>
      </c>
      <c r="BQ12">
        <v>0</v>
      </c>
      <c r="BR12">
        <v>0</v>
      </c>
      <c r="BS12">
        <v>0</v>
      </c>
      <c r="BU12">
        <v>0</v>
      </c>
      <c r="BV12">
        <v>240000</v>
      </c>
      <c r="BW12">
        <v>0</v>
      </c>
      <c r="BX12">
        <v>109404</v>
      </c>
      <c r="BY12">
        <v>66609</v>
      </c>
      <c r="BZ12">
        <v>0</v>
      </c>
      <c r="CA12">
        <v>0</v>
      </c>
      <c r="CB12">
        <v>0</v>
      </c>
      <c r="CC12">
        <v>0</v>
      </c>
      <c r="CD12">
        <v>0</v>
      </c>
      <c r="CF12">
        <v>3495</v>
      </c>
      <c r="CG12">
        <v>0</v>
      </c>
      <c r="CH12">
        <v>0</v>
      </c>
      <c r="CI12">
        <v>0</v>
      </c>
      <c r="CK12">
        <v>0</v>
      </c>
    </row>
    <row r="13" spans="1:89" x14ac:dyDescent="0.3">
      <c r="A13" s="155">
        <v>23</v>
      </c>
      <c r="B13" t="s">
        <v>206</v>
      </c>
      <c r="D13">
        <v>298814</v>
      </c>
      <c r="E13">
        <v>175789</v>
      </c>
      <c r="F13">
        <v>188756</v>
      </c>
      <c r="G13">
        <v>69343</v>
      </c>
      <c r="I13">
        <v>178579</v>
      </c>
      <c r="J13">
        <v>157319</v>
      </c>
      <c r="K13">
        <v>89026</v>
      </c>
      <c r="L13">
        <v>1663638</v>
      </c>
      <c r="M13">
        <v>-2217165</v>
      </c>
      <c r="N13">
        <v>338257</v>
      </c>
      <c r="O13">
        <v>30415294</v>
      </c>
      <c r="P13">
        <v>4435</v>
      </c>
      <c r="Q13">
        <v>77831</v>
      </c>
      <c r="R13">
        <v>259459</v>
      </c>
      <c r="S13">
        <v>214844</v>
      </c>
      <c r="T13">
        <v>170626</v>
      </c>
      <c r="U13">
        <v>108416</v>
      </c>
      <c r="V13">
        <v>80365</v>
      </c>
      <c r="W13">
        <v>-74503</v>
      </c>
      <c r="X13">
        <v>1937965</v>
      </c>
      <c r="Y13">
        <v>15470000</v>
      </c>
      <c r="Z13">
        <v>-309870</v>
      </c>
      <c r="AA13">
        <v>96464</v>
      </c>
      <c r="AB13">
        <v>402976</v>
      </c>
      <c r="AD13">
        <v>-331208</v>
      </c>
      <c r="AE13">
        <v>206966</v>
      </c>
      <c r="AF13">
        <v>1923004</v>
      </c>
      <c r="AG13">
        <v>9237</v>
      </c>
      <c r="AH13">
        <v>-526968</v>
      </c>
      <c r="AI13">
        <v>845107</v>
      </c>
      <c r="AJ13">
        <v>97283</v>
      </c>
      <c r="AK13">
        <v>148874</v>
      </c>
      <c r="AL13">
        <v>-87183</v>
      </c>
      <c r="AN13">
        <v>6204</v>
      </c>
      <c r="AP13">
        <v>8274</v>
      </c>
      <c r="AQ13">
        <v>4960664</v>
      </c>
      <c r="AR13">
        <v>-13043</v>
      </c>
      <c r="AS13">
        <v>143896</v>
      </c>
      <c r="AT13">
        <v>2294732</v>
      </c>
      <c r="AU13">
        <v>57146</v>
      </c>
      <c r="AV13">
        <v>177246</v>
      </c>
      <c r="AW13">
        <v>4477692</v>
      </c>
      <c r="AX13">
        <v>-32545</v>
      </c>
      <c r="AY13">
        <v>1330346</v>
      </c>
      <c r="AZ13">
        <v>541360</v>
      </c>
      <c r="BA13">
        <v>25725</v>
      </c>
      <c r="BB13">
        <v>88924</v>
      </c>
      <c r="BC13">
        <v>199701</v>
      </c>
      <c r="BD13">
        <v>6591</v>
      </c>
      <c r="BE13">
        <v>269348</v>
      </c>
      <c r="BF13">
        <v>1001860</v>
      </c>
      <c r="BG13">
        <v>-370591</v>
      </c>
      <c r="BH13">
        <v>96132</v>
      </c>
      <c r="BI13">
        <v>161036</v>
      </c>
      <c r="BJ13">
        <v>-17059</v>
      </c>
      <c r="BK13">
        <v>1224</v>
      </c>
      <c r="BL13">
        <v>184700</v>
      </c>
      <c r="BM13">
        <v>195239</v>
      </c>
      <c r="BN13">
        <v>1384433</v>
      </c>
      <c r="BO13">
        <v>-527810</v>
      </c>
      <c r="BP13">
        <v>18684165</v>
      </c>
      <c r="BQ13">
        <v>-4489</v>
      </c>
      <c r="BR13">
        <v>21996</v>
      </c>
      <c r="BS13">
        <v>76075</v>
      </c>
      <c r="BU13">
        <v>641500</v>
      </c>
      <c r="BV13">
        <v>703109</v>
      </c>
      <c r="BW13">
        <v>-24051</v>
      </c>
      <c r="BX13">
        <v>-283085</v>
      </c>
      <c r="BY13">
        <v>1125360</v>
      </c>
      <c r="BZ13">
        <v>403353</v>
      </c>
      <c r="CA13">
        <v>184633</v>
      </c>
      <c r="CB13">
        <v>1484135</v>
      </c>
      <c r="CC13">
        <v>-73055</v>
      </c>
      <c r="CD13">
        <v>585795</v>
      </c>
      <c r="CF13">
        <v>722237</v>
      </c>
      <c r="CG13">
        <v>397328</v>
      </c>
      <c r="CH13">
        <v>-181566</v>
      </c>
      <c r="CI13">
        <v>447486</v>
      </c>
      <c r="CK13">
        <v>32971</v>
      </c>
    </row>
    <row r="14" spans="1:89" x14ac:dyDescent="0.3">
      <c r="A14" s="155">
        <v>44</v>
      </c>
      <c r="B14" t="s">
        <v>878</v>
      </c>
      <c r="D14">
        <v>173425</v>
      </c>
      <c r="E14">
        <v>0</v>
      </c>
      <c r="F14">
        <v>1212933</v>
      </c>
      <c r="G14">
        <v>268445</v>
      </c>
      <c r="I14">
        <v>5472907</v>
      </c>
      <c r="J14">
        <v>0</v>
      </c>
      <c r="K14">
        <v>5398599</v>
      </c>
      <c r="L14">
        <v>0</v>
      </c>
      <c r="M14">
        <v>0</v>
      </c>
      <c r="N14">
        <v>1309956</v>
      </c>
      <c r="O14">
        <v>278842314</v>
      </c>
      <c r="P14">
        <v>0</v>
      </c>
      <c r="Q14">
        <v>0</v>
      </c>
      <c r="R14">
        <v>0</v>
      </c>
      <c r="S14">
        <v>0</v>
      </c>
      <c r="T14">
        <v>0</v>
      </c>
      <c r="U14">
        <v>0</v>
      </c>
      <c r="V14">
        <v>186952</v>
      </c>
      <c r="W14">
        <v>2190999</v>
      </c>
      <c r="X14">
        <v>0</v>
      </c>
      <c r="Y14">
        <v>296314000</v>
      </c>
      <c r="Z14">
        <v>2463927</v>
      </c>
      <c r="AA14">
        <v>269879</v>
      </c>
      <c r="AB14">
        <v>0</v>
      </c>
      <c r="AD14">
        <v>4341052</v>
      </c>
      <c r="AE14">
        <v>664332</v>
      </c>
      <c r="AF14">
        <v>13472392</v>
      </c>
      <c r="AG14">
        <v>0</v>
      </c>
      <c r="AH14">
        <v>2925970</v>
      </c>
      <c r="AI14">
        <v>7231870</v>
      </c>
      <c r="AJ14">
        <v>1110657</v>
      </c>
      <c r="AK14">
        <v>913912</v>
      </c>
      <c r="AL14">
        <v>549674</v>
      </c>
      <c r="AN14">
        <v>2896948</v>
      </c>
      <c r="AP14">
        <v>0</v>
      </c>
      <c r="AQ14">
        <v>101345216</v>
      </c>
      <c r="AR14">
        <v>0</v>
      </c>
      <c r="AS14">
        <v>67946</v>
      </c>
      <c r="AT14">
        <v>10379472</v>
      </c>
      <c r="AU14">
        <v>1194770</v>
      </c>
      <c r="AV14">
        <v>0</v>
      </c>
      <c r="AW14">
        <v>0</v>
      </c>
      <c r="AX14">
        <v>114746</v>
      </c>
      <c r="AY14">
        <v>0</v>
      </c>
      <c r="AZ14">
        <v>0</v>
      </c>
      <c r="BA14">
        <v>371905</v>
      </c>
      <c r="BB14">
        <v>58762</v>
      </c>
      <c r="BC14">
        <v>3184899</v>
      </c>
      <c r="BD14">
        <v>0</v>
      </c>
      <c r="BE14">
        <v>0</v>
      </c>
      <c r="BF14">
        <v>1081854</v>
      </c>
      <c r="BG14">
        <v>0</v>
      </c>
      <c r="BH14">
        <v>0</v>
      </c>
      <c r="BI14">
        <v>1241954</v>
      </c>
      <c r="BJ14">
        <v>0</v>
      </c>
      <c r="BK14">
        <v>112033</v>
      </c>
      <c r="BL14">
        <v>2814352</v>
      </c>
      <c r="BM14">
        <v>415844</v>
      </c>
      <c r="BN14">
        <v>0</v>
      </c>
      <c r="BO14">
        <v>3635667</v>
      </c>
      <c r="BP14">
        <v>157523961</v>
      </c>
      <c r="BQ14">
        <v>0</v>
      </c>
      <c r="BR14">
        <v>121220</v>
      </c>
      <c r="BS14">
        <v>528152</v>
      </c>
      <c r="BU14">
        <v>287930</v>
      </c>
      <c r="BV14">
        <v>0</v>
      </c>
      <c r="BW14">
        <v>6069017</v>
      </c>
      <c r="BX14">
        <v>993938</v>
      </c>
      <c r="BY14">
        <v>9977725</v>
      </c>
      <c r="BZ14">
        <v>3430425</v>
      </c>
      <c r="CA14">
        <v>191385</v>
      </c>
      <c r="CB14">
        <v>2966079</v>
      </c>
      <c r="CC14">
        <v>1180959</v>
      </c>
      <c r="CD14">
        <v>120328</v>
      </c>
      <c r="CF14">
        <v>5914426</v>
      </c>
      <c r="CG14">
        <v>0</v>
      </c>
      <c r="CH14">
        <v>1085297</v>
      </c>
      <c r="CI14">
        <v>0</v>
      </c>
      <c r="CK14">
        <v>39345</v>
      </c>
    </row>
    <row r="15" spans="1:89" x14ac:dyDescent="0.3">
      <c r="A15" s="155">
        <v>45</v>
      </c>
      <c r="B15" t="s">
        <v>879</v>
      </c>
      <c r="D15">
        <v>3003</v>
      </c>
      <c r="E15">
        <v>0</v>
      </c>
      <c r="F15">
        <v>20038</v>
      </c>
      <c r="G15">
        <v>193296</v>
      </c>
      <c r="I15">
        <v>389744</v>
      </c>
      <c r="J15">
        <v>0</v>
      </c>
      <c r="K15">
        <v>2391171</v>
      </c>
      <c r="L15">
        <v>0</v>
      </c>
      <c r="M15">
        <v>0</v>
      </c>
      <c r="N15">
        <v>546887</v>
      </c>
      <c r="O15">
        <v>16921041</v>
      </c>
      <c r="P15">
        <v>0</v>
      </c>
      <c r="Q15">
        <v>0</v>
      </c>
      <c r="R15">
        <v>0</v>
      </c>
      <c r="S15">
        <v>0</v>
      </c>
      <c r="T15">
        <v>0</v>
      </c>
      <c r="U15">
        <v>0</v>
      </c>
      <c r="V15">
        <v>9724</v>
      </c>
      <c r="W15">
        <v>252246</v>
      </c>
      <c r="X15">
        <v>0</v>
      </c>
      <c r="Y15">
        <v>277362000</v>
      </c>
      <c r="Z15">
        <v>1336366</v>
      </c>
      <c r="AA15">
        <v>5301</v>
      </c>
      <c r="AB15">
        <v>0</v>
      </c>
      <c r="AD15">
        <v>293554</v>
      </c>
      <c r="AE15">
        <v>44450</v>
      </c>
      <c r="AF15">
        <v>9141806</v>
      </c>
      <c r="AG15">
        <v>0</v>
      </c>
      <c r="AH15">
        <v>0</v>
      </c>
      <c r="AI15">
        <v>653635</v>
      </c>
      <c r="AJ15">
        <v>70777</v>
      </c>
      <c r="AK15">
        <v>51165</v>
      </c>
      <c r="AL15">
        <v>80593</v>
      </c>
      <c r="AN15">
        <v>141053</v>
      </c>
      <c r="AP15">
        <v>0</v>
      </c>
      <c r="AQ15">
        <v>4931108</v>
      </c>
      <c r="AR15">
        <v>0</v>
      </c>
      <c r="AS15">
        <v>0</v>
      </c>
      <c r="AT15">
        <v>681574</v>
      </c>
      <c r="AU15">
        <v>69232</v>
      </c>
      <c r="AV15">
        <v>0</v>
      </c>
      <c r="AW15">
        <v>0</v>
      </c>
      <c r="AX15">
        <v>47154</v>
      </c>
      <c r="AY15">
        <v>0</v>
      </c>
      <c r="AZ15">
        <v>0</v>
      </c>
      <c r="BA15">
        <v>11624</v>
      </c>
      <c r="BB15">
        <v>0</v>
      </c>
      <c r="BC15">
        <v>244899</v>
      </c>
      <c r="BD15">
        <v>0</v>
      </c>
      <c r="BE15">
        <v>0</v>
      </c>
      <c r="BF15">
        <v>246440</v>
      </c>
      <c r="BG15">
        <v>0</v>
      </c>
      <c r="BH15">
        <v>0</v>
      </c>
      <c r="BI15">
        <v>121894</v>
      </c>
      <c r="BJ15">
        <v>0</v>
      </c>
      <c r="BK15">
        <v>37260</v>
      </c>
      <c r="BL15">
        <v>2154669</v>
      </c>
      <c r="BM15">
        <v>81505</v>
      </c>
      <c r="BN15">
        <v>0</v>
      </c>
      <c r="BO15">
        <v>1995184</v>
      </c>
      <c r="BP15">
        <v>40944643</v>
      </c>
      <c r="BQ15">
        <v>0</v>
      </c>
      <c r="BR15">
        <v>67216</v>
      </c>
      <c r="BS15">
        <v>31971</v>
      </c>
      <c r="BU15">
        <v>0</v>
      </c>
      <c r="BV15">
        <v>0</v>
      </c>
      <c r="BW15">
        <v>1774552</v>
      </c>
      <c r="BX15">
        <v>171004</v>
      </c>
      <c r="BY15">
        <v>1176626</v>
      </c>
      <c r="BZ15">
        <v>288665</v>
      </c>
      <c r="CA15">
        <v>9910</v>
      </c>
      <c r="CB15">
        <v>193120</v>
      </c>
      <c r="CC15">
        <v>653</v>
      </c>
      <c r="CD15">
        <v>1553</v>
      </c>
      <c r="CF15">
        <v>490187</v>
      </c>
      <c r="CG15">
        <v>0</v>
      </c>
      <c r="CH15">
        <v>109321</v>
      </c>
      <c r="CI15">
        <v>0</v>
      </c>
      <c r="CK15">
        <v>20129</v>
      </c>
    </row>
    <row r="16" spans="1:89" x14ac:dyDescent="0.3">
      <c r="A16" s="155">
        <v>47</v>
      </c>
      <c r="B16" t="s">
        <v>880</v>
      </c>
      <c r="D16">
        <v>0</v>
      </c>
      <c r="E16">
        <v>0</v>
      </c>
      <c r="F16">
        <v>0</v>
      </c>
      <c r="G16">
        <v>0</v>
      </c>
      <c r="I16">
        <v>0</v>
      </c>
      <c r="J16">
        <v>0</v>
      </c>
      <c r="K16">
        <v>0</v>
      </c>
      <c r="L16">
        <v>0</v>
      </c>
      <c r="M16">
        <v>0</v>
      </c>
      <c r="N16">
        <v>0</v>
      </c>
      <c r="O16">
        <v>0</v>
      </c>
      <c r="P16">
        <v>0</v>
      </c>
      <c r="Q16">
        <v>0</v>
      </c>
      <c r="R16">
        <v>0</v>
      </c>
      <c r="S16">
        <v>0</v>
      </c>
      <c r="T16">
        <v>0</v>
      </c>
      <c r="U16">
        <v>0</v>
      </c>
      <c r="V16">
        <v>0</v>
      </c>
      <c r="W16">
        <v>0</v>
      </c>
      <c r="X16">
        <v>0</v>
      </c>
      <c r="Y16">
        <v>0</v>
      </c>
      <c r="Z16">
        <v>4880810</v>
      </c>
      <c r="AA16">
        <v>0</v>
      </c>
      <c r="AB16">
        <v>0</v>
      </c>
      <c r="AD16">
        <v>0</v>
      </c>
      <c r="AE16">
        <v>0</v>
      </c>
      <c r="AF16">
        <v>8449949</v>
      </c>
      <c r="AG16">
        <v>0</v>
      </c>
      <c r="AH16">
        <v>0</v>
      </c>
      <c r="AI16">
        <v>0</v>
      </c>
      <c r="AJ16">
        <v>0</v>
      </c>
      <c r="AK16">
        <v>0</v>
      </c>
      <c r="AL16">
        <v>0</v>
      </c>
      <c r="AN16">
        <v>0</v>
      </c>
      <c r="AP16">
        <v>0</v>
      </c>
      <c r="AQ16">
        <v>107991281</v>
      </c>
      <c r="AR16">
        <v>0</v>
      </c>
      <c r="AS16">
        <v>0</v>
      </c>
      <c r="AT16">
        <v>0</v>
      </c>
      <c r="AU16">
        <v>0</v>
      </c>
      <c r="AV16">
        <v>0</v>
      </c>
      <c r="AW16">
        <v>6589266</v>
      </c>
      <c r="AX16">
        <v>0</v>
      </c>
      <c r="AY16">
        <v>0</v>
      </c>
      <c r="AZ16">
        <v>0</v>
      </c>
      <c r="BA16">
        <v>0</v>
      </c>
      <c r="BB16">
        <v>0</v>
      </c>
      <c r="BC16">
        <v>6067990</v>
      </c>
      <c r="BD16">
        <v>0</v>
      </c>
      <c r="BE16">
        <v>0</v>
      </c>
      <c r="BF16">
        <v>0</v>
      </c>
      <c r="BG16">
        <v>0</v>
      </c>
      <c r="BH16">
        <v>0</v>
      </c>
      <c r="BI16">
        <v>0</v>
      </c>
      <c r="BJ16">
        <v>0</v>
      </c>
      <c r="BK16">
        <v>0</v>
      </c>
      <c r="BL16">
        <v>4321892</v>
      </c>
      <c r="BM16">
        <v>0</v>
      </c>
      <c r="BN16">
        <v>0</v>
      </c>
      <c r="BO16">
        <v>0</v>
      </c>
      <c r="BP16">
        <v>0</v>
      </c>
      <c r="BQ16">
        <v>0</v>
      </c>
      <c r="BR16">
        <v>0</v>
      </c>
      <c r="BS16">
        <v>0</v>
      </c>
      <c r="BU16">
        <v>0</v>
      </c>
      <c r="BV16">
        <v>0</v>
      </c>
      <c r="BW16">
        <v>0</v>
      </c>
      <c r="BX16">
        <v>2830935</v>
      </c>
      <c r="BY16">
        <v>15258715</v>
      </c>
      <c r="BZ16">
        <v>0</v>
      </c>
      <c r="CA16">
        <v>0</v>
      </c>
      <c r="CB16">
        <v>0</v>
      </c>
      <c r="CC16">
        <v>0</v>
      </c>
      <c r="CD16">
        <v>0</v>
      </c>
      <c r="CF16">
        <v>0</v>
      </c>
      <c r="CG16">
        <v>0</v>
      </c>
      <c r="CH16">
        <v>8112122</v>
      </c>
      <c r="CI16">
        <v>0</v>
      </c>
      <c r="CK16">
        <v>0</v>
      </c>
    </row>
    <row r="17" spans="1:89" x14ac:dyDescent="0.3">
      <c r="A17" s="155">
        <v>48</v>
      </c>
      <c r="B17" t="s">
        <v>115</v>
      </c>
      <c r="D17">
        <v>0</v>
      </c>
      <c r="E17">
        <v>0</v>
      </c>
      <c r="F17">
        <v>0</v>
      </c>
      <c r="G17">
        <v>0</v>
      </c>
      <c r="I17">
        <v>0</v>
      </c>
      <c r="J17">
        <v>0</v>
      </c>
      <c r="K17">
        <v>0</v>
      </c>
      <c r="L17">
        <v>0</v>
      </c>
      <c r="M17">
        <v>0</v>
      </c>
      <c r="N17">
        <v>0</v>
      </c>
      <c r="O17">
        <v>0</v>
      </c>
      <c r="P17">
        <v>0</v>
      </c>
      <c r="Q17">
        <v>0</v>
      </c>
      <c r="R17">
        <v>0</v>
      </c>
      <c r="S17">
        <v>0</v>
      </c>
      <c r="T17">
        <v>0</v>
      </c>
      <c r="U17">
        <v>0</v>
      </c>
      <c r="V17">
        <v>0</v>
      </c>
      <c r="W17">
        <v>0</v>
      </c>
      <c r="X17">
        <v>0</v>
      </c>
      <c r="Y17">
        <v>0</v>
      </c>
      <c r="Z17">
        <v>460776</v>
      </c>
      <c r="AA17">
        <v>0</v>
      </c>
      <c r="AB17">
        <v>0</v>
      </c>
      <c r="AD17">
        <v>0</v>
      </c>
      <c r="AE17">
        <v>0</v>
      </c>
      <c r="AF17">
        <v>2511038</v>
      </c>
      <c r="AG17">
        <v>0</v>
      </c>
      <c r="AH17">
        <v>0</v>
      </c>
      <c r="AI17">
        <v>0</v>
      </c>
      <c r="AJ17">
        <v>0</v>
      </c>
      <c r="AK17">
        <v>0</v>
      </c>
      <c r="AL17">
        <v>0</v>
      </c>
      <c r="AN17">
        <v>0</v>
      </c>
      <c r="AP17">
        <v>0</v>
      </c>
      <c r="AQ17">
        <v>12400721</v>
      </c>
      <c r="AR17">
        <v>0</v>
      </c>
      <c r="AS17">
        <v>0</v>
      </c>
      <c r="AT17">
        <v>0</v>
      </c>
      <c r="AU17">
        <v>0</v>
      </c>
      <c r="AV17">
        <v>0</v>
      </c>
      <c r="AW17">
        <v>948202</v>
      </c>
      <c r="AX17">
        <v>0</v>
      </c>
      <c r="AY17">
        <v>0</v>
      </c>
      <c r="AZ17">
        <v>0</v>
      </c>
      <c r="BA17">
        <v>0</v>
      </c>
      <c r="BB17">
        <v>0</v>
      </c>
      <c r="BC17">
        <v>514536</v>
      </c>
      <c r="BD17">
        <v>0</v>
      </c>
      <c r="BE17">
        <v>0</v>
      </c>
      <c r="BF17">
        <v>0</v>
      </c>
      <c r="BG17">
        <v>0</v>
      </c>
      <c r="BH17">
        <v>0</v>
      </c>
      <c r="BI17">
        <v>0</v>
      </c>
      <c r="BJ17">
        <v>0</v>
      </c>
      <c r="BK17">
        <v>0</v>
      </c>
      <c r="BL17">
        <v>230258</v>
      </c>
      <c r="BM17">
        <v>0</v>
      </c>
      <c r="BN17">
        <v>0</v>
      </c>
      <c r="BO17">
        <v>0</v>
      </c>
      <c r="BP17">
        <v>0</v>
      </c>
      <c r="BQ17">
        <v>0</v>
      </c>
      <c r="BR17">
        <v>0</v>
      </c>
      <c r="BS17">
        <v>0</v>
      </c>
      <c r="BU17">
        <v>0</v>
      </c>
      <c r="BV17">
        <v>0</v>
      </c>
      <c r="BW17">
        <v>0</v>
      </c>
      <c r="BX17">
        <v>1109500</v>
      </c>
      <c r="BY17">
        <v>5114741</v>
      </c>
      <c r="BZ17">
        <v>0</v>
      </c>
      <c r="CA17">
        <v>0</v>
      </c>
      <c r="CB17">
        <v>0</v>
      </c>
      <c r="CC17">
        <v>0</v>
      </c>
      <c r="CD17">
        <v>0</v>
      </c>
      <c r="CF17">
        <v>0</v>
      </c>
      <c r="CG17">
        <v>0</v>
      </c>
      <c r="CH17">
        <v>460223</v>
      </c>
      <c r="CI17">
        <v>0</v>
      </c>
      <c r="CK17">
        <v>0</v>
      </c>
    </row>
    <row r="18" spans="1:89" x14ac:dyDescent="0.3">
      <c r="A18" s="155">
        <v>49</v>
      </c>
      <c r="B18" t="s">
        <v>219</v>
      </c>
      <c r="D18">
        <v>130198</v>
      </c>
      <c r="E18">
        <v>0</v>
      </c>
      <c r="F18">
        <v>98050</v>
      </c>
      <c r="G18">
        <v>31261</v>
      </c>
      <c r="I18">
        <v>426504</v>
      </c>
      <c r="J18">
        <v>0</v>
      </c>
      <c r="K18">
        <v>2028260</v>
      </c>
      <c r="L18">
        <v>0</v>
      </c>
      <c r="M18">
        <v>0</v>
      </c>
      <c r="N18">
        <v>304351</v>
      </c>
      <c r="O18">
        <v>20267903</v>
      </c>
      <c r="P18">
        <v>0</v>
      </c>
      <c r="Q18">
        <v>0</v>
      </c>
      <c r="R18">
        <v>0</v>
      </c>
      <c r="S18">
        <v>0</v>
      </c>
      <c r="T18">
        <v>0</v>
      </c>
      <c r="U18">
        <v>0</v>
      </c>
      <c r="V18">
        <v>79229</v>
      </c>
      <c r="W18">
        <v>377861</v>
      </c>
      <c r="X18">
        <v>0</v>
      </c>
      <c r="Y18">
        <v>158534000</v>
      </c>
      <c r="Z18">
        <v>582139</v>
      </c>
      <c r="AA18">
        <v>93037</v>
      </c>
      <c r="AB18">
        <v>0</v>
      </c>
      <c r="AD18">
        <v>252070</v>
      </c>
      <c r="AE18">
        <v>168313</v>
      </c>
      <c r="AF18">
        <v>3994938</v>
      </c>
      <c r="AG18">
        <v>0</v>
      </c>
      <c r="AH18">
        <v>187235</v>
      </c>
      <c r="AI18">
        <v>1335424</v>
      </c>
      <c r="AJ18">
        <v>108798</v>
      </c>
      <c r="AK18">
        <v>21095</v>
      </c>
      <c r="AL18">
        <v>99135</v>
      </c>
      <c r="AN18">
        <v>386483</v>
      </c>
      <c r="AP18">
        <v>0</v>
      </c>
      <c r="AQ18">
        <v>8381194</v>
      </c>
      <c r="AR18">
        <v>0</v>
      </c>
      <c r="AS18">
        <v>101538</v>
      </c>
      <c r="AT18">
        <v>1166436</v>
      </c>
      <c r="AU18">
        <v>132680</v>
      </c>
      <c r="AV18">
        <v>0</v>
      </c>
      <c r="AW18">
        <v>0</v>
      </c>
      <c r="AX18">
        <v>178751</v>
      </c>
      <c r="AY18">
        <v>0</v>
      </c>
      <c r="AZ18">
        <v>0</v>
      </c>
      <c r="BA18">
        <v>191395</v>
      </c>
      <c r="BB18">
        <v>37805</v>
      </c>
      <c r="BC18">
        <v>401561</v>
      </c>
      <c r="BD18">
        <v>0</v>
      </c>
      <c r="BE18">
        <v>0</v>
      </c>
      <c r="BF18">
        <v>319736</v>
      </c>
      <c r="BG18">
        <v>0</v>
      </c>
      <c r="BH18">
        <v>0</v>
      </c>
      <c r="BI18">
        <v>459536</v>
      </c>
      <c r="BJ18">
        <v>0</v>
      </c>
      <c r="BK18">
        <v>257851</v>
      </c>
      <c r="BL18">
        <v>44973</v>
      </c>
      <c r="BM18">
        <v>60238</v>
      </c>
      <c r="BN18">
        <v>0</v>
      </c>
      <c r="BO18">
        <v>1234921</v>
      </c>
      <c r="BP18">
        <v>26436969</v>
      </c>
      <c r="BQ18">
        <v>0</v>
      </c>
      <c r="BR18">
        <v>13671</v>
      </c>
      <c r="BS18">
        <v>47644</v>
      </c>
      <c r="BU18">
        <v>130282</v>
      </c>
      <c r="BV18">
        <v>0</v>
      </c>
      <c r="BW18">
        <v>2323325</v>
      </c>
      <c r="BX18">
        <v>324986</v>
      </c>
      <c r="BY18">
        <v>2303527</v>
      </c>
      <c r="BZ18">
        <v>640950</v>
      </c>
      <c r="CA18">
        <v>114720</v>
      </c>
      <c r="CB18">
        <v>208233</v>
      </c>
      <c r="CC18">
        <v>105198</v>
      </c>
      <c r="CD18">
        <v>146892</v>
      </c>
      <c r="CF18">
        <v>252076</v>
      </c>
      <c r="CG18">
        <v>0</v>
      </c>
      <c r="CH18">
        <v>274966</v>
      </c>
      <c r="CI18">
        <v>0</v>
      </c>
      <c r="CK18">
        <v>55289</v>
      </c>
    </row>
    <row r="19" spans="1:89" x14ac:dyDescent="0.3">
      <c r="A19" s="155">
        <v>50</v>
      </c>
      <c r="B19" t="s">
        <v>92</v>
      </c>
      <c r="D19">
        <v>-110805</v>
      </c>
      <c r="E19">
        <v>0</v>
      </c>
      <c r="F19">
        <v>47333</v>
      </c>
      <c r="G19">
        <v>-16691</v>
      </c>
      <c r="I19">
        <v>357025</v>
      </c>
      <c r="J19">
        <v>0</v>
      </c>
      <c r="K19">
        <v>1459835</v>
      </c>
      <c r="L19">
        <v>0</v>
      </c>
      <c r="M19">
        <v>0</v>
      </c>
      <c r="N19">
        <v>2418969</v>
      </c>
      <c r="O19">
        <v>17990069</v>
      </c>
      <c r="P19">
        <v>0</v>
      </c>
      <c r="Q19">
        <v>0</v>
      </c>
      <c r="R19">
        <v>0</v>
      </c>
      <c r="S19">
        <v>0</v>
      </c>
      <c r="T19">
        <v>0</v>
      </c>
      <c r="U19">
        <v>0</v>
      </c>
      <c r="V19">
        <v>2751</v>
      </c>
      <c r="W19">
        <v>-66854</v>
      </c>
      <c r="X19">
        <v>0</v>
      </c>
      <c r="Y19">
        <v>183891000</v>
      </c>
      <c r="Z19">
        <v>159634</v>
      </c>
      <c r="AA19">
        <v>1739968</v>
      </c>
      <c r="AB19">
        <v>0</v>
      </c>
      <c r="AD19">
        <v>529976</v>
      </c>
      <c r="AE19">
        <v>27105</v>
      </c>
      <c r="AF19">
        <v>6541439</v>
      </c>
      <c r="AG19">
        <v>0</v>
      </c>
      <c r="AH19">
        <v>51254</v>
      </c>
      <c r="AI19">
        <v>952798</v>
      </c>
      <c r="AJ19">
        <v>473267</v>
      </c>
      <c r="AK19">
        <v>19121</v>
      </c>
      <c r="AL19">
        <v>-47142</v>
      </c>
      <c r="AN19">
        <v>240439</v>
      </c>
      <c r="AP19">
        <v>0</v>
      </c>
      <c r="AQ19">
        <v>8710927</v>
      </c>
      <c r="AR19">
        <v>0</v>
      </c>
      <c r="AS19">
        <v>-82596</v>
      </c>
      <c r="AT19">
        <v>934788</v>
      </c>
      <c r="AU19">
        <v>85723</v>
      </c>
      <c r="AV19">
        <v>0</v>
      </c>
      <c r="AW19">
        <v>0</v>
      </c>
      <c r="AX19">
        <v>-181449</v>
      </c>
      <c r="AY19">
        <v>0</v>
      </c>
      <c r="AZ19">
        <v>0</v>
      </c>
      <c r="BA19">
        <v>-71964</v>
      </c>
      <c r="BB19">
        <v>-24740</v>
      </c>
      <c r="BC19">
        <v>601615</v>
      </c>
      <c r="BD19">
        <v>0</v>
      </c>
      <c r="BE19">
        <v>0</v>
      </c>
      <c r="BF19">
        <v>156522</v>
      </c>
      <c r="BG19">
        <v>0</v>
      </c>
      <c r="BH19">
        <v>0</v>
      </c>
      <c r="BI19">
        <v>-280188</v>
      </c>
      <c r="BJ19">
        <v>0</v>
      </c>
      <c r="BK19">
        <v>-186750</v>
      </c>
      <c r="BL19">
        <v>76753</v>
      </c>
      <c r="BM19">
        <v>24433</v>
      </c>
      <c r="BN19">
        <v>0</v>
      </c>
      <c r="BO19">
        <v>755720</v>
      </c>
      <c r="BP19">
        <v>31445389</v>
      </c>
      <c r="BQ19">
        <v>0</v>
      </c>
      <c r="BR19">
        <v>-10351</v>
      </c>
      <c r="BS19">
        <v>43442</v>
      </c>
      <c r="BU19">
        <v>-8673</v>
      </c>
      <c r="BV19">
        <v>0</v>
      </c>
      <c r="BW19">
        <v>256730</v>
      </c>
      <c r="BX19">
        <v>533705</v>
      </c>
      <c r="BY19">
        <v>2340186</v>
      </c>
      <c r="BZ19">
        <v>209195</v>
      </c>
      <c r="CA19">
        <v>-71594</v>
      </c>
      <c r="CB19">
        <v>594607</v>
      </c>
      <c r="CC19">
        <v>23907</v>
      </c>
      <c r="CD19">
        <v>-39039</v>
      </c>
      <c r="CF19">
        <v>1286118</v>
      </c>
      <c r="CG19">
        <v>0</v>
      </c>
      <c r="CH19">
        <v>-4290</v>
      </c>
      <c r="CI19">
        <v>0</v>
      </c>
      <c r="CK19">
        <v>-37145</v>
      </c>
    </row>
    <row r="20" spans="1:89" x14ac:dyDescent="0.3">
      <c r="A20" s="155">
        <v>51</v>
      </c>
      <c r="B20" t="s">
        <v>237</v>
      </c>
      <c r="D20">
        <v>12442</v>
      </c>
      <c r="E20">
        <v>0</v>
      </c>
      <c r="F20">
        <v>111457</v>
      </c>
      <c r="G20">
        <v>85360</v>
      </c>
      <c r="I20">
        <v>694266</v>
      </c>
      <c r="J20">
        <v>0</v>
      </c>
      <c r="K20">
        <v>4407830</v>
      </c>
      <c r="L20">
        <v>0</v>
      </c>
      <c r="M20">
        <v>0</v>
      </c>
      <c r="N20">
        <v>490211</v>
      </c>
      <c r="O20">
        <v>38154337</v>
      </c>
      <c r="P20">
        <v>0</v>
      </c>
      <c r="Q20">
        <v>0</v>
      </c>
      <c r="R20">
        <v>0</v>
      </c>
      <c r="S20">
        <v>0</v>
      </c>
      <c r="T20">
        <v>0</v>
      </c>
      <c r="U20">
        <v>0</v>
      </c>
      <c r="V20">
        <v>13009</v>
      </c>
      <c r="W20">
        <v>274501</v>
      </c>
      <c r="X20">
        <v>0</v>
      </c>
      <c r="Y20">
        <v>334482000</v>
      </c>
      <c r="Z20">
        <v>1241341</v>
      </c>
      <c r="AA20">
        <v>38444</v>
      </c>
      <c r="AB20">
        <v>0</v>
      </c>
      <c r="AD20">
        <v>663183</v>
      </c>
      <c r="AE20">
        <v>100712</v>
      </c>
      <c r="AF20">
        <v>17396398</v>
      </c>
      <c r="AG20">
        <v>0</v>
      </c>
      <c r="AH20">
        <v>209942</v>
      </c>
      <c r="AI20">
        <v>955201</v>
      </c>
      <c r="AJ20">
        <v>-6300</v>
      </c>
      <c r="AK20">
        <v>38337</v>
      </c>
      <c r="AL20">
        <v>48037</v>
      </c>
      <c r="AN20">
        <v>227844</v>
      </c>
      <c r="AP20">
        <v>0</v>
      </c>
      <c r="AQ20">
        <v>16601027</v>
      </c>
      <c r="AR20">
        <v>0</v>
      </c>
      <c r="AS20">
        <v>17809</v>
      </c>
      <c r="AT20">
        <v>2103660</v>
      </c>
      <c r="AU20">
        <v>216249</v>
      </c>
      <c r="AV20">
        <v>0</v>
      </c>
      <c r="AW20">
        <v>0</v>
      </c>
      <c r="AX20">
        <v>-18020</v>
      </c>
      <c r="AY20">
        <v>0</v>
      </c>
      <c r="AZ20">
        <v>0</v>
      </c>
      <c r="BA20">
        <v>27426</v>
      </c>
      <c r="BB20">
        <v>-8947</v>
      </c>
      <c r="BC20">
        <v>493411</v>
      </c>
      <c r="BD20">
        <v>0</v>
      </c>
      <c r="BE20">
        <v>0</v>
      </c>
      <c r="BF20">
        <v>512842</v>
      </c>
      <c r="BG20">
        <v>0</v>
      </c>
      <c r="BH20">
        <v>0</v>
      </c>
      <c r="BI20">
        <v>99449</v>
      </c>
      <c r="BJ20">
        <v>0</v>
      </c>
      <c r="BK20">
        <v>55306</v>
      </c>
      <c r="BL20">
        <v>55098</v>
      </c>
      <c r="BM20">
        <v>39695</v>
      </c>
      <c r="BN20">
        <v>0</v>
      </c>
      <c r="BO20">
        <v>2329782</v>
      </c>
      <c r="BP20">
        <v>56144208</v>
      </c>
      <c r="BQ20">
        <v>0</v>
      </c>
      <c r="BR20">
        <v>11286</v>
      </c>
      <c r="BS20">
        <v>92074</v>
      </c>
      <c r="BU20">
        <v>96390</v>
      </c>
      <c r="BV20">
        <v>0</v>
      </c>
      <c r="BW20">
        <v>4262301</v>
      </c>
      <c r="BX20">
        <v>390300</v>
      </c>
      <c r="BY20">
        <v>2922819</v>
      </c>
      <c r="BZ20">
        <v>311316</v>
      </c>
      <c r="CA20">
        <v>44651</v>
      </c>
      <c r="CB20">
        <v>798738</v>
      </c>
      <c r="CC20">
        <v>101057</v>
      </c>
      <c r="CD20">
        <v>-50090</v>
      </c>
      <c r="CF20">
        <v>1478198</v>
      </c>
      <c r="CG20">
        <v>0</v>
      </c>
      <c r="CH20">
        <v>293142</v>
      </c>
      <c r="CI20">
        <v>0</v>
      </c>
      <c r="CK20">
        <v>3307</v>
      </c>
    </row>
    <row r="21" spans="1:89" x14ac:dyDescent="0.3">
      <c r="A21" s="155">
        <v>52</v>
      </c>
      <c r="B21" t="s">
        <v>230</v>
      </c>
      <c r="D21">
        <v>0</v>
      </c>
      <c r="E21">
        <v>0</v>
      </c>
      <c r="F21">
        <v>0</v>
      </c>
      <c r="G21">
        <v>0</v>
      </c>
      <c r="I21">
        <v>0</v>
      </c>
      <c r="J21">
        <v>0</v>
      </c>
      <c r="K21">
        <v>0</v>
      </c>
      <c r="L21">
        <v>0</v>
      </c>
      <c r="M21">
        <v>0</v>
      </c>
      <c r="N21">
        <v>0</v>
      </c>
      <c r="O21">
        <v>0</v>
      </c>
      <c r="P21">
        <v>0</v>
      </c>
      <c r="Q21">
        <v>0</v>
      </c>
      <c r="R21">
        <v>0</v>
      </c>
      <c r="S21">
        <v>0</v>
      </c>
      <c r="T21">
        <v>0</v>
      </c>
      <c r="U21">
        <v>0</v>
      </c>
      <c r="V21">
        <v>0</v>
      </c>
      <c r="W21">
        <v>0</v>
      </c>
      <c r="X21">
        <v>0</v>
      </c>
      <c r="Y21">
        <v>0</v>
      </c>
      <c r="Z21">
        <v>245027</v>
      </c>
      <c r="AA21">
        <v>0</v>
      </c>
      <c r="AB21">
        <v>0</v>
      </c>
      <c r="AD21">
        <v>0</v>
      </c>
      <c r="AE21">
        <v>0</v>
      </c>
      <c r="AF21">
        <v>831239</v>
      </c>
      <c r="AG21">
        <v>0</v>
      </c>
      <c r="AH21">
        <v>0</v>
      </c>
      <c r="AI21">
        <v>0</v>
      </c>
      <c r="AJ21">
        <v>0</v>
      </c>
      <c r="AK21">
        <v>0</v>
      </c>
      <c r="AL21">
        <v>0</v>
      </c>
      <c r="AN21">
        <v>0</v>
      </c>
      <c r="AP21">
        <v>0</v>
      </c>
      <c r="AQ21">
        <v>4010545</v>
      </c>
      <c r="AR21">
        <v>0</v>
      </c>
      <c r="AS21">
        <v>0</v>
      </c>
      <c r="AT21">
        <v>0</v>
      </c>
      <c r="AU21">
        <v>0</v>
      </c>
      <c r="AV21">
        <v>0</v>
      </c>
      <c r="AW21">
        <v>252815</v>
      </c>
      <c r="AX21">
        <v>0</v>
      </c>
      <c r="AY21">
        <v>0</v>
      </c>
      <c r="AZ21">
        <v>0</v>
      </c>
      <c r="BA21">
        <v>0</v>
      </c>
      <c r="BB21">
        <v>0</v>
      </c>
      <c r="BC21">
        <v>397570</v>
      </c>
      <c r="BD21">
        <v>0</v>
      </c>
      <c r="BE21">
        <v>0</v>
      </c>
      <c r="BF21">
        <v>0</v>
      </c>
      <c r="BG21">
        <v>0</v>
      </c>
      <c r="BH21">
        <v>0</v>
      </c>
      <c r="BI21">
        <v>0</v>
      </c>
      <c r="BJ21">
        <v>0</v>
      </c>
      <c r="BK21">
        <v>0</v>
      </c>
      <c r="BL21">
        <v>29809</v>
      </c>
      <c r="BM21">
        <v>0</v>
      </c>
      <c r="BN21">
        <v>0</v>
      </c>
      <c r="BO21">
        <v>0</v>
      </c>
      <c r="BP21">
        <v>0</v>
      </c>
      <c r="BQ21">
        <v>0</v>
      </c>
      <c r="BR21">
        <v>0</v>
      </c>
      <c r="BS21">
        <v>0</v>
      </c>
      <c r="BU21">
        <v>0</v>
      </c>
      <c r="BV21">
        <v>0</v>
      </c>
      <c r="BW21">
        <v>0</v>
      </c>
      <c r="BX21">
        <v>218694</v>
      </c>
      <c r="BY21">
        <v>1505832</v>
      </c>
      <c r="BZ21">
        <v>0</v>
      </c>
      <c r="CA21">
        <v>0</v>
      </c>
      <c r="CB21">
        <v>0</v>
      </c>
      <c r="CC21">
        <v>0</v>
      </c>
      <c r="CD21">
        <v>0</v>
      </c>
      <c r="CF21">
        <v>0</v>
      </c>
      <c r="CG21">
        <v>0</v>
      </c>
      <c r="CH21">
        <v>27200</v>
      </c>
      <c r="CI21">
        <v>0</v>
      </c>
      <c r="CK21">
        <v>0</v>
      </c>
    </row>
    <row r="22" spans="1:89" x14ac:dyDescent="0.3">
      <c r="A22" s="155">
        <v>53</v>
      </c>
      <c r="B22" t="s">
        <v>93</v>
      </c>
      <c r="D22">
        <v>0</v>
      </c>
      <c r="E22">
        <v>0</v>
      </c>
      <c r="F22">
        <v>0</v>
      </c>
      <c r="G22">
        <v>0</v>
      </c>
      <c r="I22">
        <v>0</v>
      </c>
      <c r="J22">
        <v>0</v>
      </c>
      <c r="K22">
        <v>0</v>
      </c>
      <c r="L22">
        <v>0</v>
      </c>
      <c r="M22">
        <v>0</v>
      </c>
      <c r="N22">
        <v>0</v>
      </c>
      <c r="O22">
        <v>0</v>
      </c>
      <c r="P22">
        <v>0</v>
      </c>
      <c r="Q22">
        <v>0</v>
      </c>
      <c r="R22">
        <v>0</v>
      </c>
      <c r="S22">
        <v>0</v>
      </c>
      <c r="T22">
        <v>0</v>
      </c>
      <c r="U22">
        <v>0</v>
      </c>
      <c r="V22">
        <v>0</v>
      </c>
      <c r="W22">
        <v>0</v>
      </c>
      <c r="X22">
        <v>0</v>
      </c>
      <c r="Y22">
        <v>0</v>
      </c>
      <c r="Z22">
        <v>539313</v>
      </c>
      <c r="AA22">
        <v>0</v>
      </c>
      <c r="AB22">
        <v>0</v>
      </c>
      <c r="AD22">
        <v>0</v>
      </c>
      <c r="AE22">
        <v>0</v>
      </c>
      <c r="AF22">
        <v>770140</v>
      </c>
      <c r="AG22">
        <v>0</v>
      </c>
      <c r="AH22">
        <v>0</v>
      </c>
      <c r="AI22">
        <v>0</v>
      </c>
      <c r="AJ22">
        <v>0</v>
      </c>
      <c r="AK22">
        <v>0</v>
      </c>
      <c r="AL22">
        <v>0</v>
      </c>
      <c r="AN22">
        <v>0</v>
      </c>
      <c r="AP22">
        <v>0</v>
      </c>
      <c r="AQ22">
        <v>-11172934</v>
      </c>
      <c r="AR22">
        <v>0</v>
      </c>
      <c r="AS22">
        <v>0</v>
      </c>
      <c r="AT22">
        <v>0</v>
      </c>
      <c r="AU22">
        <v>0</v>
      </c>
      <c r="AV22">
        <v>0</v>
      </c>
      <c r="AW22">
        <v>254621</v>
      </c>
      <c r="AX22">
        <v>0</v>
      </c>
      <c r="AY22">
        <v>0</v>
      </c>
      <c r="AZ22">
        <v>0</v>
      </c>
      <c r="BA22">
        <v>0</v>
      </c>
      <c r="BB22">
        <v>0</v>
      </c>
      <c r="BC22">
        <v>321939</v>
      </c>
      <c r="BD22">
        <v>0</v>
      </c>
      <c r="BE22">
        <v>0</v>
      </c>
      <c r="BF22">
        <v>0</v>
      </c>
      <c r="BG22">
        <v>0</v>
      </c>
      <c r="BH22">
        <v>0</v>
      </c>
      <c r="BI22">
        <v>0</v>
      </c>
      <c r="BJ22">
        <v>0</v>
      </c>
      <c r="BK22">
        <v>0</v>
      </c>
      <c r="BL22">
        <v>179016</v>
      </c>
      <c r="BM22">
        <v>0</v>
      </c>
      <c r="BN22">
        <v>0</v>
      </c>
      <c r="BO22">
        <v>0</v>
      </c>
      <c r="BP22">
        <v>0</v>
      </c>
      <c r="BQ22">
        <v>0</v>
      </c>
      <c r="BR22">
        <v>0</v>
      </c>
      <c r="BS22">
        <v>0</v>
      </c>
      <c r="BU22">
        <v>0</v>
      </c>
      <c r="BV22">
        <v>0</v>
      </c>
      <c r="BW22">
        <v>0</v>
      </c>
      <c r="BX22">
        <v>-52943</v>
      </c>
      <c r="BY22">
        <v>438496</v>
      </c>
      <c r="BZ22">
        <v>0</v>
      </c>
      <c r="CA22">
        <v>0</v>
      </c>
      <c r="CB22">
        <v>0</v>
      </c>
      <c r="CC22">
        <v>0</v>
      </c>
      <c r="CD22">
        <v>0</v>
      </c>
      <c r="CF22">
        <v>0</v>
      </c>
      <c r="CG22">
        <v>0</v>
      </c>
      <c r="CH22">
        <v>172859</v>
      </c>
      <c r="CI22">
        <v>0</v>
      </c>
      <c r="CK22">
        <v>0</v>
      </c>
    </row>
    <row r="23" spans="1:89" x14ac:dyDescent="0.3">
      <c r="A23" s="155">
        <v>55</v>
      </c>
      <c r="B23" t="s">
        <v>240</v>
      </c>
      <c r="D23">
        <v>0</v>
      </c>
      <c r="E23">
        <v>0</v>
      </c>
      <c r="F23">
        <v>0</v>
      </c>
      <c r="G23">
        <v>0</v>
      </c>
      <c r="I23">
        <v>0</v>
      </c>
      <c r="J23">
        <v>0</v>
      </c>
      <c r="K23">
        <v>0</v>
      </c>
      <c r="L23">
        <v>0</v>
      </c>
      <c r="M23">
        <v>0</v>
      </c>
      <c r="N23">
        <v>0</v>
      </c>
      <c r="O23">
        <v>0</v>
      </c>
      <c r="P23">
        <v>0</v>
      </c>
      <c r="Q23">
        <v>0</v>
      </c>
      <c r="R23">
        <v>0</v>
      </c>
      <c r="S23">
        <v>0</v>
      </c>
      <c r="T23">
        <v>0</v>
      </c>
      <c r="U23">
        <v>0</v>
      </c>
      <c r="V23">
        <v>0</v>
      </c>
      <c r="W23">
        <v>0</v>
      </c>
      <c r="X23">
        <v>0</v>
      </c>
      <c r="Y23">
        <v>0</v>
      </c>
      <c r="Z23">
        <v>585169</v>
      </c>
      <c r="AA23">
        <v>0</v>
      </c>
      <c r="AB23">
        <v>0</v>
      </c>
      <c r="AD23">
        <v>0</v>
      </c>
      <c r="AE23">
        <v>0</v>
      </c>
      <c r="AF23">
        <v>1335215</v>
      </c>
      <c r="AG23">
        <v>0</v>
      </c>
      <c r="AH23">
        <v>0</v>
      </c>
      <c r="AI23">
        <v>0</v>
      </c>
      <c r="AJ23">
        <v>0</v>
      </c>
      <c r="AK23">
        <v>0</v>
      </c>
      <c r="AL23">
        <v>0</v>
      </c>
      <c r="AN23">
        <v>0</v>
      </c>
      <c r="AP23">
        <v>0</v>
      </c>
      <c r="AQ23">
        <v>4494483</v>
      </c>
      <c r="AR23">
        <v>0</v>
      </c>
      <c r="AS23">
        <v>0</v>
      </c>
      <c r="AT23">
        <v>0</v>
      </c>
      <c r="AU23">
        <v>0</v>
      </c>
      <c r="AV23">
        <v>0</v>
      </c>
      <c r="AW23">
        <v>271041</v>
      </c>
      <c r="AX23">
        <v>0</v>
      </c>
      <c r="AY23">
        <v>0</v>
      </c>
      <c r="AZ23">
        <v>0</v>
      </c>
      <c r="BA23">
        <v>0</v>
      </c>
      <c r="BB23">
        <v>0</v>
      </c>
      <c r="BC23">
        <v>1959436</v>
      </c>
      <c r="BD23">
        <v>0</v>
      </c>
      <c r="BE23">
        <v>0</v>
      </c>
      <c r="BF23">
        <v>0</v>
      </c>
      <c r="BG23">
        <v>0</v>
      </c>
      <c r="BH23">
        <v>0</v>
      </c>
      <c r="BI23">
        <v>0</v>
      </c>
      <c r="BJ23">
        <v>0</v>
      </c>
      <c r="BK23">
        <v>0</v>
      </c>
      <c r="BL23">
        <v>199453</v>
      </c>
      <c r="BM23">
        <v>0</v>
      </c>
      <c r="BN23">
        <v>0</v>
      </c>
      <c r="BO23">
        <v>0</v>
      </c>
      <c r="BP23">
        <v>0</v>
      </c>
      <c r="BQ23">
        <v>0</v>
      </c>
      <c r="BR23">
        <v>0</v>
      </c>
      <c r="BS23">
        <v>0</v>
      </c>
      <c r="BU23">
        <v>0</v>
      </c>
      <c r="BV23">
        <v>0</v>
      </c>
      <c r="BW23">
        <v>0</v>
      </c>
      <c r="BX23">
        <v>370772</v>
      </c>
      <c r="BY23">
        <v>1989074</v>
      </c>
      <c r="BZ23">
        <v>0</v>
      </c>
      <c r="CA23">
        <v>0</v>
      </c>
      <c r="CB23">
        <v>0</v>
      </c>
      <c r="CC23">
        <v>0</v>
      </c>
      <c r="CD23">
        <v>0</v>
      </c>
      <c r="CF23">
        <v>0</v>
      </c>
      <c r="CG23">
        <v>0</v>
      </c>
      <c r="CH23">
        <v>186813</v>
      </c>
      <c r="CI23">
        <v>0</v>
      </c>
      <c r="CK23">
        <v>0</v>
      </c>
    </row>
    <row r="24" spans="1:89" x14ac:dyDescent="0.3">
      <c r="A24" s="155">
        <v>61</v>
      </c>
      <c r="B24" t="s">
        <v>254</v>
      </c>
      <c r="D24">
        <v>0</v>
      </c>
      <c r="E24">
        <v>98.89</v>
      </c>
      <c r="F24">
        <v>95.46</v>
      </c>
      <c r="G24">
        <v>98.6</v>
      </c>
      <c r="I24">
        <v>98.8</v>
      </c>
      <c r="J24">
        <v>99.45</v>
      </c>
      <c r="K24">
        <v>99.38</v>
      </c>
      <c r="L24">
        <v>99.32</v>
      </c>
      <c r="M24">
        <v>99.5</v>
      </c>
      <c r="N24">
        <v>99.17</v>
      </c>
      <c r="O24">
        <v>99.89</v>
      </c>
      <c r="P24">
        <v>97.14</v>
      </c>
      <c r="Q24">
        <v>96.49</v>
      </c>
      <c r="R24">
        <v>99.78</v>
      </c>
      <c r="S24">
        <v>98.92</v>
      </c>
      <c r="T24">
        <v>97.96</v>
      </c>
      <c r="U24">
        <v>99.97</v>
      </c>
      <c r="V24">
        <v>99.33</v>
      </c>
      <c r="W24">
        <v>97.35</v>
      </c>
      <c r="X24">
        <v>99.71</v>
      </c>
      <c r="Y24">
        <v>99.45</v>
      </c>
      <c r="Z24">
        <v>99.88</v>
      </c>
      <c r="AA24">
        <v>98.64</v>
      </c>
      <c r="AB24">
        <v>98.33</v>
      </c>
      <c r="AD24">
        <v>99.9</v>
      </c>
      <c r="AE24">
        <v>91.49</v>
      </c>
      <c r="AF24">
        <v>99.96</v>
      </c>
      <c r="AG24">
        <v>99.66</v>
      </c>
      <c r="AH24">
        <v>98.95</v>
      </c>
      <c r="AI24">
        <v>98.3</v>
      </c>
      <c r="AJ24">
        <v>96.98</v>
      </c>
      <c r="AK24">
        <v>99.4</v>
      </c>
      <c r="AL24">
        <v>95.93</v>
      </c>
      <c r="AN24">
        <v>94.76</v>
      </c>
      <c r="AP24">
        <v>98.45</v>
      </c>
      <c r="AQ24">
        <v>99.49</v>
      </c>
      <c r="AR24">
        <v>94.98</v>
      </c>
      <c r="AS24">
        <v>97.03</v>
      </c>
      <c r="AT24">
        <v>99.24</v>
      </c>
      <c r="AU24">
        <v>96.4</v>
      </c>
      <c r="AV24">
        <v>97.86</v>
      </c>
      <c r="AW24">
        <v>99.66</v>
      </c>
      <c r="AX24">
        <v>93.3</v>
      </c>
      <c r="AY24">
        <v>99.71</v>
      </c>
      <c r="AZ24">
        <v>99.61</v>
      </c>
      <c r="BA24">
        <v>91.66</v>
      </c>
      <c r="BB24">
        <v>96.68</v>
      </c>
      <c r="BC24">
        <v>99.12</v>
      </c>
      <c r="BD24">
        <v>98.33</v>
      </c>
      <c r="BE24">
        <v>99.81</v>
      </c>
      <c r="BF24">
        <v>97.81</v>
      </c>
      <c r="BG24">
        <v>99.68</v>
      </c>
      <c r="BH24">
        <v>84.46</v>
      </c>
      <c r="BI24">
        <v>99.66</v>
      </c>
      <c r="BJ24">
        <v>0</v>
      </c>
      <c r="BK24">
        <v>95.1</v>
      </c>
      <c r="BL24">
        <v>97.93</v>
      </c>
      <c r="BM24">
        <v>98.32</v>
      </c>
      <c r="BN24">
        <v>99.99</v>
      </c>
      <c r="BO24">
        <v>99.36</v>
      </c>
      <c r="BP24">
        <v>99.81</v>
      </c>
      <c r="BQ24">
        <v>96.47</v>
      </c>
      <c r="BR24">
        <v>91.75</v>
      </c>
      <c r="BS24">
        <v>98.33</v>
      </c>
      <c r="BU24">
        <v>95.98</v>
      </c>
      <c r="BV24">
        <v>99.22</v>
      </c>
      <c r="BW24">
        <v>98.68</v>
      </c>
      <c r="BX24">
        <v>98.74</v>
      </c>
      <c r="BY24">
        <v>96.34</v>
      </c>
      <c r="BZ24">
        <v>96.73</v>
      </c>
      <c r="CA24">
        <v>99.83</v>
      </c>
      <c r="CB24">
        <v>97.73</v>
      </c>
      <c r="CC24">
        <v>96.32</v>
      </c>
      <c r="CD24">
        <v>95.13</v>
      </c>
      <c r="CF24">
        <v>99.75</v>
      </c>
      <c r="CG24">
        <v>99.33</v>
      </c>
      <c r="CH24">
        <v>96.04</v>
      </c>
      <c r="CI24">
        <v>99</v>
      </c>
      <c r="CK24">
        <v>89.65</v>
      </c>
    </row>
    <row r="25" spans="1:89" x14ac:dyDescent="0.3">
      <c r="A25" s="155">
        <v>80</v>
      </c>
      <c r="B25" t="s">
        <v>209</v>
      </c>
      <c r="D25">
        <v>161294</v>
      </c>
      <c r="E25">
        <v>0</v>
      </c>
      <c r="F25">
        <v>1157953</v>
      </c>
      <c r="G25">
        <v>201443</v>
      </c>
      <c r="I25">
        <v>4981669</v>
      </c>
      <c r="J25">
        <v>0</v>
      </c>
      <c r="K25">
        <v>4380702</v>
      </c>
      <c r="L25">
        <v>0</v>
      </c>
      <c r="M25">
        <v>0</v>
      </c>
      <c r="N25">
        <v>495907</v>
      </c>
      <c r="O25">
        <v>265035470</v>
      </c>
      <c r="P25">
        <v>0</v>
      </c>
      <c r="Q25">
        <v>0</v>
      </c>
      <c r="R25">
        <v>0</v>
      </c>
      <c r="S25">
        <v>0</v>
      </c>
      <c r="T25">
        <v>0</v>
      </c>
      <c r="U25">
        <v>0</v>
      </c>
      <c r="V25">
        <v>179341</v>
      </c>
      <c r="W25">
        <v>2069365</v>
      </c>
      <c r="X25">
        <v>0</v>
      </c>
      <c r="Y25">
        <v>227741000</v>
      </c>
      <c r="Z25">
        <v>1854490</v>
      </c>
      <c r="AA25">
        <v>258904</v>
      </c>
      <c r="AB25">
        <v>0</v>
      </c>
      <c r="AD25">
        <v>3978237</v>
      </c>
      <c r="AE25">
        <v>585746</v>
      </c>
      <c r="AF25">
        <v>10299313</v>
      </c>
      <c r="AG25">
        <v>0</v>
      </c>
      <c r="AH25">
        <v>2874463</v>
      </c>
      <c r="AI25">
        <v>6282547</v>
      </c>
      <c r="AJ25">
        <v>858322</v>
      </c>
      <c r="AK25">
        <v>854839</v>
      </c>
      <c r="AL25">
        <v>505566</v>
      </c>
      <c r="AN25">
        <v>2814250</v>
      </c>
      <c r="AP25">
        <v>0</v>
      </c>
      <c r="AQ25">
        <v>94225707</v>
      </c>
      <c r="AR25">
        <v>0</v>
      </c>
      <c r="AS25">
        <v>65726</v>
      </c>
      <c r="AT25">
        <v>8817984</v>
      </c>
      <c r="AU25">
        <v>1100164</v>
      </c>
      <c r="AV25">
        <v>0</v>
      </c>
      <c r="AW25">
        <v>0</v>
      </c>
      <c r="AX25">
        <v>92297</v>
      </c>
      <c r="AY25">
        <v>0</v>
      </c>
      <c r="AZ25">
        <v>0</v>
      </c>
      <c r="BA25">
        <v>303661</v>
      </c>
      <c r="BB25">
        <v>43252</v>
      </c>
      <c r="BC25">
        <v>2495017</v>
      </c>
      <c r="BD25">
        <v>0</v>
      </c>
      <c r="BE25">
        <v>0</v>
      </c>
      <c r="BF25">
        <v>711619</v>
      </c>
      <c r="BG25">
        <v>0</v>
      </c>
      <c r="BH25">
        <v>0</v>
      </c>
      <c r="BI25">
        <v>690279</v>
      </c>
      <c r="BJ25">
        <v>0</v>
      </c>
      <c r="BK25">
        <v>74831</v>
      </c>
      <c r="BL25">
        <v>2669635</v>
      </c>
      <c r="BM25">
        <v>373151</v>
      </c>
      <c r="BN25">
        <v>0</v>
      </c>
      <c r="BO25">
        <v>1476999</v>
      </c>
      <c r="BP25">
        <v>127188436</v>
      </c>
      <c r="BQ25">
        <v>0</v>
      </c>
      <c r="BR25">
        <v>115027</v>
      </c>
      <c r="BS25">
        <v>464790</v>
      </c>
      <c r="BU25">
        <v>-22499</v>
      </c>
      <c r="BV25">
        <v>0</v>
      </c>
      <c r="BW25">
        <v>4060901</v>
      </c>
      <c r="BX25">
        <v>589021</v>
      </c>
      <c r="BY25">
        <v>6988019</v>
      </c>
      <c r="BZ25">
        <v>3101983</v>
      </c>
      <c r="CA25">
        <v>167876</v>
      </c>
      <c r="CB25">
        <v>2558243</v>
      </c>
      <c r="CC25">
        <v>1110141</v>
      </c>
      <c r="CD25">
        <v>2755</v>
      </c>
      <c r="CF25">
        <v>5069533</v>
      </c>
      <c r="CG25">
        <v>0</v>
      </c>
      <c r="CH25">
        <v>380557</v>
      </c>
      <c r="CI25">
        <v>0</v>
      </c>
      <c r="CK25">
        <v>5440</v>
      </c>
    </row>
    <row r="26" spans="1:89" x14ac:dyDescent="0.3">
      <c r="A26" s="155">
        <v>81</v>
      </c>
      <c r="B26" t="s">
        <v>210</v>
      </c>
      <c r="D26">
        <v>12131</v>
      </c>
      <c r="E26">
        <v>0</v>
      </c>
      <c r="F26">
        <v>54980</v>
      </c>
      <c r="G26">
        <v>8757</v>
      </c>
      <c r="I26">
        <v>250565</v>
      </c>
      <c r="J26">
        <v>0</v>
      </c>
      <c r="K26">
        <v>935616</v>
      </c>
      <c r="L26">
        <v>0</v>
      </c>
      <c r="M26">
        <v>0</v>
      </c>
      <c r="N26">
        <v>293211</v>
      </c>
      <c r="O26">
        <v>12997721</v>
      </c>
      <c r="P26">
        <v>0</v>
      </c>
      <c r="Q26">
        <v>0</v>
      </c>
      <c r="R26">
        <v>0</v>
      </c>
      <c r="S26">
        <v>0</v>
      </c>
      <c r="T26">
        <v>0</v>
      </c>
      <c r="U26">
        <v>0</v>
      </c>
      <c r="V26">
        <v>7611</v>
      </c>
      <c r="W26">
        <v>121634</v>
      </c>
      <c r="X26">
        <v>0</v>
      </c>
      <c r="Y26">
        <v>59777000</v>
      </c>
      <c r="Z26">
        <v>541621</v>
      </c>
      <c r="AA26">
        <v>10975</v>
      </c>
      <c r="AB26">
        <v>0</v>
      </c>
      <c r="AD26">
        <v>203444</v>
      </c>
      <c r="AE26">
        <v>120959</v>
      </c>
      <c r="AF26">
        <v>2913465</v>
      </c>
      <c r="AG26">
        <v>0</v>
      </c>
      <c r="AH26">
        <v>51507</v>
      </c>
      <c r="AI26">
        <v>844856</v>
      </c>
      <c r="AJ26">
        <v>133623</v>
      </c>
      <c r="AK26">
        <v>35430</v>
      </c>
      <c r="AL26">
        <v>44108</v>
      </c>
      <c r="AN26">
        <v>82698</v>
      </c>
      <c r="AP26">
        <v>0</v>
      </c>
      <c r="AQ26">
        <v>5820957</v>
      </c>
      <c r="AR26">
        <v>0</v>
      </c>
      <c r="AS26">
        <v>2220</v>
      </c>
      <c r="AT26">
        <v>1490859</v>
      </c>
      <c r="AU26">
        <v>61175</v>
      </c>
      <c r="AV26">
        <v>0</v>
      </c>
      <c r="AW26">
        <v>0</v>
      </c>
      <c r="AX26">
        <v>21214</v>
      </c>
      <c r="AY26">
        <v>0</v>
      </c>
      <c r="AZ26">
        <v>0</v>
      </c>
      <c r="BA26">
        <v>55358</v>
      </c>
      <c r="BB26">
        <v>13110</v>
      </c>
      <c r="BC26">
        <v>447106</v>
      </c>
      <c r="BD26">
        <v>0</v>
      </c>
      <c r="BE26">
        <v>0</v>
      </c>
      <c r="BF26">
        <v>240955</v>
      </c>
      <c r="BG26">
        <v>0</v>
      </c>
      <c r="BH26">
        <v>0</v>
      </c>
      <c r="BI26">
        <v>253891</v>
      </c>
      <c r="BJ26">
        <v>0</v>
      </c>
      <c r="BK26">
        <v>24601</v>
      </c>
      <c r="BL26">
        <v>63783</v>
      </c>
      <c r="BM26">
        <v>22800</v>
      </c>
      <c r="BN26">
        <v>0</v>
      </c>
      <c r="BO26">
        <v>973420</v>
      </c>
      <c r="BP26">
        <v>16931566</v>
      </c>
      <c r="BQ26">
        <v>0</v>
      </c>
      <c r="BR26">
        <v>6193</v>
      </c>
      <c r="BS26">
        <v>63362</v>
      </c>
      <c r="BU26">
        <v>310429</v>
      </c>
      <c r="BV26">
        <v>0</v>
      </c>
      <c r="BW26">
        <v>1385938</v>
      </c>
      <c r="BX26">
        <v>269232</v>
      </c>
      <c r="BY26">
        <v>1606152</v>
      </c>
      <c r="BZ26">
        <v>240631</v>
      </c>
      <c r="CA26">
        <v>23509</v>
      </c>
      <c r="CB26">
        <v>243796</v>
      </c>
      <c r="CC26">
        <v>68206</v>
      </c>
      <c r="CD26">
        <v>102323</v>
      </c>
      <c r="CF26">
        <v>844893</v>
      </c>
      <c r="CG26">
        <v>0</v>
      </c>
      <c r="CH26">
        <v>443860</v>
      </c>
      <c r="CI26">
        <v>0</v>
      </c>
      <c r="CK26">
        <v>33905</v>
      </c>
    </row>
    <row r="27" spans="1:89" x14ac:dyDescent="0.3">
      <c r="A27" s="155">
        <v>82</v>
      </c>
      <c r="B27" t="s">
        <v>307</v>
      </c>
      <c r="D27">
        <v>0</v>
      </c>
      <c r="E27">
        <v>0</v>
      </c>
      <c r="F27">
        <v>0</v>
      </c>
      <c r="G27">
        <v>10185</v>
      </c>
      <c r="I27">
        <v>2474751</v>
      </c>
      <c r="J27">
        <v>0</v>
      </c>
      <c r="K27">
        <v>27692900</v>
      </c>
      <c r="L27">
        <v>0</v>
      </c>
      <c r="M27">
        <v>0</v>
      </c>
      <c r="N27">
        <v>3712862</v>
      </c>
      <c r="O27">
        <v>256885375</v>
      </c>
      <c r="P27">
        <v>0</v>
      </c>
      <c r="Q27">
        <v>0</v>
      </c>
      <c r="R27">
        <v>0</v>
      </c>
      <c r="S27">
        <v>0</v>
      </c>
      <c r="T27">
        <v>0</v>
      </c>
      <c r="U27">
        <v>0</v>
      </c>
      <c r="V27">
        <v>0</v>
      </c>
      <c r="W27">
        <v>3094000</v>
      </c>
      <c r="X27">
        <v>0</v>
      </c>
      <c r="Y27">
        <v>1769322000</v>
      </c>
      <c r="Z27">
        <v>0</v>
      </c>
      <c r="AA27">
        <v>0</v>
      </c>
      <c r="AB27">
        <v>0</v>
      </c>
      <c r="AD27">
        <v>0</v>
      </c>
      <c r="AE27">
        <v>393165</v>
      </c>
      <c r="AF27">
        <v>35686903</v>
      </c>
      <c r="AG27">
        <v>0</v>
      </c>
      <c r="AH27">
        <v>0</v>
      </c>
      <c r="AI27">
        <v>7096968</v>
      </c>
      <c r="AJ27">
        <v>0</v>
      </c>
      <c r="AK27">
        <v>0</v>
      </c>
      <c r="AL27">
        <v>591500</v>
      </c>
      <c r="AN27">
        <v>2066590</v>
      </c>
      <c r="AP27">
        <v>0</v>
      </c>
      <c r="AQ27">
        <v>21294640</v>
      </c>
      <c r="AR27">
        <v>0</v>
      </c>
      <c r="AS27">
        <v>0</v>
      </c>
      <c r="AT27">
        <v>2448779</v>
      </c>
      <c r="AU27">
        <v>0</v>
      </c>
      <c r="AV27">
        <v>0</v>
      </c>
      <c r="AW27">
        <v>0</v>
      </c>
      <c r="AX27">
        <v>91200</v>
      </c>
      <c r="AY27">
        <v>0</v>
      </c>
      <c r="AZ27">
        <v>0</v>
      </c>
      <c r="BA27">
        <v>169508</v>
      </c>
      <c r="BB27">
        <v>0</v>
      </c>
      <c r="BC27">
        <v>2303926</v>
      </c>
      <c r="BD27">
        <v>0</v>
      </c>
      <c r="BE27">
        <v>0</v>
      </c>
      <c r="BF27">
        <v>2306378</v>
      </c>
      <c r="BG27">
        <v>0</v>
      </c>
      <c r="BH27">
        <v>0</v>
      </c>
      <c r="BI27">
        <v>2798147</v>
      </c>
      <c r="BJ27">
        <v>0</v>
      </c>
      <c r="BK27">
        <v>182244</v>
      </c>
      <c r="BL27">
        <v>306206</v>
      </c>
      <c r="BM27">
        <v>11114</v>
      </c>
      <c r="BN27">
        <v>0</v>
      </c>
      <c r="BO27">
        <v>8782059</v>
      </c>
      <c r="BP27">
        <v>323967014</v>
      </c>
      <c r="BQ27">
        <v>0</v>
      </c>
      <c r="BR27">
        <v>0</v>
      </c>
      <c r="BS27">
        <v>0</v>
      </c>
      <c r="BU27">
        <v>1373000</v>
      </c>
      <c r="BV27">
        <v>0</v>
      </c>
      <c r="BW27">
        <v>16003574</v>
      </c>
      <c r="BX27">
        <v>4745161</v>
      </c>
      <c r="BY27">
        <v>1919211</v>
      </c>
      <c r="BZ27">
        <v>831018</v>
      </c>
      <c r="CA27">
        <v>182000</v>
      </c>
      <c r="CB27">
        <v>2017458</v>
      </c>
      <c r="CC27">
        <v>0</v>
      </c>
      <c r="CD27">
        <v>1771000</v>
      </c>
      <c r="CF27">
        <v>58057</v>
      </c>
      <c r="CG27">
        <v>0</v>
      </c>
      <c r="CH27">
        <v>1782475</v>
      </c>
      <c r="CI27">
        <v>0</v>
      </c>
      <c r="CK27">
        <v>0</v>
      </c>
    </row>
    <row r="28" spans="1:89" x14ac:dyDescent="0.3">
      <c r="A28" s="155">
        <v>83</v>
      </c>
      <c r="B28" t="s">
        <v>94</v>
      </c>
      <c r="D28">
        <v>3085460</v>
      </c>
      <c r="E28">
        <v>0</v>
      </c>
      <c r="F28">
        <v>4333242</v>
      </c>
      <c r="G28">
        <v>585343</v>
      </c>
      <c r="I28">
        <v>11636279</v>
      </c>
      <c r="J28">
        <v>0</v>
      </c>
      <c r="K28">
        <v>22654411</v>
      </c>
      <c r="L28">
        <v>0</v>
      </c>
      <c r="M28">
        <v>0</v>
      </c>
      <c r="N28">
        <v>10241279</v>
      </c>
      <c r="O28">
        <v>875460888</v>
      </c>
      <c r="P28">
        <v>0</v>
      </c>
      <c r="Q28">
        <v>0</v>
      </c>
      <c r="R28">
        <v>0</v>
      </c>
      <c r="S28">
        <v>0</v>
      </c>
      <c r="T28">
        <v>0</v>
      </c>
      <c r="U28">
        <v>0</v>
      </c>
      <c r="V28">
        <v>2282220</v>
      </c>
      <c r="W28">
        <v>10346170</v>
      </c>
      <c r="X28">
        <v>0</v>
      </c>
      <c r="Y28">
        <v>2962917000</v>
      </c>
      <c r="Z28">
        <v>11030732</v>
      </c>
      <c r="AA28">
        <v>3720024</v>
      </c>
      <c r="AB28">
        <v>0</v>
      </c>
      <c r="AD28">
        <v>8601360</v>
      </c>
      <c r="AE28">
        <v>4857089</v>
      </c>
      <c r="AF28">
        <v>100422328</v>
      </c>
      <c r="AG28">
        <v>0</v>
      </c>
      <c r="AH28">
        <v>6394233</v>
      </c>
      <c r="AI28">
        <v>21264127</v>
      </c>
      <c r="AJ28">
        <v>3518156</v>
      </c>
      <c r="AK28">
        <v>1011229</v>
      </c>
      <c r="AL28">
        <v>1728636</v>
      </c>
      <c r="AN28">
        <v>11116689</v>
      </c>
      <c r="AP28">
        <v>0</v>
      </c>
      <c r="AQ28">
        <v>271980937</v>
      </c>
      <c r="AR28">
        <v>0</v>
      </c>
      <c r="AS28">
        <v>2035443</v>
      </c>
      <c r="AT28">
        <v>36023613</v>
      </c>
      <c r="AU28">
        <v>4057991</v>
      </c>
      <c r="AV28">
        <v>0</v>
      </c>
      <c r="AW28">
        <v>0</v>
      </c>
      <c r="AX28">
        <v>5059807</v>
      </c>
      <c r="AY28">
        <v>0</v>
      </c>
      <c r="AZ28">
        <v>0</v>
      </c>
      <c r="BA28">
        <v>5225298</v>
      </c>
      <c r="BB28">
        <v>1129886</v>
      </c>
      <c r="BC28">
        <v>8767544</v>
      </c>
      <c r="BD28">
        <v>0</v>
      </c>
      <c r="BE28">
        <v>0</v>
      </c>
      <c r="BF28">
        <v>8862088</v>
      </c>
      <c r="BG28">
        <v>0</v>
      </c>
      <c r="BH28">
        <v>0</v>
      </c>
      <c r="BI28">
        <v>10207159</v>
      </c>
      <c r="BJ28">
        <v>0</v>
      </c>
      <c r="BK28">
        <v>7739172</v>
      </c>
      <c r="BL28">
        <v>854466</v>
      </c>
      <c r="BM28">
        <v>2100155</v>
      </c>
      <c r="BN28">
        <v>0</v>
      </c>
      <c r="BO28">
        <v>23695101</v>
      </c>
      <c r="BP28">
        <v>914600316</v>
      </c>
      <c r="BQ28">
        <v>0</v>
      </c>
      <c r="BR28">
        <v>256545</v>
      </c>
      <c r="BS28">
        <v>1067949</v>
      </c>
      <c r="BU28">
        <v>1930021</v>
      </c>
      <c r="BV28">
        <v>0</v>
      </c>
      <c r="BW28">
        <v>60799407</v>
      </c>
      <c r="BX28">
        <v>7838219</v>
      </c>
      <c r="BY28">
        <v>52744495</v>
      </c>
      <c r="BZ28">
        <v>16091348</v>
      </c>
      <c r="CA28">
        <v>1643426</v>
      </c>
      <c r="CB28">
        <v>6664534</v>
      </c>
      <c r="CC28">
        <v>4409057</v>
      </c>
      <c r="CD28">
        <v>4217509</v>
      </c>
      <c r="CF28">
        <v>9847382</v>
      </c>
      <c r="CG28">
        <v>0</v>
      </c>
      <c r="CH28">
        <v>5811520</v>
      </c>
      <c r="CI28">
        <v>0</v>
      </c>
      <c r="CK28">
        <v>1682263</v>
      </c>
    </row>
    <row r="29" spans="1:89" x14ac:dyDescent="0.3">
      <c r="A29" s="155">
        <v>84</v>
      </c>
      <c r="B29" t="s">
        <v>218</v>
      </c>
      <c r="D29">
        <v>178928</v>
      </c>
      <c r="E29">
        <v>0</v>
      </c>
      <c r="F29">
        <v>383736</v>
      </c>
      <c r="G29">
        <v>84700</v>
      </c>
      <c r="I29">
        <v>2819038</v>
      </c>
      <c r="J29">
        <v>0</v>
      </c>
      <c r="K29">
        <v>9543421</v>
      </c>
      <c r="L29">
        <v>0</v>
      </c>
      <c r="M29">
        <v>0</v>
      </c>
      <c r="N29">
        <v>2183137</v>
      </c>
      <c r="O29">
        <v>86416882</v>
      </c>
      <c r="P29">
        <v>0</v>
      </c>
      <c r="Q29">
        <v>0</v>
      </c>
      <c r="R29">
        <v>0</v>
      </c>
      <c r="S29">
        <v>0</v>
      </c>
      <c r="T29">
        <v>0</v>
      </c>
      <c r="U29">
        <v>0</v>
      </c>
      <c r="V29">
        <v>59145</v>
      </c>
      <c r="W29">
        <v>885981</v>
      </c>
      <c r="X29">
        <v>0</v>
      </c>
      <c r="Y29">
        <v>499139000</v>
      </c>
      <c r="Z29">
        <v>3005342</v>
      </c>
      <c r="AA29">
        <v>89013</v>
      </c>
      <c r="AB29">
        <v>0</v>
      </c>
      <c r="AD29">
        <v>1949331</v>
      </c>
      <c r="AE29">
        <v>684995</v>
      </c>
      <c r="AF29">
        <v>23322221</v>
      </c>
      <c r="AG29">
        <v>0</v>
      </c>
      <c r="AH29">
        <v>524911</v>
      </c>
      <c r="AI29">
        <v>5861283</v>
      </c>
      <c r="AJ29">
        <v>1127071</v>
      </c>
      <c r="AK29">
        <v>451011</v>
      </c>
      <c r="AL29">
        <v>262320</v>
      </c>
      <c r="AN29">
        <v>642802</v>
      </c>
      <c r="AP29">
        <v>0</v>
      </c>
      <c r="AQ29">
        <v>50275591</v>
      </c>
      <c r="AR29">
        <v>0</v>
      </c>
      <c r="AS29">
        <v>56479</v>
      </c>
      <c r="AT29">
        <v>5684632</v>
      </c>
      <c r="AU29">
        <v>484854</v>
      </c>
      <c r="AV29">
        <v>0</v>
      </c>
      <c r="AW29">
        <v>0</v>
      </c>
      <c r="AX29">
        <v>203850</v>
      </c>
      <c r="AY29">
        <v>0</v>
      </c>
      <c r="AZ29">
        <v>0</v>
      </c>
      <c r="BA29">
        <v>407996</v>
      </c>
      <c r="BB29">
        <v>102000</v>
      </c>
      <c r="BC29">
        <v>3323339</v>
      </c>
      <c r="BD29">
        <v>0</v>
      </c>
      <c r="BE29">
        <v>0</v>
      </c>
      <c r="BF29">
        <v>1582405</v>
      </c>
      <c r="BG29">
        <v>0</v>
      </c>
      <c r="BH29">
        <v>0</v>
      </c>
      <c r="BI29">
        <v>1921242</v>
      </c>
      <c r="BJ29">
        <v>0</v>
      </c>
      <c r="BK29">
        <v>261724</v>
      </c>
      <c r="BL29">
        <v>679405</v>
      </c>
      <c r="BM29">
        <v>236188</v>
      </c>
      <c r="BN29">
        <v>0</v>
      </c>
      <c r="BO29">
        <v>6573067</v>
      </c>
      <c r="BP29">
        <v>114666950</v>
      </c>
      <c r="BQ29">
        <v>0</v>
      </c>
      <c r="BR29">
        <v>93369</v>
      </c>
      <c r="BS29">
        <v>352420</v>
      </c>
      <c r="BU29">
        <v>962642</v>
      </c>
      <c r="BV29">
        <v>0</v>
      </c>
      <c r="BW29">
        <v>9422190</v>
      </c>
      <c r="BX29">
        <v>2707730</v>
      </c>
      <c r="BY29">
        <v>11095455</v>
      </c>
      <c r="BZ29">
        <v>1731436</v>
      </c>
      <c r="CA29">
        <v>301287</v>
      </c>
      <c r="CB29">
        <v>1848605</v>
      </c>
      <c r="CC29">
        <v>601935</v>
      </c>
      <c r="CD29">
        <v>546136</v>
      </c>
      <c r="CF29">
        <v>5221567</v>
      </c>
      <c r="CG29">
        <v>0</v>
      </c>
      <c r="CH29">
        <v>1179972</v>
      </c>
      <c r="CI29">
        <v>0</v>
      </c>
      <c r="CK29">
        <v>159173</v>
      </c>
    </row>
    <row r="30" spans="1:89" x14ac:dyDescent="0.3">
      <c r="A30" s="155">
        <v>85</v>
      </c>
      <c r="B30" t="s">
        <v>220</v>
      </c>
      <c r="D30">
        <v>289733</v>
      </c>
      <c r="E30">
        <v>0</v>
      </c>
      <c r="F30">
        <v>336468</v>
      </c>
      <c r="G30">
        <v>115956</v>
      </c>
      <c r="I30">
        <v>2428454</v>
      </c>
      <c r="J30">
        <v>0</v>
      </c>
      <c r="K30">
        <v>6943864</v>
      </c>
      <c r="L30">
        <v>0</v>
      </c>
      <c r="M30">
        <v>0</v>
      </c>
      <c r="N30">
        <v>1610065</v>
      </c>
      <c r="O30">
        <v>71313725</v>
      </c>
      <c r="P30">
        <v>0</v>
      </c>
      <c r="Q30">
        <v>0</v>
      </c>
      <c r="R30">
        <v>0</v>
      </c>
      <c r="S30">
        <v>0</v>
      </c>
      <c r="T30">
        <v>0</v>
      </c>
      <c r="U30">
        <v>0</v>
      </c>
      <c r="V30">
        <v>125945</v>
      </c>
      <c r="W30">
        <v>1002183</v>
      </c>
      <c r="X30">
        <v>0</v>
      </c>
      <c r="Y30">
        <v>429609000</v>
      </c>
      <c r="Z30">
        <v>2886518</v>
      </c>
      <c r="AA30">
        <v>144371</v>
      </c>
      <c r="AB30">
        <v>0</v>
      </c>
      <c r="AD30">
        <v>1481418</v>
      </c>
      <c r="AE30">
        <v>668775</v>
      </c>
      <c r="AF30">
        <v>20371375</v>
      </c>
      <c r="AG30">
        <v>0</v>
      </c>
      <c r="AH30">
        <v>479554</v>
      </c>
      <c r="AI30">
        <v>5708644</v>
      </c>
      <c r="AJ30">
        <v>1176263</v>
      </c>
      <c r="AK30">
        <v>432547</v>
      </c>
      <c r="AL30">
        <v>291865</v>
      </c>
      <c r="AN30">
        <v>1087101</v>
      </c>
      <c r="AP30">
        <v>0</v>
      </c>
      <c r="AQ30">
        <v>41527635</v>
      </c>
      <c r="AR30">
        <v>0</v>
      </c>
      <c r="AS30">
        <v>139075</v>
      </c>
      <c r="AT30">
        <v>4616212</v>
      </c>
      <c r="AU30">
        <v>515590</v>
      </c>
      <c r="AV30">
        <v>0</v>
      </c>
      <c r="AW30">
        <v>0</v>
      </c>
      <c r="AX30">
        <v>385310</v>
      </c>
      <c r="AY30">
        <v>0</v>
      </c>
      <c r="AZ30">
        <v>0</v>
      </c>
      <c r="BA30">
        <v>530220</v>
      </c>
      <c r="BB30">
        <v>145807</v>
      </c>
      <c r="BC30">
        <v>3032264</v>
      </c>
      <c r="BD30">
        <v>0</v>
      </c>
      <c r="BE30">
        <v>0</v>
      </c>
      <c r="BF30">
        <v>1440113</v>
      </c>
      <c r="BG30">
        <v>0</v>
      </c>
      <c r="BH30">
        <v>0</v>
      </c>
      <c r="BI30">
        <v>2215679</v>
      </c>
      <c r="BJ30">
        <v>0</v>
      </c>
      <c r="BK30">
        <v>448474</v>
      </c>
      <c r="BL30">
        <v>629402</v>
      </c>
      <c r="BM30">
        <v>259851</v>
      </c>
      <c r="BN30">
        <v>0</v>
      </c>
      <c r="BO30">
        <v>6169708</v>
      </c>
      <c r="BP30">
        <v>94371083</v>
      </c>
      <c r="BQ30">
        <v>0</v>
      </c>
      <c r="BR30">
        <v>103720</v>
      </c>
      <c r="BS30">
        <v>320500</v>
      </c>
      <c r="BU30">
        <v>976365</v>
      </c>
      <c r="BV30">
        <v>0</v>
      </c>
      <c r="BW30">
        <v>10387770</v>
      </c>
      <c r="BX30">
        <v>2572916</v>
      </c>
      <c r="BY30">
        <v>9651516</v>
      </c>
      <c r="BZ30">
        <v>2030333</v>
      </c>
      <c r="CA30">
        <v>399061</v>
      </c>
      <c r="CB30">
        <v>1221010</v>
      </c>
      <c r="CC30">
        <v>579733</v>
      </c>
      <c r="CD30">
        <v>721473</v>
      </c>
      <c r="CF30">
        <v>3937415</v>
      </c>
      <c r="CG30">
        <v>0</v>
      </c>
      <c r="CH30">
        <v>1154831</v>
      </c>
      <c r="CI30">
        <v>0</v>
      </c>
      <c r="CK30">
        <v>196756</v>
      </c>
    </row>
    <row r="31" spans="1:89" x14ac:dyDescent="0.3">
      <c r="A31" s="155">
        <v>88</v>
      </c>
      <c r="B31" t="s">
        <v>217</v>
      </c>
      <c r="D31">
        <v>178928</v>
      </c>
      <c r="E31">
        <v>0</v>
      </c>
      <c r="F31">
        <v>376694</v>
      </c>
      <c r="G31">
        <v>83051</v>
      </c>
      <c r="I31">
        <v>2714008</v>
      </c>
      <c r="J31">
        <v>0</v>
      </c>
      <c r="K31">
        <v>8894951</v>
      </c>
      <c r="L31">
        <v>0</v>
      </c>
      <c r="M31">
        <v>0</v>
      </c>
      <c r="N31">
        <v>2183137</v>
      </c>
      <c r="O31">
        <v>84215302</v>
      </c>
      <c r="P31">
        <v>0</v>
      </c>
      <c r="Q31">
        <v>0</v>
      </c>
      <c r="R31">
        <v>0</v>
      </c>
      <c r="S31">
        <v>0</v>
      </c>
      <c r="T31">
        <v>0</v>
      </c>
      <c r="U31">
        <v>0</v>
      </c>
      <c r="V31">
        <v>59145</v>
      </c>
      <c r="W31">
        <v>849653</v>
      </c>
      <c r="X31">
        <v>0</v>
      </c>
      <c r="Y31">
        <v>396831000</v>
      </c>
      <c r="Z31">
        <v>2841249</v>
      </c>
      <c r="AA31">
        <v>89013</v>
      </c>
      <c r="AB31">
        <v>0</v>
      </c>
      <c r="AD31">
        <v>1893986</v>
      </c>
      <c r="AE31">
        <v>657953</v>
      </c>
      <c r="AF31">
        <v>21908375</v>
      </c>
      <c r="AG31">
        <v>0</v>
      </c>
      <c r="AH31">
        <v>486982</v>
      </c>
      <c r="AI31">
        <v>5750142</v>
      </c>
      <c r="AJ31">
        <v>1110655</v>
      </c>
      <c r="AK31">
        <v>396557</v>
      </c>
      <c r="AL31">
        <v>262270</v>
      </c>
      <c r="AN31">
        <v>641187</v>
      </c>
      <c r="AP31">
        <v>0</v>
      </c>
      <c r="AQ31">
        <v>45306098</v>
      </c>
      <c r="AR31">
        <v>0</v>
      </c>
      <c r="AS31">
        <v>56479</v>
      </c>
      <c r="AT31">
        <v>5684632</v>
      </c>
      <c r="AU31">
        <v>484854</v>
      </c>
      <c r="AV31">
        <v>0</v>
      </c>
      <c r="AW31">
        <v>0</v>
      </c>
      <c r="AX31">
        <v>197427</v>
      </c>
      <c r="AY31">
        <v>0</v>
      </c>
      <c r="AZ31">
        <v>0</v>
      </c>
      <c r="BA31">
        <v>407996</v>
      </c>
      <c r="BB31">
        <v>100198</v>
      </c>
      <c r="BC31">
        <v>3129895</v>
      </c>
      <c r="BD31">
        <v>0</v>
      </c>
      <c r="BE31">
        <v>0</v>
      </c>
      <c r="BF31">
        <v>1496010</v>
      </c>
      <c r="BG31">
        <v>0</v>
      </c>
      <c r="BH31">
        <v>0</v>
      </c>
      <c r="BI31">
        <v>1893736</v>
      </c>
      <c r="BJ31">
        <v>0</v>
      </c>
      <c r="BK31">
        <v>224221</v>
      </c>
      <c r="BL31">
        <v>659335</v>
      </c>
      <c r="BM31">
        <v>232395</v>
      </c>
      <c r="BN31">
        <v>0</v>
      </c>
      <c r="BO31">
        <v>6235436</v>
      </c>
      <c r="BP31">
        <v>114666950</v>
      </c>
      <c r="BQ31">
        <v>0</v>
      </c>
      <c r="BR31">
        <v>93369</v>
      </c>
      <c r="BS31">
        <v>334037</v>
      </c>
      <c r="BU31">
        <v>929418</v>
      </c>
      <c r="BV31">
        <v>0</v>
      </c>
      <c r="BW31">
        <v>9422190</v>
      </c>
      <c r="BX31">
        <v>2692173</v>
      </c>
      <c r="BY31">
        <v>10465457</v>
      </c>
      <c r="BZ31">
        <v>1579389</v>
      </c>
      <c r="CA31">
        <v>299044</v>
      </c>
      <c r="CB31">
        <v>1717648</v>
      </c>
      <c r="CC31">
        <v>560553</v>
      </c>
      <c r="CD31">
        <v>508501</v>
      </c>
      <c r="CF31">
        <v>5151004</v>
      </c>
      <c r="CG31">
        <v>0</v>
      </c>
      <c r="CH31">
        <v>1179972</v>
      </c>
      <c r="CI31">
        <v>0</v>
      </c>
      <c r="CK31">
        <v>156768</v>
      </c>
    </row>
    <row r="32" spans="1:89" x14ac:dyDescent="0.3">
      <c r="A32" s="155">
        <v>89</v>
      </c>
      <c r="B32" t="s">
        <v>221</v>
      </c>
      <c r="D32">
        <v>0</v>
      </c>
      <c r="E32">
        <v>0</v>
      </c>
      <c r="F32">
        <v>0</v>
      </c>
      <c r="G32">
        <v>175</v>
      </c>
      <c r="I32">
        <v>58308</v>
      </c>
      <c r="J32">
        <v>0</v>
      </c>
      <c r="K32">
        <v>1009529</v>
      </c>
      <c r="L32">
        <v>0</v>
      </c>
      <c r="M32">
        <v>0</v>
      </c>
      <c r="N32">
        <v>27922</v>
      </c>
      <c r="O32">
        <v>6449150</v>
      </c>
      <c r="P32">
        <v>0</v>
      </c>
      <c r="Q32">
        <v>0</v>
      </c>
      <c r="R32">
        <v>0</v>
      </c>
      <c r="S32">
        <v>0</v>
      </c>
      <c r="T32">
        <v>0</v>
      </c>
      <c r="U32">
        <v>0</v>
      </c>
      <c r="V32">
        <v>0</v>
      </c>
      <c r="W32">
        <v>60545</v>
      </c>
      <c r="X32">
        <v>0</v>
      </c>
      <c r="Y32">
        <v>45146000</v>
      </c>
      <c r="Z32">
        <v>136319</v>
      </c>
      <c r="AA32">
        <v>0</v>
      </c>
      <c r="AB32">
        <v>0</v>
      </c>
      <c r="AD32">
        <v>0</v>
      </c>
      <c r="AE32">
        <v>0</v>
      </c>
      <c r="AF32">
        <v>766350</v>
      </c>
      <c r="AG32">
        <v>0</v>
      </c>
      <c r="AH32">
        <v>0</v>
      </c>
      <c r="AI32">
        <v>162382</v>
      </c>
      <c r="AJ32">
        <v>73</v>
      </c>
      <c r="AK32">
        <v>0</v>
      </c>
      <c r="AL32">
        <v>17597</v>
      </c>
      <c r="AN32">
        <v>65155</v>
      </c>
      <c r="AP32">
        <v>0</v>
      </c>
      <c r="AQ32">
        <v>805328</v>
      </c>
      <c r="AR32">
        <v>0</v>
      </c>
      <c r="AS32">
        <v>0</v>
      </c>
      <c r="AT32">
        <v>2434</v>
      </c>
      <c r="AU32">
        <v>0</v>
      </c>
      <c r="AV32">
        <v>0</v>
      </c>
      <c r="AW32">
        <v>0</v>
      </c>
      <c r="AX32">
        <v>0</v>
      </c>
      <c r="AY32">
        <v>0</v>
      </c>
      <c r="AZ32">
        <v>0</v>
      </c>
      <c r="BA32">
        <v>0</v>
      </c>
      <c r="BB32">
        <v>0</v>
      </c>
      <c r="BC32">
        <v>88311</v>
      </c>
      <c r="BD32">
        <v>0</v>
      </c>
      <c r="BE32">
        <v>0</v>
      </c>
      <c r="BF32">
        <v>35156</v>
      </c>
      <c r="BG32">
        <v>0</v>
      </c>
      <c r="BH32">
        <v>0</v>
      </c>
      <c r="BI32">
        <v>44856</v>
      </c>
      <c r="BJ32">
        <v>0</v>
      </c>
      <c r="BK32">
        <v>0</v>
      </c>
      <c r="BL32">
        <v>0</v>
      </c>
      <c r="BM32">
        <v>0</v>
      </c>
      <c r="BN32">
        <v>0</v>
      </c>
      <c r="BO32">
        <v>157266</v>
      </c>
      <c r="BP32">
        <v>9680478</v>
      </c>
      <c r="BQ32">
        <v>0</v>
      </c>
      <c r="BR32">
        <v>0</v>
      </c>
      <c r="BS32">
        <v>0</v>
      </c>
      <c r="BU32">
        <v>58369</v>
      </c>
      <c r="BV32">
        <v>0</v>
      </c>
      <c r="BW32">
        <v>118122</v>
      </c>
      <c r="BX32">
        <v>72384</v>
      </c>
      <c r="BY32">
        <v>35536</v>
      </c>
      <c r="BZ32">
        <v>12585</v>
      </c>
      <c r="CA32">
        <v>9287</v>
      </c>
      <c r="CB32">
        <v>45970</v>
      </c>
      <c r="CC32">
        <v>0</v>
      </c>
      <c r="CD32">
        <v>49665</v>
      </c>
      <c r="CF32">
        <v>0</v>
      </c>
      <c r="CG32">
        <v>0</v>
      </c>
      <c r="CH32">
        <v>80800</v>
      </c>
      <c r="CI32">
        <v>0</v>
      </c>
      <c r="CK32">
        <v>0</v>
      </c>
    </row>
    <row r="33" spans="1:89" x14ac:dyDescent="0.3">
      <c r="A33" s="155">
        <v>90</v>
      </c>
      <c r="B33" t="s">
        <v>214</v>
      </c>
      <c r="D33">
        <v>0</v>
      </c>
      <c r="E33">
        <v>0</v>
      </c>
      <c r="F33">
        <v>0</v>
      </c>
      <c r="G33">
        <v>0</v>
      </c>
      <c r="I33">
        <v>0</v>
      </c>
      <c r="J33">
        <v>0</v>
      </c>
      <c r="K33">
        <v>0</v>
      </c>
      <c r="L33">
        <v>0</v>
      </c>
      <c r="M33">
        <v>0</v>
      </c>
      <c r="N33">
        <v>0</v>
      </c>
      <c r="O33">
        <v>0</v>
      </c>
      <c r="P33">
        <v>0</v>
      </c>
      <c r="Q33">
        <v>0</v>
      </c>
      <c r="R33">
        <v>0</v>
      </c>
      <c r="S33">
        <v>0</v>
      </c>
      <c r="T33">
        <v>0</v>
      </c>
      <c r="U33">
        <v>0</v>
      </c>
      <c r="V33">
        <v>0</v>
      </c>
      <c r="W33">
        <v>0</v>
      </c>
      <c r="X33">
        <v>0</v>
      </c>
      <c r="Y33">
        <v>0</v>
      </c>
      <c r="Z33">
        <v>3134830</v>
      </c>
      <c r="AA33">
        <v>0</v>
      </c>
      <c r="AB33">
        <v>0</v>
      </c>
      <c r="AD33">
        <v>0</v>
      </c>
      <c r="AE33">
        <v>0</v>
      </c>
      <c r="AF33">
        <v>4840315</v>
      </c>
      <c r="AG33">
        <v>0</v>
      </c>
      <c r="AH33">
        <v>0</v>
      </c>
      <c r="AI33">
        <v>0</v>
      </c>
      <c r="AJ33">
        <v>0</v>
      </c>
      <c r="AK33">
        <v>0</v>
      </c>
      <c r="AL33">
        <v>0</v>
      </c>
      <c r="AN33">
        <v>0</v>
      </c>
      <c r="AP33">
        <v>0</v>
      </c>
      <c r="AQ33">
        <v>90283631</v>
      </c>
      <c r="AR33">
        <v>0</v>
      </c>
      <c r="AS33">
        <v>0</v>
      </c>
      <c r="AT33">
        <v>0</v>
      </c>
      <c r="AU33">
        <v>0</v>
      </c>
      <c r="AV33">
        <v>0</v>
      </c>
      <c r="AW33">
        <v>5629038</v>
      </c>
      <c r="AX33">
        <v>0</v>
      </c>
      <c r="AY33">
        <v>0</v>
      </c>
      <c r="AZ33">
        <v>0</v>
      </c>
      <c r="BA33">
        <v>0</v>
      </c>
      <c r="BB33">
        <v>0</v>
      </c>
      <c r="BC33">
        <v>4181442</v>
      </c>
      <c r="BD33">
        <v>0</v>
      </c>
      <c r="BE33">
        <v>0</v>
      </c>
      <c r="BF33">
        <v>0</v>
      </c>
      <c r="BG33">
        <v>0</v>
      </c>
      <c r="BH33">
        <v>0</v>
      </c>
      <c r="BI33">
        <v>0</v>
      </c>
      <c r="BJ33">
        <v>0</v>
      </c>
      <c r="BK33">
        <v>0</v>
      </c>
      <c r="BL33">
        <v>4048212</v>
      </c>
      <c r="BM33">
        <v>0</v>
      </c>
      <c r="BN33">
        <v>0</v>
      </c>
      <c r="BO33">
        <v>0</v>
      </c>
      <c r="BP33">
        <v>0</v>
      </c>
      <c r="BQ33">
        <v>0</v>
      </c>
      <c r="BR33">
        <v>0</v>
      </c>
      <c r="BS33">
        <v>0</v>
      </c>
      <c r="BU33">
        <v>0</v>
      </c>
      <c r="BV33">
        <v>0</v>
      </c>
      <c r="BW33">
        <v>0</v>
      </c>
      <c r="BX33">
        <v>2064588</v>
      </c>
      <c r="BY33">
        <v>5364919</v>
      </c>
      <c r="BZ33">
        <v>0</v>
      </c>
      <c r="CA33">
        <v>0</v>
      </c>
      <c r="CB33">
        <v>0</v>
      </c>
      <c r="CC33">
        <v>0</v>
      </c>
      <c r="CD33">
        <v>0</v>
      </c>
      <c r="CF33">
        <v>0</v>
      </c>
      <c r="CG33">
        <v>0</v>
      </c>
      <c r="CH33">
        <v>7204430</v>
      </c>
      <c r="CI33">
        <v>0</v>
      </c>
      <c r="CK33">
        <v>0</v>
      </c>
    </row>
    <row r="34" spans="1:89" x14ac:dyDescent="0.3">
      <c r="A34" s="155">
        <v>91</v>
      </c>
      <c r="B34" t="s">
        <v>215</v>
      </c>
      <c r="D34">
        <v>0</v>
      </c>
      <c r="E34">
        <v>0</v>
      </c>
      <c r="F34">
        <v>0</v>
      </c>
      <c r="G34">
        <v>0</v>
      </c>
      <c r="I34">
        <v>0</v>
      </c>
      <c r="J34">
        <v>0</v>
      </c>
      <c r="K34">
        <v>0</v>
      </c>
      <c r="L34">
        <v>0</v>
      </c>
      <c r="M34">
        <v>0</v>
      </c>
      <c r="N34">
        <v>0</v>
      </c>
      <c r="O34">
        <v>0</v>
      </c>
      <c r="P34">
        <v>0</v>
      </c>
      <c r="Q34">
        <v>0</v>
      </c>
      <c r="R34">
        <v>0</v>
      </c>
      <c r="S34">
        <v>0</v>
      </c>
      <c r="T34">
        <v>0</v>
      </c>
      <c r="U34">
        <v>0</v>
      </c>
      <c r="V34">
        <v>0</v>
      </c>
      <c r="W34">
        <v>0</v>
      </c>
      <c r="X34">
        <v>0</v>
      </c>
      <c r="Y34">
        <v>0</v>
      </c>
      <c r="Z34">
        <v>1111419</v>
      </c>
      <c r="AA34">
        <v>0</v>
      </c>
      <c r="AB34">
        <v>0</v>
      </c>
      <c r="AD34">
        <v>0</v>
      </c>
      <c r="AE34">
        <v>0</v>
      </c>
      <c r="AF34">
        <v>1949041</v>
      </c>
      <c r="AG34">
        <v>0</v>
      </c>
      <c r="AH34">
        <v>0</v>
      </c>
      <c r="AI34">
        <v>0</v>
      </c>
      <c r="AJ34">
        <v>0</v>
      </c>
      <c r="AK34">
        <v>0</v>
      </c>
      <c r="AL34">
        <v>0</v>
      </c>
      <c r="AN34">
        <v>0</v>
      </c>
      <c r="AP34">
        <v>0</v>
      </c>
      <c r="AQ34">
        <v>11458248</v>
      </c>
      <c r="AR34">
        <v>0</v>
      </c>
      <c r="AS34">
        <v>0</v>
      </c>
      <c r="AT34">
        <v>0</v>
      </c>
      <c r="AU34">
        <v>0</v>
      </c>
      <c r="AV34">
        <v>0</v>
      </c>
      <c r="AW34">
        <v>826063</v>
      </c>
      <c r="AX34">
        <v>0</v>
      </c>
      <c r="AY34">
        <v>0</v>
      </c>
      <c r="AZ34">
        <v>0</v>
      </c>
      <c r="BA34">
        <v>0</v>
      </c>
      <c r="BB34">
        <v>0</v>
      </c>
      <c r="BC34">
        <v>1416543</v>
      </c>
      <c r="BD34">
        <v>0</v>
      </c>
      <c r="BE34">
        <v>0</v>
      </c>
      <c r="BF34">
        <v>0</v>
      </c>
      <c r="BG34">
        <v>0</v>
      </c>
      <c r="BH34">
        <v>0</v>
      </c>
      <c r="BI34">
        <v>0</v>
      </c>
      <c r="BJ34">
        <v>0</v>
      </c>
      <c r="BK34">
        <v>0</v>
      </c>
      <c r="BL34">
        <v>187248</v>
      </c>
      <c r="BM34">
        <v>0</v>
      </c>
      <c r="BN34">
        <v>0</v>
      </c>
      <c r="BO34">
        <v>0</v>
      </c>
      <c r="BP34">
        <v>0</v>
      </c>
      <c r="BQ34">
        <v>0</v>
      </c>
      <c r="BR34">
        <v>0</v>
      </c>
      <c r="BS34">
        <v>0</v>
      </c>
      <c r="BU34">
        <v>0</v>
      </c>
      <c r="BV34">
        <v>0</v>
      </c>
      <c r="BW34">
        <v>0</v>
      </c>
      <c r="BX34">
        <v>140711</v>
      </c>
      <c r="BY34">
        <v>4973689</v>
      </c>
      <c r="BZ34">
        <v>0</v>
      </c>
      <c r="CA34">
        <v>0</v>
      </c>
      <c r="CB34">
        <v>0</v>
      </c>
      <c r="CC34">
        <v>0</v>
      </c>
      <c r="CD34">
        <v>0</v>
      </c>
      <c r="CF34">
        <v>0</v>
      </c>
      <c r="CG34">
        <v>0</v>
      </c>
      <c r="CH34">
        <v>818278</v>
      </c>
      <c r="CI34">
        <v>0</v>
      </c>
      <c r="CK34">
        <v>0</v>
      </c>
    </row>
    <row r="35" spans="1:89" x14ac:dyDescent="0.3">
      <c r="A35" s="155">
        <v>93</v>
      </c>
      <c r="B35" t="s">
        <v>228</v>
      </c>
      <c r="D35">
        <v>0</v>
      </c>
      <c r="E35">
        <v>0</v>
      </c>
      <c r="F35">
        <v>0</v>
      </c>
      <c r="G35">
        <v>0</v>
      </c>
      <c r="I35">
        <v>0</v>
      </c>
      <c r="J35">
        <v>0</v>
      </c>
      <c r="K35">
        <v>0</v>
      </c>
      <c r="L35">
        <v>0</v>
      </c>
      <c r="M35">
        <v>0</v>
      </c>
      <c r="N35">
        <v>0</v>
      </c>
      <c r="O35">
        <v>0</v>
      </c>
      <c r="P35">
        <v>0</v>
      </c>
      <c r="Q35">
        <v>0</v>
      </c>
      <c r="R35">
        <v>0</v>
      </c>
      <c r="S35">
        <v>0</v>
      </c>
      <c r="T35">
        <v>0</v>
      </c>
      <c r="U35">
        <v>0</v>
      </c>
      <c r="V35">
        <v>0</v>
      </c>
      <c r="W35">
        <v>0</v>
      </c>
      <c r="X35">
        <v>0</v>
      </c>
      <c r="Y35">
        <v>0</v>
      </c>
      <c r="Z35">
        <v>6427852</v>
      </c>
      <c r="AA35">
        <v>0</v>
      </c>
      <c r="AB35">
        <v>0</v>
      </c>
      <c r="AD35">
        <v>0</v>
      </c>
      <c r="AE35">
        <v>0</v>
      </c>
      <c r="AF35">
        <v>15509453</v>
      </c>
      <c r="AG35">
        <v>0</v>
      </c>
      <c r="AH35">
        <v>0</v>
      </c>
      <c r="AI35">
        <v>0</v>
      </c>
      <c r="AJ35">
        <v>0</v>
      </c>
      <c r="AK35">
        <v>0</v>
      </c>
      <c r="AL35">
        <v>0</v>
      </c>
      <c r="AN35">
        <v>0</v>
      </c>
      <c r="AP35">
        <v>0</v>
      </c>
      <c r="AQ35">
        <v>86847414</v>
      </c>
      <c r="AR35">
        <v>0</v>
      </c>
      <c r="AS35">
        <v>0</v>
      </c>
      <c r="AT35">
        <v>0</v>
      </c>
      <c r="AU35">
        <v>0</v>
      </c>
      <c r="AV35">
        <v>0</v>
      </c>
      <c r="AW35">
        <v>7014691</v>
      </c>
      <c r="AX35">
        <v>0</v>
      </c>
      <c r="AY35">
        <v>0</v>
      </c>
      <c r="AZ35">
        <v>0</v>
      </c>
      <c r="BA35">
        <v>0</v>
      </c>
      <c r="BB35">
        <v>0</v>
      </c>
      <c r="BC35">
        <v>8222957</v>
      </c>
      <c r="BD35">
        <v>0</v>
      </c>
      <c r="BE35">
        <v>0</v>
      </c>
      <c r="BF35">
        <v>0</v>
      </c>
      <c r="BG35">
        <v>0</v>
      </c>
      <c r="BH35">
        <v>0</v>
      </c>
      <c r="BI35">
        <v>0</v>
      </c>
      <c r="BJ35">
        <v>0</v>
      </c>
      <c r="BK35">
        <v>0</v>
      </c>
      <c r="BL35">
        <v>2329231</v>
      </c>
      <c r="BM35">
        <v>0</v>
      </c>
      <c r="BN35">
        <v>0</v>
      </c>
      <c r="BO35">
        <v>0</v>
      </c>
      <c r="BP35">
        <v>0</v>
      </c>
      <c r="BQ35">
        <v>0</v>
      </c>
      <c r="BR35">
        <v>0</v>
      </c>
      <c r="BS35">
        <v>0</v>
      </c>
      <c r="BU35">
        <v>0</v>
      </c>
      <c r="BV35">
        <v>0</v>
      </c>
      <c r="BW35">
        <v>0</v>
      </c>
      <c r="BX35">
        <v>12507254</v>
      </c>
      <c r="BY35">
        <v>33715213</v>
      </c>
      <c r="BZ35">
        <v>0</v>
      </c>
      <c r="CA35">
        <v>0</v>
      </c>
      <c r="CB35">
        <v>0</v>
      </c>
      <c r="CC35">
        <v>0</v>
      </c>
      <c r="CD35">
        <v>0</v>
      </c>
      <c r="CF35">
        <v>0</v>
      </c>
      <c r="CG35">
        <v>0</v>
      </c>
      <c r="CH35">
        <v>2589848</v>
      </c>
      <c r="CI35">
        <v>0</v>
      </c>
      <c r="CK35">
        <v>0</v>
      </c>
    </row>
    <row r="36" spans="1:89" x14ac:dyDescent="0.3">
      <c r="A36" s="155">
        <v>94</v>
      </c>
      <c r="B36" t="s">
        <v>231</v>
      </c>
      <c r="D36">
        <v>0</v>
      </c>
      <c r="E36">
        <v>0</v>
      </c>
      <c r="F36">
        <v>0</v>
      </c>
      <c r="G36">
        <v>0</v>
      </c>
      <c r="I36">
        <v>0</v>
      </c>
      <c r="J36">
        <v>0</v>
      </c>
      <c r="K36">
        <v>0</v>
      </c>
      <c r="L36">
        <v>0</v>
      </c>
      <c r="M36">
        <v>0</v>
      </c>
      <c r="N36">
        <v>0</v>
      </c>
      <c r="O36">
        <v>0</v>
      </c>
      <c r="P36">
        <v>0</v>
      </c>
      <c r="Q36">
        <v>0</v>
      </c>
      <c r="R36">
        <v>0</v>
      </c>
      <c r="S36">
        <v>0</v>
      </c>
      <c r="T36">
        <v>0</v>
      </c>
      <c r="U36">
        <v>0</v>
      </c>
      <c r="V36">
        <v>0</v>
      </c>
      <c r="W36">
        <v>0</v>
      </c>
      <c r="X36">
        <v>0</v>
      </c>
      <c r="Y36">
        <v>0</v>
      </c>
      <c r="Z36">
        <v>5904025</v>
      </c>
      <c r="AA36">
        <v>0</v>
      </c>
      <c r="AB36">
        <v>0</v>
      </c>
      <c r="AD36">
        <v>0</v>
      </c>
      <c r="AE36">
        <v>0</v>
      </c>
      <c r="AF36">
        <v>14780385</v>
      </c>
      <c r="AG36">
        <v>0</v>
      </c>
      <c r="AH36">
        <v>0</v>
      </c>
      <c r="AI36">
        <v>0</v>
      </c>
      <c r="AJ36">
        <v>0</v>
      </c>
      <c r="AK36">
        <v>0</v>
      </c>
      <c r="AL36">
        <v>0</v>
      </c>
      <c r="AN36">
        <v>0</v>
      </c>
      <c r="AP36">
        <v>0</v>
      </c>
      <c r="AQ36">
        <v>91186064</v>
      </c>
      <c r="AR36">
        <v>0</v>
      </c>
      <c r="AS36">
        <v>0</v>
      </c>
      <c r="AT36">
        <v>0</v>
      </c>
      <c r="AU36">
        <v>0</v>
      </c>
      <c r="AV36">
        <v>0</v>
      </c>
      <c r="AW36">
        <v>6800880</v>
      </c>
      <c r="AX36">
        <v>0</v>
      </c>
      <c r="AY36">
        <v>0</v>
      </c>
      <c r="AZ36">
        <v>0</v>
      </c>
      <c r="BA36">
        <v>0</v>
      </c>
      <c r="BB36">
        <v>0</v>
      </c>
      <c r="BC36">
        <v>6443321</v>
      </c>
      <c r="BD36">
        <v>0</v>
      </c>
      <c r="BE36">
        <v>0</v>
      </c>
      <c r="BF36">
        <v>0</v>
      </c>
      <c r="BG36">
        <v>0</v>
      </c>
      <c r="BH36">
        <v>0</v>
      </c>
      <c r="BI36">
        <v>0</v>
      </c>
      <c r="BJ36">
        <v>0</v>
      </c>
      <c r="BK36">
        <v>0</v>
      </c>
      <c r="BL36">
        <v>2153415</v>
      </c>
      <c r="BM36">
        <v>0</v>
      </c>
      <c r="BN36">
        <v>0</v>
      </c>
      <c r="BO36">
        <v>0</v>
      </c>
      <c r="BP36">
        <v>0</v>
      </c>
      <c r="BQ36">
        <v>0</v>
      </c>
      <c r="BR36">
        <v>0</v>
      </c>
      <c r="BS36">
        <v>0</v>
      </c>
      <c r="BU36">
        <v>0</v>
      </c>
      <c r="BV36">
        <v>0</v>
      </c>
      <c r="BW36">
        <v>0</v>
      </c>
      <c r="BX36">
        <v>12223456</v>
      </c>
      <c r="BY36">
        <v>32332950</v>
      </c>
      <c r="BZ36">
        <v>0</v>
      </c>
      <c r="CA36">
        <v>0</v>
      </c>
      <c r="CB36">
        <v>0</v>
      </c>
      <c r="CC36">
        <v>0</v>
      </c>
      <c r="CD36">
        <v>0</v>
      </c>
      <c r="CF36">
        <v>0</v>
      </c>
      <c r="CG36">
        <v>0</v>
      </c>
      <c r="CH36">
        <v>2419812</v>
      </c>
      <c r="CI36">
        <v>0</v>
      </c>
      <c r="CK36">
        <v>0</v>
      </c>
    </row>
    <row r="37" spans="1:89" x14ac:dyDescent="0.3">
      <c r="A37" s="155">
        <v>97</v>
      </c>
      <c r="B37" t="s">
        <v>227</v>
      </c>
      <c r="D37">
        <v>0</v>
      </c>
      <c r="E37">
        <v>0</v>
      </c>
      <c r="F37">
        <v>0</v>
      </c>
      <c r="G37">
        <v>0</v>
      </c>
      <c r="I37">
        <v>0</v>
      </c>
      <c r="J37">
        <v>0</v>
      </c>
      <c r="K37">
        <v>0</v>
      </c>
      <c r="L37">
        <v>0</v>
      </c>
      <c r="M37">
        <v>0</v>
      </c>
      <c r="N37">
        <v>0</v>
      </c>
      <c r="O37">
        <v>0</v>
      </c>
      <c r="P37">
        <v>0</v>
      </c>
      <c r="Q37">
        <v>0</v>
      </c>
      <c r="R37">
        <v>0</v>
      </c>
      <c r="S37">
        <v>0</v>
      </c>
      <c r="T37">
        <v>0</v>
      </c>
      <c r="U37">
        <v>0</v>
      </c>
      <c r="V37">
        <v>0</v>
      </c>
      <c r="W37">
        <v>0</v>
      </c>
      <c r="X37">
        <v>0</v>
      </c>
      <c r="Y37">
        <v>0</v>
      </c>
      <c r="Z37">
        <v>6421288</v>
      </c>
      <c r="AA37">
        <v>0</v>
      </c>
      <c r="AB37">
        <v>0</v>
      </c>
      <c r="AD37">
        <v>0</v>
      </c>
      <c r="AE37">
        <v>0</v>
      </c>
      <c r="AF37">
        <v>15315675</v>
      </c>
      <c r="AG37">
        <v>0</v>
      </c>
      <c r="AH37">
        <v>0</v>
      </c>
      <c r="AI37">
        <v>0</v>
      </c>
      <c r="AJ37">
        <v>0</v>
      </c>
      <c r="AK37">
        <v>0</v>
      </c>
      <c r="AL37">
        <v>0</v>
      </c>
      <c r="AN37">
        <v>0</v>
      </c>
      <c r="AP37">
        <v>0</v>
      </c>
      <c r="AQ37">
        <v>84281325</v>
      </c>
      <c r="AR37">
        <v>0</v>
      </c>
      <c r="AS37">
        <v>0</v>
      </c>
      <c r="AT37">
        <v>0</v>
      </c>
      <c r="AU37">
        <v>0</v>
      </c>
      <c r="AV37">
        <v>0</v>
      </c>
      <c r="AW37">
        <v>7002405</v>
      </c>
      <c r="AX37">
        <v>0</v>
      </c>
      <c r="AY37">
        <v>0</v>
      </c>
      <c r="AZ37">
        <v>0</v>
      </c>
      <c r="BA37">
        <v>0</v>
      </c>
      <c r="BB37">
        <v>0</v>
      </c>
      <c r="BC37">
        <v>8012759</v>
      </c>
      <c r="BD37">
        <v>0</v>
      </c>
      <c r="BE37">
        <v>0</v>
      </c>
      <c r="BF37">
        <v>0</v>
      </c>
      <c r="BG37">
        <v>0</v>
      </c>
      <c r="BH37">
        <v>0</v>
      </c>
      <c r="BI37">
        <v>0</v>
      </c>
      <c r="BJ37">
        <v>0</v>
      </c>
      <c r="BK37">
        <v>0</v>
      </c>
      <c r="BL37">
        <v>2283578</v>
      </c>
      <c r="BM37">
        <v>0</v>
      </c>
      <c r="BN37">
        <v>0</v>
      </c>
      <c r="BO37">
        <v>0</v>
      </c>
      <c r="BP37">
        <v>0</v>
      </c>
      <c r="BQ37">
        <v>0</v>
      </c>
      <c r="BR37">
        <v>0</v>
      </c>
      <c r="BS37">
        <v>0</v>
      </c>
      <c r="BU37">
        <v>0</v>
      </c>
      <c r="BV37">
        <v>0</v>
      </c>
      <c r="BW37">
        <v>0</v>
      </c>
      <c r="BX37">
        <v>12507254</v>
      </c>
      <c r="BY37">
        <v>33383983</v>
      </c>
      <c r="BZ37">
        <v>0</v>
      </c>
      <c r="CA37">
        <v>0</v>
      </c>
      <c r="CB37">
        <v>0</v>
      </c>
      <c r="CC37">
        <v>0</v>
      </c>
      <c r="CD37">
        <v>0</v>
      </c>
      <c r="CF37">
        <v>0</v>
      </c>
      <c r="CG37">
        <v>0</v>
      </c>
      <c r="CH37">
        <v>2589848</v>
      </c>
      <c r="CI37">
        <v>0</v>
      </c>
      <c r="CK37">
        <v>0</v>
      </c>
    </row>
    <row r="38" spans="1:89" x14ac:dyDescent="0.3">
      <c r="A38" s="155">
        <v>98</v>
      </c>
      <c r="B38" t="s">
        <v>232</v>
      </c>
      <c r="D38">
        <v>0</v>
      </c>
      <c r="E38">
        <v>0</v>
      </c>
      <c r="F38">
        <v>0</v>
      </c>
      <c r="G38">
        <v>0</v>
      </c>
      <c r="I38">
        <v>0</v>
      </c>
      <c r="J38">
        <v>0</v>
      </c>
      <c r="K38">
        <v>0</v>
      </c>
      <c r="L38">
        <v>0</v>
      </c>
      <c r="M38">
        <v>0</v>
      </c>
      <c r="N38">
        <v>0</v>
      </c>
      <c r="O38">
        <v>0</v>
      </c>
      <c r="P38">
        <v>0</v>
      </c>
      <c r="Q38">
        <v>0</v>
      </c>
      <c r="R38">
        <v>0</v>
      </c>
      <c r="S38">
        <v>0</v>
      </c>
      <c r="T38">
        <v>0</v>
      </c>
      <c r="U38">
        <v>0</v>
      </c>
      <c r="V38">
        <v>0</v>
      </c>
      <c r="W38">
        <v>0</v>
      </c>
      <c r="X38">
        <v>0</v>
      </c>
      <c r="Y38">
        <v>0</v>
      </c>
      <c r="Z38">
        <v>0</v>
      </c>
      <c r="AA38">
        <v>0</v>
      </c>
      <c r="AB38">
        <v>0</v>
      </c>
      <c r="AD38">
        <v>0</v>
      </c>
      <c r="AE38">
        <v>0</v>
      </c>
      <c r="AF38">
        <v>120030</v>
      </c>
      <c r="AG38">
        <v>0</v>
      </c>
      <c r="AH38">
        <v>0</v>
      </c>
      <c r="AI38">
        <v>0</v>
      </c>
      <c r="AJ38">
        <v>0</v>
      </c>
      <c r="AK38">
        <v>0</v>
      </c>
      <c r="AL38">
        <v>0</v>
      </c>
      <c r="AN38">
        <v>0</v>
      </c>
      <c r="AP38">
        <v>0</v>
      </c>
      <c r="AQ38">
        <v>388707</v>
      </c>
      <c r="AR38">
        <v>0</v>
      </c>
      <c r="AS38">
        <v>0</v>
      </c>
      <c r="AT38">
        <v>0</v>
      </c>
      <c r="AU38">
        <v>0</v>
      </c>
      <c r="AV38">
        <v>0</v>
      </c>
      <c r="AW38">
        <v>4484</v>
      </c>
      <c r="AX38">
        <v>0</v>
      </c>
      <c r="AY38">
        <v>0</v>
      </c>
      <c r="AZ38">
        <v>0</v>
      </c>
      <c r="BA38">
        <v>0</v>
      </c>
      <c r="BB38">
        <v>0</v>
      </c>
      <c r="BC38">
        <v>2302</v>
      </c>
      <c r="BD38">
        <v>0</v>
      </c>
      <c r="BE38">
        <v>0</v>
      </c>
      <c r="BF38">
        <v>0</v>
      </c>
      <c r="BG38">
        <v>0</v>
      </c>
      <c r="BH38">
        <v>0</v>
      </c>
      <c r="BI38">
        <v>0</v>
      </c>
      <c r="BJ38">
        <v>0</v>
      </c>
      <c r="BK38">
        <v>0</v>
      </c>
      <c r="BL38">
        <v>0</v>
      </c>
      <c r="BM38">
        <v>0</v>
      </c>
      <c r="BN38">
        <v>0</v>
      </c>
      <c r="BO38">
        <v>0</v>
      </c>
      <c r="BP38">
        <v>0</v>
      </c>
      <c r="BQ38">
        <v>0</v>
      </c>
      <c r="BR38">
        <v>0</v>
      </c>
      <c r="BS38">
        <v>0</v>
      </c>
      <c r="BU38">
        <v>0</v>
      </c>
      <c r="BV38">
        <v>0</v>
      </c>
      <c r="BW38">
        <v>0</v>
      </c>
      <c r="BX38">
        <v>4507</v>
      </c>
      <c r="BY38">
        <v>33686</v>
      </c>
      <c r="BZ38">
        <v>0</v>
      </c>
      <c r="CA38">
        <v>0</v>
      </c>
      <c r="CB38">
        <v>0</v>
      </c>
      <c r="CC38">
        <v>0</v>
      </c>
      <c r="CD38">
        <v>0</v>
      </c>
      <c r="CF38">
        <v>0</v>
      </c>
      <c r="CG38">
        <v>0</v>
      </c>
      <c r="CH38">
        <v>0</v>
      </c>
      <c r="CI38">
        <v>0</v>
      </c>
      <c r="CK38">
        <v>0</v>
      </c>
    </row>
    <row r="39" spans="1:89" x14ac:dyDescent="0.3">
      <c r="A39" s="155">
        <v>99</v>
      </c>
      <c r="B39" t="s">
        <v>229</v>
      </c>
      <c r="D39">
        <v>0</v>
      </c>
      <c r="E39">
        <v>0</v>
      </c>
      <c r="F39">
        <v>0</v>
      </c>
      <c r="G39">
        <v>0</v>
      </c>
      <c r="I39">
        <v>0</v>
      </c>
      <c r="J39">
        <v>0</v>
      </c>
      <c r="K39">
        <v>0</v>
      </c>
      <c r="L39">
        <v>0</v>
      </c>
      <c r="M39">
        <v>0</v>
      </c>
      <c r="N39">
        <v>0</v>
      </c>
      <c r="O39">
        <v>0</v>
      </c>
      <c r="P39">
        <v>0</v>
      </c>
      <c r="Q39">
        <v>0</v>
      </c>
      <c r="R39">
        <v>0</v>
      </c>
      <c r="S39">
        <v>0</v>
      </c>
      <c r="T39">
        <v>0</v>
      </c>
      <c r="U39">
        <v>0</v>
      </c>
      <c r="V39">
        <v>0</v>
      </c>
      <c r="W39">
        <v>0</v>
      </c>
      <c r="X39">
        <v>0</v>
      </c>
      <c r="Y39">
        <v>0</v>
      </c>
      <c r="Z39">
        <v>3900094</v>
      </c>
      <c r="AA39">
        <v>0</v>
      </c>
      <c r="AB39">
        <v>0</v>
      </c>
      <c r="AD39">
        <v>0</v>
      </c>
      <c r="AE39">
        <v>0</v>
      </c>
      <c r="AF39">
        <v>12634260</v>
      </c>
      <c r="AG39">
        <v>0</v>
      </c>
      <c r="AH39">
        <v>0</v>
      </c>
      <c r="AI39">
        <v>0</v>
      </c>
      <c r="AJ39">
        <v>0</v>
      </c>
      <c r="AK39">
        <v>0</v>
      </c>
      <c r="AL39">
        <v>0</v>
      </c>
      <c r="AN39">
        <v>0</v>
      </c>
      <c r="AP39">
        <v>0</v>
      </c>
      <c r="AQ39">
        <v>68857364</v>
      </c>
      <c r="AR39">
        <v>0</v>
      </c>
      <c r="AS39">
        <v>0</v>
      </c>
      <c r="AT39">
        <v>0</v>
      </c>
      <c r="AU39">
        <v>0</v>
      </c>
      <c r="AV39">
        <v>0</v>
      </c>
      <c r="AW39">
        <v>4841343</v>
      </c>
      <c r="AX39">
        <v>0</v>
      </c>
      <c r="AY39">
        <v>0</v>
      </c>
      <c r="AZ39">
        <v>0</v>
      </c>
      <c r="BA39">
        <v>0</v>
      </c>
      <c r="BB39">
        <v>0</v>
      </c>
      <c r="BC39">
        <v>4634680</v>
      </c>
      <c r="BD39">
        <v>0</v>
      </c>
      <c r="BE39">
        <v>0</v>
      </c>
      <c r="BF39">
        <v>0</v>
      </c>
      <c r="BG39">
        <v>0</v>
      </c>
      <c r="BH39">
        <v>0</v>
      </c>
      <c r="BI39">
        <v>0</v>
      </c>
      <c r="BJ39">
        <v>0</v>
      </c>
      <c r="BK39">
        <v>0</v>
      </c>
      <c r="BL39">
        <v>1418685</v>
      </c>
      <c r="BM39">
        <v>0</v>
      </c>
      <c r="BN39">
        <v>0</v>
      </c>
      <c r="BO39">
        <v>0</v>
      </c>
      <c r="BP39">
        <v>0</v>
      </c>
      <c r="BQ39">
        <v>0</v>
      </c>
      <c r="BR39">
        <v>0</v>
      </c>
      <c r="BS39">
        <v>0</v>
      </c>
      <c r="BU39">
        <v>0</v>
      </c>
      <c r="BV39">
        <v>0</v>
      </c>
      <c r="BW39">
        <v>0</v>
      </c>
      <c r="BX39">
        <v>8476464</v>
      </c>
      <c r="BY39">
        <v>25567827</v>
      </c>
      <c r="BZ39">
        <v>0</v>
      </c>
      <c r="CA39">
        <v>0</v>
      </c>
      <c r="CB39">
        <v>0</v>
      </c>
      <c r="CC39">
        <v>0</v>
      </c>
      <c r="CD39">
        <v>0</v>
      </c>
      <c r="CF39">
        <v>0</v>
      </c>
      <c r="CG39">
        <v>0</v>
      </c>
      <c r="CH39">
        <v>1492447</v>
      </c>
      <c r="CI39">
        <v>0</v>
      </c>
      <c r="CK39">
        <v>0</v>
      </c>
    </row>
    <row r="40" spans="1:89" x14ac:dyDescent="0.3">
      <c r="A40" s="155">
        <v>100</v>
      </c>
      <c r="B40" t="s">
        <v>242</v>
      </c>
      <c r="D40">
        <v>0</v>
      </c>
      <c r="E40">
        <v>0</v>
      </c>
      <c r="F40">
        <v>0</v>
      </c>
      <c r="G40">
        <v>0</v>
      </c>
      <c r="I40">
        <v>0</v>
      </c>
      <c r="J40">
        <v>0</v>
      </c>
      <c r="K40">
        <v>0</v>
      </c>
      <c r="L40">
        <v>0</v>
      </c>
      <c r="M40">
        <v>0</v>
      </c>
      <c r="N40">
        <v>0</v>
      </c>
      <c r="O40">
        <v>0</v>
      </c>
      <c r="P40">
        <v>0</v>
      </c>
      <c r="Q40">
        <v>0</v>
      </c>
      <c r="R40">
        <v>0</v>
      </c>
      <c r="S40">
        <v>0</v>
      </c>
      <c r="T40">
        <v>0</v>
      </c>
      <c r="U40">
        <v>0</v>
      </c>
      <c r="V40">
        <v>0</v>
      </c>
      <c r="W40">
        <v>0</v>
      </c>
      <c r="X40">
        <v>0</v>
      </c>
      <c r="Y40">
        <v>0</v>
      </c>
      <c r="Z40">
        <v>0</v>
      </c>
      <c r="AA40">
        <v>0</v>
      </c>
      <c r="AB40">
        <v>0</v>
      </c>
      <c r="AD40">
        <v>0</v>
      </c>
      <c r="AE40">
        <v>0</v>
      </c>
      <c r="AF40">
        <v>452045</v>
      </c>
      <c r="AG40">
        <v>0</v>
      </c>
      <c r="AH40">
        <v>0</v>
      </c>
      <c r="AI40">
        <v>0</v>
      </c>
      <c r="AJ40">
        <v>0</v>
      </c>
      <c r="AK40">
        <v>0</v>
      </c>
      <c r="AL40">
        <v>0</v>
      </c>
      <c r="AN40">
        <v>0</v>
      </c>
      <c r="AP40">
        <v>0</v>
      </c>
      <c r="AQ40">
        <v>1074424</v>
      </c>
      <c r="AR40">
        <v>0</v>
      </c>
      <c r="AS40">
        <v>0</v>
      </c>
      <c r="AT40">
        <v>0</v>
      </c>
      <c r="AU40">
        <v>0</v>
      </c>
      <c r="AV40">
        <v>0</v>
      </c>
      <c r="AW40">
        <v>49000</v>
      </c>
      <c r="AX40">
        <v>0</v>
      </c>
      <c r="AY40">
        <v>0</v>
      </c>
      <c r="AZ40">
        <v>0</v>
      </c>
      <c r="BA40">
        <v>0</v>
      </c>
      <c r="BB40">
        <v>0</v>
      </c>
      <c r="BC40">
        <v>21067</v>
      </c>
      <c r="BD40">
        <v>0</v>
      </c>
      <c r="BE40">
        <v>0</v>
      </c>
      <c r="BF40">
        <v>0</v>
      </c>
      <c r="BG40">
        <v>0</v>
      </c>
      <c r="BH40">
        <v>0</v>
      </c>
      <c r="BI40">
        <v>0</v>
      </c>
      <c r="BJ40">
        <v>0</v>
      </c>
      <c r="BK40">
        <v>0</v>
      </c>
      <c r="BL40">
        <v>0</v>
      </c>
      <c r="BM40">
        <v>0</v>
      </c>
      <c r="BN40">
        <v>0</v>
      </c>
      <c r="BO40">
        <v>0</v>
      </c>
      <c r="BP40">
        <v>0</v>
      </c>
      <c r="BQ40">
        <v>0</v>
      </c>
      <c r="BR40">
        <v>0</v>
      </c>
      <c r="BS40">
        <v>0</v>
      </c>
      <c r="BU40">
        <v>0</v>
      </c>
      <c r="BV40">
        <v>0</v>
      </c>
      <c r="BW40">
        <v>0</v>
      </c>
      <c r="BX40">
        <v>42639</v>
      </c>
      <c r="BY40">
        <v>741335</v>
      </c>
      <c r="BZ40">
        <v>0</v>
      </c>
      <c r="CA40">
        <v>0</v>
      </c>
      <c r="CB40">
        <v>0</v>
      </c>
      <c r="CC40">
        <v>0</v>
      </c>
      <c r="CD40">
        <v>0</v>
      </c>
      <c r="CF40">
        <v>0</v>
      </c>
      <c r="CG40">
        <v>0</v>
      </c>
      <c r="CH40">
        <v>0</v>
      </c>
      <c r="CI40">
        <v>0</v>
      </c>
      <c r="CK40">
        <v>0</v>
      </c>
    </row>
    <row r="41" spans="1:89" x14ac:dyDescent="0.3">
      <c r="A41" s="155">
        <v>101</v>
      </c>
      <c r="B41" t="s">
        <v>241</v>
      </c>
      <c r="D41">
        <v>0</v>
      </c>
      <c r="E41">
        <v>0</v>
      </c>
      <c r="F41">
        <v>0</v>
      </c>
      <c r="G41">
        <v>0</v>
      </c>
      <c r="I41">
        <v>0</v>
      </c>
      <c r="J41">
        <v>0</v>
      </c>
      <c r="K41">
        <v>0</v>
      </c>
      <c r="L41">
        <v>0</v>
      </c>
      <c r="M41">
        <v>0</v>
      </c>
      <c r="N41">
        <v>0</v>
      </c>
      <c r="O41">
        <v>0</v>
      </c>
      <c r="P41">
        <v>0</v>
      </c>
      <c r="Q41">
        <v>0</v>
      </c>
      <c r="R41">
        <v>0</v>
      </c>
      <c r="S41">
        <v>0</v>
      </c>
      <c r="T41">
        <v>0</v>
      </c>
      <c r="U41">
        <v>0</v>
      </c>
      <c r="V41">
        <v>0</v>
      </c>
      <c r="W41">
        <v>0</v>
      </c>
      <c r="X41">
        <v>0</v>
      </c>
      <c r="Y41">
        <v>0</v>
      </c>
      <c r="Z41">
        <v>484117</v>
      </c>
      <c r="AA41">
        <v>0</v>
      </c>
      <c r="AB41">
        <v>0</v>
      </c>
      <c r="AD41">
        <v>0</v>
      </c>
      <c r="AE41">
        <v>0</v>
      </c>
      <c r="AF41">
        <v>1363889</v>
      </c>
      <c r="AG41">
        <v>0</v>
      </c>
      <c r="AH41">
        <v>0</v>
      </c>
      <c r="AI41">
        <v>0</v>
      </c>
      <c r="AJ41">
        <v>0</v>
      </c>
      <c r="AK41">
        <v>0</v>
      </c>
      <c r="AL41">
        <v>0</v>
      </c>
      <c r="AN41">
        <v>0</v>
      </c>
      <c r="AP41">
        <v>0</v>
      </c>
      <c r="AQ41">
        <v>29005974</v>
      </c>
      <c r="AR41">
        <v>0</v>
      </c>
      <c r="AS41">
        <v>0</v>
      </c>
      <c r="AT41">
        <v>0</v>
      </c>
      <c r="AU41">
        <v>0</v>
      </c>
      <c r="AV41">
        <v>0</v>
      </c>
      <c r="AW41">
        <v>136491</v>
      </c>
      <c r="AX41">
        <v>0</v>
      </c>
      <c r="AY41">
        <v>0</v>
      </c>
      <c r="AZ41">
        <v>0</v>
      </c>
      <c r="BA41">
        <v>0</v>
      </c>
      <c r="BB41">
        <v>0</v>
      </c>
      <c r="BC41">
        <v>142263</v>
      </c>
      <c r="BD41">
        <v>0</v>
      </c>
      <c r="BE41">
        <v>0</v>
      </c>
      <c r="BF41">
        <v>0</v>
      </c>
      <c r="BG41">
        <v>0</v>
      </c>
      <c r="BH41">
        <v>0</v>
      </c>
      <c r="BI41">
        <v>0</v>
      </c>
      <c r="BJ41">
        <v>0</v>
      </c>
      <c r="BK41">
        <v>0</v>
      </c>
      <c r="BL41">
        <v>0</v>
      </c>
      <c r="BM41">
        <v>0</v>
      </c>
      <c r="BN41">
        <v>0</v>
      </c>
      <c r="BO41">
        <v>0</v>
      </c>
      <c r="BP41">
        <v>0</v>
      </c>
      <c r="BQ41">
        <v>0</v>
      </c>
      <c r="BR41">
        <v>0</v>
      </c>
      <c r="BS41">
        <v>0</v>
      </c>
      <c r="BU41">
        <v>0</v>
      </c>
      <c r="BV41">
        <v>0</v>
      </c>
      <c r="BW41">
        <v>0</v>
      </c>
      <c r="BX41">
        <v>109238</v>
      </c>
      <c r="BY41">
        <v>360337</v>
      </c>
      <c r="BZ41">
        <v>0</v>
      </c>
      <c r="CA41">
        <v>0</v>
      </c>
      <c r="CB41">
        <v>0</v>
      </c>
      <c r="CC41">
        <v>0</v>
      </c>
      <c r="CD41">
        <v>0</v>
      </c>
      <c r="CF41">
        <v>0</v>
      </c>
      <c r="CG41">
        <v>0</v>
      </c>
      <c r="CH41">
        <v>9318</v>
      </c>
      <c r="CI41">
        <v>0</v>
      </c>
      <c r="CK41">
        <v>0</v>
      </c>
    </row>
    <row r="42" spans="1:89" x14ac:dyDescent="0.3">
      <c r="A42" s="155">
        <v>102</v>
      </c>
      <c r="B42" t="s">
        <v>255</v>
      </c>
      <c r="D42">
        <v>0</v>
      </c>
      <c r="E42">
        <v>98.8</v>
      </c>
      <c r="F42">
        <v>94.76</v>
      </c>
      <c r="G42">
        <v>98.42</v>
      </c>
      <c r="I42">
        <v>98.74</v>
      </c>
      <c r="J42">
        <v>99.41</v>
      </c>
      <c r="K42">
        <v>99.36</v>
      </c>
      <c r="L42">
        <v>99.23</v>
      </c>
      <c r="M42">
        <v>99.46</v>
      </c>
      <c r="N42">
        <v>99.08</v>
      </c>
      <c r="O42">
        <v>99.88</v>
      </c>
      <c r="P42">
        <v>96.74</v>
      </c>
      <c r="Q42">
        <v>95.81</v>
      </c>
      <c r="R42">
        <v>99.78</v>
      </c>
      <c r="S42">
        <v>98.81</v>
      </c>
      <c r="T42">
        <v>97.8</v>
      </c>
      <c r="U42">
        <v>99.97</v>
      </c>
      <c r="V42">
        <v>99.22</v>
      </c>
      <c r="W42">
        <v>96.98</v>
      </c>
      <c r="X42">
        <v>99.74</v>
      </c>
      <c r="Y42">
        <v>99.43</v>
      </c>
      <c r="Z42">
        <v>99.88</v>
      </c>
      <c r="AA42">
        <v>98.61</v>
      </c>
      <c r="AB42">
        <v>98.14</v>
      </c>
      <c r="AD42">
        <v>99.89</v>
      </c>
      <c r="AE42">
        <v>90.92</v>
      </c>
      <c r="AF42">
        <v>99.96</v>
      </c>
      <c r="AG42">
        <v>99.63</v>
      </c>
      <c r="AH42">
        <v>98.92</v>
      </c>
      <c r="AI42">
        <v>98.18</v>
      </c>
      <c r="AJ42">
        <v>96.65</v>
      </c>
      <c r="AK42">
        <v>99.29</v>
      </c>
      <c r="AL42">
        <v>95.67</v>
      </c>
      <c r="AN42">
        <v>94.35</v>
      </c>
      <c r="AP42">
        <v>98.22</v>
      </c>
      <c r="AQ42">
        <v>99.45</v>
      </c>
      <c r="AR42">
        <v>93.94</v>
      </c>
      <c r="AS42">
        <v>96.73</v>
      </c>
      <c r="AT42">
        <v>99.17</v>
      </c>
      <c r="AU42">
        <v>95.97</v>
      </c>
      <c r="AV42">
        <v>97.52</v>
      </c>
      <c r="AW42">
        <v>99.63</v>
      </c>
      <c r="AX42">
        <v>91.27</v>
      </c>
      <c r="AY42">
        <v>99.67</v>
      </c>
      <c r="AZ42">
        <v>99.63</v>
      </c>
      <c r="BA42">
        <v>90.5</v>
      </c>
      <c r="BB42">
        <v>96.07</v>
      </c>
      <c r="BC42">
        <v>99.01</v>
      </c>
      <c r="BD42">
        <v>98.19</v>
      </c>
      <c r="BE42">
        <v>99.79</v>
      </c>
      <c r="BF42">
        <v>97.59</v>
      </c>
      <c r="BG42">
        <v>99.66</v>
      </c>
      <c r="BH42">
        <v>81.260000000000005</v>
      </c>
      <c r="BI42">
        <v>99.64</v>
      </c>
      <c r="BJ42">
        <v>0</v>
      </c>
      <c r="BK42">
        <v>94.13</v>
      </c>
      <c r="BL42">
        <v>97.62</v>
      </c>
      <c r="BM42">
        <v>98.05</v>
      </c>
      <c r="BN42">
        <v>99.99</v>
      </c>
      <c r="BO42">
        <v>99.3</v>
      </c>
      <c r="BP42">
        <v>99.8</v>
      </c>
      <c r="BQ42">
        <v>96.01</v>
      </c>
      <c r="BR42">
        <v>89.66</v>
      </c>
      <c r="BS42">
        <v>98.1</v>
      </c>
      <c r="BU42">
        <v>95.74</v>
      </c>
      <c r="BV42">
        <v>99.08</v>
      </c>
      <c r="BW42">
        <v>98.48</v>
      </c>
      <c r="BX42">
        <v>98.55</v>
      </c>
      <c r="BY42">
        <v>96.02</v>
      </c>
      <c r="BZ42">
        <v>96.41</v>
      </c>
      <c r="CA42">
        <v>99.79</v>
      </c>
      <c r="CB42">
        <v>97.54</v>
      </c>
      <c r="CC42">
        <v>95.74</v>
      </c>
      <c r="CD42">
        <v>94.38</v>
      </c>
      <c r="CF42">
        <v>99.79</v>
      </c>
      <c r="CG42">
        <v>99.31</v>
      </c>
      <c r="CH42">
        <v>95.38</v>
      </c>
      <c r="CI42">
        <v>98.85</v>
      </c>
      <c r="CK42">
        <v>87.61</v>
      </c>
    </row>
    <row r="43" spans="1:89" x14ac:dyDescent="0.3">
      <c r="A43" s="155">
        <v>103</v>
      </c>
      <c r="B43" t="s">
        <v>256</v>
      </c>
      <c r="D43">
        <v>0</v>
      </c>
      <c r="E43">
        <v>100</v>
      </c>
      <c r="F43">
        <v>100</v>
      </c>
      <c r="G43">
        <v>100</v>
      </c>
      <c r="I43">
        <v>100</v>
      </c>
      <c r="J43">
        <v>100</v>
      </c>
      <c r="K43">
        <v>100</v>
      </c>
      <c r="L43">
        <v>100</v>
      </c>
      <c r="M43">
        <v>99.91</v>
      </c>
      <c r="N43">
        <v>99.93</v>
      </c>
      <c r="O43">
        <v>100</v>
      </c>
      <c r="P43">
        <v>100</v>
      </c>
      <c r="Q43">
        <v>100</v>
      </c>
      <c r="R43">
        <v>100</v>
      </c>
      <c r="S43">
        <v>100</v>
      </c>
      <c r="T43">
        <v>100</v>
      </c>
      <c r="U43">
        <v>100</v>
      </c>
      <c r="V43">
        <v>100</v>
      </c>
      <c r="W43">
        <v>100</v>
      </c>
      <c r="X43">
        <v>99.4</v>
      </c>
      <c r="Y43">
        <v>100</v>
      </c>
      <c r="Z43">
        <v>100</v>
      </c>
      <c r="AA43">
        <v>100</v>
      </c>
      <c r="AB43">
        <v>100</v>
      </c>
      <c r="AD43">
        <v>100</v>
      </c>
      <c r="AE43">
        <v>100</v>
      </c>
      <c r="AF43">
        <v>100</v>
      </c>
      <c r="AG43">
        <v>100</v>
      </c>
      <c r="AH43">
        <v>100</v>
      </c>
      <c r="AI43">
        <v>99.46</v>
      </c>
      <c r="AJ43">
        <v>100</v>
      </c>
      <c r="AK43">
        <v>100</v>
      </c>
      <c r="AL43">
        <v>100</v>
      </c>
      <c r="AN43">
        <v>100</v>
      </c>
      <c r="AP43">
        <v>100</v>
      </c>
      <c r="AQ43">
        <v>100</v>
      </c>
      <c r="AR43">
        <v>100</v>
      </c>
      <c r="AS43">
        <v>100</v>
      </c>
      <c r="AT43">
        <v>100</v>
      </c>
      <c r="AU43">
        <v>100</v>
      </c>
      <c r="AV43">
        <v>100</v>
      </c>
      <c r="AW43">
        <v>100</v>
      </c>
      <c r="AX43">
        <v>100</v>
      </c>
      <c r="AY43">
        <v>100</v>
      </c>
      <c r="AZ43">
        <v>99.5</v>
      </c>
      <c r="BA43">
        <v>99.93</v>
      </c>
      <c r="BB43">
        <v>100</v>
      </c>
      <c r="BC43">
        <v>100</v>
      </c>
      <c r="BD43">
        <v>100</v>
      </c>
      <c r="BE43">
        <v>100</v>
      </c>
      <c r="BF43">
        <v>100</v>
      </c>
      <c r="BG43">
        <v>100</v>
      </c>
      <c r="BH43">
        <v>100</v>
      </c>
      <c r="BI43">
        <v>100</v>
      </c>
      <c r="BJ43">
        <v>0</v>
      </c>
      <c r="BK43">
        <v>100</v>
      </c>
      <c r="BL43">
        <v>100</v>
      </c>
      <c r="BM43">
        <v>100</v>
      </c>
      <c r="BN43">
        <v>100</v>
      </c>
      <c r="BO43">
        <v>100</v>
      </c>
      <c r="BP43">
        <v>100</v>
      </c>
      <c r="BQ43">
        <v>100</v>
      </c>
      <c r="BR43">
        <v>99.8</v>
      </c>
      <c r="BS43">
        <v>100</v>
      </c>
      <c r="BU43">
        <v>100</v>
      </c>
      <c r="BV43">
        <v>100</v>
      </c>
      <c r="BW43">
        <v>100</v>
      </c>
      <c r="BX43">
        <v>100</v>
      </c>
      <c r="BY43">
        <v>100</v>
      </c>
      <c r="BZ43">
        <v>100</v>
      </c>
      <c r="CA43">
        <v>100</v>
      </c>
      <c r="CB43">
        <v>100</v>
      </c>
      <c r="CC43">
        <v>100</v>
      </c>
      <c r="CD43">
        <v>100</v>
      </c>
      <c r="CF43">
        <v>99.45</v>
      </c>
      <c r="CG43">
        <v>100</v>
      </c>
      <c r="CH43">
        <v>99.68</v>
      </c>
      <c r="CI43">
        <v>100</v>
      </c>
      <c r="CK43">
        <v>100</v>
      </c>
    </row>
    <row r="44" spans="1:89" x14ac:dyDescent="0.3">
      <c r="A44" s="155">
        <v>171</v>
      </c>
      <c r="B44" t="s">
        <v>208</v>
      </c>
      <c r="D44">
        <v>0</v>
      </c>
      <c r="E44">
        <v>2087</v>
      </c>
      <c r="F44">
        <v>0</v>
      </c>
      <c r="G44">
        <v>12500</v>
      </c>
      <c r="I44">
        <v>254172</v>
      </c>
      <c r="J44">
        <v>28248</v>
      </c>
      <c r="K44">
        <v>0</v>
      </c>
      <c r="L44">
        <v>0</v>
      </c>
      <c r="M44">
        <v>888248</v>
      </c>
      <c r="N44">
        <v>205895</v>
      </c>
      <c r="O44">
        <v>18621950</v>
      </c>
      <c r="P44">
        <v>0</v>
      </c>
      <c r="Q44">
        <v>0</v>
      </c>
      <c r="R44">
        <v>79116</v>
      </c>
      <c r="S44">
        <v>0</v>
      </c>
      <c r="T44">
        <v>2193598</v>
      </c>
      <c r="U44">
        <v>0</v>
      </c>
      <c r="V44">
        <v>0</v>
      </c>
      <c r="W44">
        <v>0</v>
      </c>
      <c r="X44">
        <v>8645108</v>
      </c>
      <c r="Y44">
        <v>308814000</v>
      </c>
      <c r="Z44">
        <v>176485</v>
      </c>
      <c r="AA44">
        <v>36000</v>
      </c>
      <c r="AB44">
        <v>458713</v>
      </c>
      <c r="AD44">
        <v>149532</v>
      </c>
      <c r="AE44">
        <v>7812</v>
      </c>
      <c r="AF44">
        <v>3659874</v>
      </c>
      <c r="AG44">
        <v>0</v>
      </c>
      <c r="AH44">
        <v>0</v>
      </c>
      <c r="AI44">
        <v>483255</v>
      </c>
      <c r="AJ44">
        <v>0</v>
      </c>
      <c r="AK44">
        <v>0</v>
      </c>
      <c r="AL44">
        <v>0</v>
      </c>
      <c r="AN44">
        <v>0</v>
      </c>
      <c r="AP44">
        <v>0</v>
      </c>
      <c r="AQ44">
        <v>3039302</v>
      </c>
      <c r="AR44">
        <v>0</v>
      </c>
      <c r="AS44">
        <v>0</v>
      </c>
      <c r="AT44">
        <v>539891</v>
      </c>
      <c r="AU44">
        <v>0</v>
      </c>
      <c r="AV44">
        <v>0</v>
      </c>
      <c r="AW44">
        <v>2601228</v>
      </c>
      <c r="AX44">
        <v>0</v>
      </c>
      <c r="AY44">
        <v>296964</v>
      </c>
      <c r="AZ44">
        <v>49750</v>
      </c>
      <c r="BA44">
        <v>0</v>
      </c>
      <c r="BB44">
        <v>0</v>
      </c>
      <c r="BC44">
        <v>245006</v>
      </c>
      <c r="BD44">
        <v>0</v>
      </c>
      <c r="BE44">
        <v>2200568</v>
      </c>
      <c r="BF44">
        <v>0</v>
      </c>
      <c r="BG44">
        <v>0</v>
      </c>
      <c r="BH44">
        <v>5013</v>
      </c>
      <c r="BI44">
        <v>46970</v>
      </c>
      <c r="BJ44">
        <v>0</v>
      </c>
      <c r="BK44">
        <v>0</v>
      </c>
      <c r="BL44">
        <v>30047</v>
      </c>
      <c r="BM44">
        <v>30000</v>
      </c>
      <c r="BN44">
        <v>1758412</v>
      </c>
      <c r="BO44">
        <v>1118642</v>
      </c>
      <c r="BP44">
        <v>32158156</v>
      </c>
      <c r="BQ44">
        <v>0</v>
      </c>
      <c r="BR44">
        <v>0</v>
      </c>
      <c r="BS44">
        <v>0</v>
      </c>
      <c r="BU44">
        <v>36510</v>
      </c>
      <c r="BV44">
        <v>56831</v>
      </c>
      <c r="BW44">
        <v>2671926</v>
      </c>
      <c r="BX44">
        <v>417377</v>
      </c>
      <c r="BY44">
        <v>1437191</v>
      </c>
      <c r="BZ44">
        <v>307401</v>
      </c>
      <c r="CA44">
        <v>19287</v>
      </c>
      <c r="CB44">
        <v>142853</v>
      </c>
      <c r="CC44">
        <v>0</v>
      </c>
      <c r="CD44">
        <v>62100</v>
      </c>
      <c r="CF44">
        <v>100117</v>
      </c>
      <c r="CG44">
        <v>733250</v>
      </c>
      <c r="CH44">
        <v>61123</v>
      </c>
      <c r="CI44">
        <v>0</v>
      </c>
      <c r="CK44">
        <v>0</v>
      </c>
    </row>
    <row r="45" spans="1:89" x14ac:dyDescent="0.3">
      <c r="A45" s="155">
        <v>191</v>
      </c>
      <c r="B45" t="s">
        <v>224</v>
      </c>
      <c r="D45">
        <v>0</v>
      </c>
      <c r="E45">
        <v>0</v>
      </c>
      <c r="F45">
        <v>0</v>
      </c>
      <c r="G45">
        <v>0</v>
      </c>
      <c r="I45">
        <v>197992</v>
      </c>
      <c r="J45">
        <v>0</v>
      </c>
      <c r="K45">
        <v>38360</v>
      </c>
      <c r="L45">
        <v>0</v>
      </c>
      <c r="M45">
        <v>0</v>
      </c>
      <c r="N45">
        <v>1872585</v>
      </c>
      <c r="O45">
        <v>10060890</v>
      </c>
      <c r="P45">
        <v>0</v>
      </c>
      <c r="Q45">
        <v>0</v>
      </c>
      <c r="R45">
        <v>0</v>
      </c>
      <c r="S45">
        <v>0</v>
      </c>
      <c r="T45">
        <v>0</v>
      </c>
      <c r="U45">
        <v>0</v>
      </c>
      <c r="V45">
        <v>0</v>
      </c>
      <c r="W45">
        <v>105200</v>
      </c>
      <c r="X45">
        <v>0</v>
      </c>
      <c r="Y45">
        <v>159046000</v>
      </c>
      <c r="Z45">
        <v>0</v>
      </c>
      <c r="AA45">
        <v>1795000</v>
      </c>
      <c r="AB45">
        <v>0</v>
      </c>
      <c r="AD45">
        <v>0</v>
      </c>
      <c r="AE45">
        <v>9340</v>
      </c>
      <c r="AF45">
        <v>0</v>
      </c>
      <c r="AG45">
        <v>0</v>
      </c>
      <c r="AH45">
        <v>0</v>
      </c>
      <c r="AI45">
        <v>11135</v>
      </c>
      <c r="AJ45">
        <v>522140</v>
      </c>
      <c r="AK45">
        <v>0</v>
      </c>
      <c r="AL45">
        <v>0</v>
      </c>
      <c r="AN45">
        <v>623898</v>
      </c>
      <c r="AP45">
        <v>0</v>
      </c>
      <c r="AQ45">
        <v>7367720</v>
      </c>
      <c r="AR45">
        <v>0</v>
      </c>
      <c r="AS45">
        <v>0</v>
      </c>
      <c r="AT45">
        <v>61545</v>
      </c>
      <c r="AU45">
        <v>0</v>
      </c>
      <c r="AV45">
        <v>0</v>
      </c>
      <c r="AW45">
        <v>0</v>
      </c>
      <c r="AX45">
        <v>0</v>
      </c>
      <c r="AY45">
        <v>0</v>
      </c>
      <c r="AZ45">
        <v>0</v>
      </c>
      <c r="BA45">
        <v>50226</v>
      </c>
      <c r="BB45">
        <v>0</v>
      </c>
      <c r="BC45">
        <v>0</v>
      </c>
      <c r="BD45">
        <v>0</v>
      </c>
      <c r="BE45">
        <v>0</v>
      </c>
      <c r="BF45">
        <v>0</v>
      </c>
      <c r="BG45">
        <v>0</v>
      </c>
      <c r="BH45">
        <v>0</v>
      </c>
      <c r="BI45">
        <v>0</v>
      </c>
      <c r="BJ45">
        <v>0</v>
      </c>
      <c r="BK45">
        <v>0</v>
      </c>
      <c r="BL45">
        <v>0</v>
      </c>
      <c r="BM45">
        <v>47500</v>
      </c>
      <c r="BN45">
        <v>0</v>
      </c>
      <c r="BO45">
        <v>0</v>
      </c>
      <c r="BP45">
        <v>11639108</v>
      </c>
      <c r="BQ45">
        <v>0</v>
      </c>
      <c r="BR45">
        <v>0</v>
      </c>
      <c r="BS45">
        <v>0</v>
      </c>
      <c r="BU45">
        <v>63246</v>
      </c>
      <c r="BV45">
        <v>0</v>
      </c>
      <c r="BW45">
        <v>1173032</v>
      </c>
      <c r="BX45">
        <v>243661</v>
      </c>
      <c r="BY45">
        <v>0</v>
      </c>
      <c r="BZ45">
        <v>539404</v>
      </c>
      <c r="CA45">
        <v>0</v>
      </c>
      <c r="CB45">
        <v>0</v>
      </c>
      <c r="CC45">
        <v>0</v>
      </c>
      <c r="CD45">
        <v>0</v>
      </c>
      <c r="CF45">
        <v>0</v>
      </c>
      <c r="CG45">
        <v>0</v>
      </c>
      <c r="CH45">
        <v>51369</v>
      </c>
      <c r="CI45">
        <v>0</v>
      </c>
      <c r="CK45">
        <v>0</v>
      </c>
    </row>
    <row r="46" spans="1:89" x14ac:dyDescent="0.3">
      <c r="A46" s="155">
        <v>192</v>
      </c>
      <c r="B46" t="s">
        <v>235</v>
      </c>
      <c r="D46">
        <v>0</v>
      </c>
      <c r="E46">
        <v>0</v>
      </c>
      <c r="F46">
        <v>0</v>
      </c>
      <c r="G46">
        <v>0</v>
      </c>
      <c r="I46">
        <v>0</v>
      </c>
      <c r="J46">
        <v>0</v>
      </c>
      <c r="K46">
        <v>0</v>
      </c>
      <c r="L46">
        <v>0</v>
      </c>
      <c r="M46">
        <v>0</v>
      </c>
      <c r="N46">
        <v>0</v>
      </c>
      <c r="O46">
        <v>0</v>
      </c>
      <c r="P46">
        <v>0</v>
      </c>
      <c r="Q46">
        <v>0</v>
      </c>
      <c r="R46">
        <v>0</v>
      </c>
      <c r="S46">
        <v>0</v>
      </c>
      <c r="T46">
        <v>0</v>
      </c>
      <c r="U46">
        <v>0</v>
      </c>
      <c r="V46">
        <v>0</v>
      </c>
      <c r="W46">
        <v>0</v>
      </c>
      <c r="X46">
        <v>0</v>
      </c>
      <c r="Y46">
        <v>0</v>
      </c>
      <c r="Z46">
        <v>0</v>
      </c>
      <c r="AA46">
        <v>0</v>
      </c>
      <c r="AB46">
        <v>0</v>
      </c>
      <c r="AD46">
        <v>0</v>
      </c>
      <c r="AE46">
        <v>0</v>
      </c>
      <c r="AF46">
        <v>0</v>
      </c>
      <c r="AG46">
        <v>0</v>
      </c>
      <c r="AH46">
        <v>0</v>
      </c>
      <c r="AI46">
        <v>0</v>
      </c>
      <c r="AJ46">
        <v>0</v>
      </c>
      <c r="AK46">
        <v>0</v>
      </c>
      <c r="AL46">
        <v>0</v>
      </c>
      <c r="AN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U46">
        <v>0</v>
      </c>
      <c r="BV46">
        <v>0</v>
      </c>
      <c r="BW46">
        <v>0</v>
      </c>
      <c r="BX46">
        <v>0</v>
      </c>
      <c r="BY46">
        <v>0</v>
      </c>
      <c r="BZ46">
        <v>0</v>
      </c>
      <c r="CA46">
        <v>0</v>
      </c>
      <c r="CB46">
        <v>0</v>
      </c>
      <c r="CC46">
        <v>0</v>
      </c>
      <c r="CD46">
        <v>0</v>
      </c>
      <c r="CF46">
        <v>0</v>
      </c>
      <c r="CG46">
        <v>0</v>
      </c>
      <c r="CH46">
        <v>0</v>
      </c>
      <c r="CI46">
        <v>0</v>
      </c>
      <c r="CK46">
        <v>0</v>
      </c>
    </row>
    <row r="47" spans="1:89" x14ac:dyDescent="0.3">
      <c r="A47" s="155">
        <v>252</v>
      </c>
      <c r="B47" t="s">
        <v>95</v>
      </c>
      <c r="D47">
        <v>350466</v>
      </c>
      <c r="E47">
        <v>1143247</v>
      </c>
      <c r="F47">
        <v>132168</v>
      </c>
      <c r="G47">
        <v>283004</v>
      </c>
      <c r="I47">
        <v>10411587</v>
      </c>
      <c r="J47">
        <v>2204807</v>
      </c>
      <c r="K47">
        <v>25925040</v>
      </c>
      <c r="L47">
        <v>3736011</v>
      </c>
      <c r="M47">
        <v>36727545</v>
      </c>
      <c r="N47">
        <v>1146112</v>
      </c>
      <c r="O47">
        <v>919593702</v>
      </c>
      <c r="P47">
        <v>57786</v>
      </c>
      <c r="Q47">
        <v>606929</v>
      </c>
      <c r="R47">
        <v>5505771</v>
      </c>
      <c r="S47">
        <v>856585</v>
      </c>
      <c r="T47">
        <v>2944423</v>
      </c>
      <c r="U47">
        <v>257864</v>
      </c>
      <c r="V47">
        <v>790333</v>
      </c>
      <c r="W47">
        <v>2289122</v>
      </c>
      <c r="X47">
        <v>74079252</v>
      </c>
      <c r="Y47">
        <v>5076927000</v>
      </c>
      <c r="Z47">
        <v>4799831</v>
      </c>
      <c r="AA47">
        <v>1558710</v>
      </c>
      <c r="AB47">
        <v>2201716</v>
      </c>
      <c r="AD47">
        <v>8082278</v>
      </c>
      <c r="AE47">
        <v>727166</v>
      </c>
      <c r="AF47">
        <v>59099384</v>
      </c>
      <c r="AG47">
        <v>47137810</v>
      </c>
      <c r="AH47">
        <v>2288565</v>
      </c>
      <c r="AI47">
        <v>10152908</v>
      </c>
      <c r="AJ47">
        <v>1256799</v>
      </c>
      <c r="AK47">
        <v>1028357</v>
      </c>
      <c r="AL47">
        <v>945484</v>
      </c>
      <c r="AN47">
        <v>467862</v>
      </c>
      <c r="AP47">
        <v>35151</v>
      </c>
      <c r="AQ47">
        <v>445135068</v>
      </c>
      <c r="AR47">
        <v>59738</v>
      </c>
      <c r="AS47">
        <v>1460661</v>
      </c>
      <c r="AT47">
        <v>41342488</v>
      </c>
      <c r="AU47">
        <v>465778</v>
      </c>
      <c r="AV47">
        <v>750000</v>
      </c>
      <c r="AW47">
        <v>63390401</v>
      </c>
      <c r="AX47">
        <v>386163</v>
      </c>
      <c r="AY47">
        <v>5504950</v>
      </c>
      <c r="AZ47">
        <v>22917922</v>
      </c>
      <c r="BA47">
        <v>58219</v>
      </c>
      <c r="BB47">
        <v>130756</v>
      </c>
      <c r="BC47">
        <v>4725011</v>
      </c>
      <c r="BD47">
        <v>137823</v>
      </c>
      <c r="BE47">
        <v>27650942</v>
      </c>
      <c r="BF47">
        <v>1077157</v>
      </c>
      <c r="BG47">
        <v>941115</v>
      </c>
      <c r="BH47">
        <v>259754</v>
      </c>
      <c r="BI47">
        <v>1857804</v>
      </c>
      <c r="BJ47">
        <v>360216</v>
      </c>
      <c r="BK47">
        <v>383297</v>
      </c>
      <c r="BL47">
        <v>1509294</v>
      </c>
      <c r="BM47">
        <v>436174</v>
      </c>
      <c r="BN47">
        <v>16892375</v>
      </c>
      <c r="BO47">
        <v>9056884</v>
      </c>
      <c r="BP47">
        <v>648187845</v>
      </c>
      <c r="BQ47">
        <v>17879</v>
      </c>
      <c r="BR47">
        <v>63559</v>
      </c>
      <c r="BS47">
        <v>832633</v>
      </c>
      <c r="BU47">
        <v>1287351</v>
      </c>
      <c r="BV47">
        <v>2775528</v>
      </c>
      <c r="BW47">
        <v>22524990</v>
      </c>
      <c r="BX47">
        <v>3563642</v>
      </c>
      <c r="BY47">
        <v>27894727</v>
      </c>
      <c r="BZ47">
        <v>17838598</v>
      </c>
      <c r="CA47">
        <v>267801</v>
      </c>
      <c r="CB47">
        <v>7660304</v>
      </c>
      <c r="CC47">
        <v>147392</v>
      </c>
      <c r="CD47">
        <v>666523</v>
      </c>
      <c r="CF47">
        <v>7711190</v>
      </c>
      <c r="CG47">
        <v>22898828</v>
      </c>
      <c r="CH47">
        <v>8087203</v>
      </c>
      <c r="CI47">
        <v>3898471</v>
      </c>
      <c r="CK47">
        <v>44144</v>
      </c>
    </row>
    <row r="48" spans="1:89" x14ac:dyDescent="0.3">
      <c r="A48" s="155">
        <v>253</v>
      </c>
      <c r="B48" t="s">
        <v>96</v>
      </c>
      <c r="D48">
        <v>221568</v>
      </c>
      <c r="E48">
        <v>239683</v>
      </c>
      <c r="F48">
        <v>70883</v>
      </c>
      <c r="G48">
        <v>29277</v>
      </c>
      <c r="I48">
        <v>1533075</v>
      </c>
      <c r="J48">
        <v>188139</v>
      </c>
      <c r="K48">
        <v>2743410</v>
      </c>
      <c r="L48">
        <v>329701</v>
      </c>
      <c r="M48">
        <v>3647143</v>
      </c>
      <c r="N48">
        <v>563331</v>
      </c>
      <c r="O48">
        <v>76353003</v>
      </c>
      <c r="P48">
        <v>4570</v>
      </c>
      <c r="Q48">
        <v>47156</v>
      </c>
      <c r="R48">
        <v>50838</v>
      </c>
      <c r="S48">
        <v>144038</v>
      </c>
      <c r="T48">
        <v>162926</v>
      </c>
      <c r="U48">
        <v>137849</v>
      </c>
      <c r="V48">
        <v>62251</v>
      </c>
      <c r="W48">
        <v>272336</v>
      </c>
      <c r="X48">
        <v>14364711</v>
      </c>
      <c r="Y48">
        <v>321770000</v>
      </c>
      <c r="Z48">
        <v>1191434</v>
      </c>
      <c r="AA48">
        <v>21719</v>
      </c>
      <c r="AB48">
        <v>1006850</v>
      </c>
      <c r="AD48">
        <v>661973</v>
      </c>
      <c r="AE48">
        <v>164277</v>
      </c>
      <c r="AF48">
        <v>14815825</v>
      </c>
      <c r="AG48">
        <v>1731558</v>
      </c>
      <c r="AH48">
        <v>289824</v>
      </c>
      <c r="AI48">
        <v>1906663</v>
      </c>
      <c r="AJ48">
        <v>241990</v>
      </c>
      <c r="AK48">
        <v>310377</v>
      </c>
      <c r="AL48">
        <v>267706</v>
      </c>
      <c r="AN48">
        <v>54842</v>
      </c>
      <c r="AP48">
        <v>2065</v>
      </c>
      <c r="AQ48">
        <v>54119927</v>
      </c>
      <c r="AR48">
        <v>92698</v>
      </c>
      <c r="AS48">
        <v>389377</v>
      </c>
      <c r="AT48">
        <v>7063440</v>
      </c>
      <c r="AU48">
        <v>146351</v>
      </c>
      <c r="AV48">
        <v>102855</v>
      </c>
      <c r="AW48">
        <v>11764231</v>
      </c>
      <c r="AX48">
        <v>134067</v>
      </c>
      <c r="AY48">
        <v>891738</v>
      </c>
      <c r="AZ48">
        <v>914249</v>
      </c>
      <c r="BA48">
        <v>109194</v>
      </c>
      <c r="BB48">
        <v>44218</v>
      </c>
      <c r="BC48">
        <v>503158</v>
      </c>
      <c r="BD48">
        <v>19690</v>
      </c>
      <c r="BE48">
        <v>3598667</v>
      </c>
      <c r="BF48">
        <v>328667</v>
      </c>
      <c r="BG48">
        <v>25447</v>
      </c>
      <c r="BH48">
        <v>24092</v>
      </c>
      <c r="BI48">
        <v>419704</v>
      </c>
      <c r="BJ48">
        <v>67142</v>
      </c>
      <c r="BK48">
        <v>349621</v>
      </c>
      <c r="BL48">
        <v>208726</v>
      </c>
      <c r="BM48">
        <v>185827</v>
      </c>
      <c r="BN48">
        <v>3500513</v>
      </c>
      <c r="BO48">
        <v>5723839</v>
      </c>
      <c r="BP48">
        <v>161823055</v>
      </c>
      <c r="BQ48">
        <v>51557</v>
      </c>
      <c r="BR48">
        <v>120477</v>
      </c>
      <c r="BS48">
        <v>117469</v>
      </c>
      <c r="BU48">
        <v>1211885</v>
      </c>
      <c r="BV48">
        <v>899433</v>
      </c>
      <c r="BW48">
        <v>2349939</v>
      </c>
      <c r="BX48">
        <v>796563</v>
      </c>
      <c r="BY48">
        <v>4272760</v>
      </c>
      <c r="BZ48">
        <v>1984187</v>
      </c>
      <c r="CA48">
        <v>89049</v>
      </c>
      <c r="CB48">
        <v>1110446</v>
      </c>
      <c r="CC48">
        <v>115001</v>
      </c>
      <c r="CD48">
        <v>779225</v>
      </c>
      <c r="CF48">
        <v>1345709</v>
      </c>
      <c r="CG48">
        <v>7327990</v>
      </c>
      <c r="CH48">
        <v>604771</v>
      </c>
      <c r="CI48">
        <v>744441</v>
      </c>
      <c r="CK48">
        <v>10818</v>
      </c>
    </row>
    <row r="49" spans="1:89" x14ac:dyDescent="0.3">
      <c r="A49" s="155">
        <v>254</v>
      </c>
      <c r="B49" t="s">
        <v>97</v>
      </c>
      <c r="D49">
        <v>3223552</v>
      </c>
      <c r="E49">
        <v>2763325</v>
      </c>
      <c r="F49">
        <v>916991</v>
      </c>
      <c r="G49">
        <v>639628</v>
      </c>
      <c r="I49">
        <v>-8574816</v>
      </c>
      <c r="J49">
        <v>1852537</v>
      </c>
      <c r="K49">
        <v>-3066184</v>
      </c>
      <c r="L49">
        <v>4096894</v>
      </c>
      <c r="M49">
        <v>-6532066</v>
      </c>
      <c r="N49">
        <v>1040345</v>
      </c>
      <c r="O49">
        <v>-43436909</v>
      </c>
      <c r="P49">
        <v>84765</v>
      </c>
      <c r="Q49">
        <v>290081</v>
      </c>
      <c r="R49">
        <v>3697300</v>
      </c>
      <c r="S49">
        <v>975551</v>
      </c>
      <c r="T49">
        <v>1247187</v>
      </c>
      <c r="U49">
        <v>295077</v>
      </c>
      <c r="V49">
        <v>296761</v>
      </c>
      <c r="W49">
        <v>1963298</v>
      </c>
      <c r="X49">
        <v>-6407590</v>
      </c>
      <c r="Y49">
        <v>-200731000</v>
      </c>
      <c r="Z49">
        <v>-121748</v>
      </c>
      <c r="AA49">
        <v>495065</v>
      </c>
      <c r="AB49">
        <v>1682034</v>
      </c>
      <c r="AD49">
        <v>4156941</v>
      </c>
      <c r="AE49">
        <v>2508580</v>
      </c>
      <c r="AF49">
        <v>5251499</v>
      </c>
      <c r="AG49">
        <v>7198183</v>
      </c>
      <c r="AH49">
        <v>2867121</v>
      </c>
      <c r="AI49">
        <v>3752652</v>
      </c>
      <c r="AJ49">
        <v>1093814</v>
      </c>
      <c r="AK49">
        <v>1393845</v>
      </c>
      <c r="AL49">
        <v>734972</v>
      </c>
      <c r="AN49">
        <v>656515</v>
      </c>
      <c r="AP49">
        <v>81983</v>
      </c>
      <c r="AQ49">
        <v>51789348</v>
      </c>
      <c r="AR49">
        <v>315258</v>
      </c>
      <c r="AS49">
        <v>1663419</v>
      </c>
      <c r="AT49">
        <v>8342666</v>
      </c>
      <c r="AU49">
        <v>380327</v>
      </c>
      <c r="AV49">
        <v>1108749</v>
      </c>
      <c r="AW49">
        <v>19510896</v>
      </c>
      <c r="AX49">
        <v>131329</v>
      </c>
      <c r="AY49">
        <v>4523567</v>
      </c>
      <c r="AZ49">
        <v>6647869</v>
      </c>
      <c r="BA49">
        <v>491767</v>
      </c>
      <c r="BB49">
        <v>288794</v>
      </c>
      <c r="BC49">
        <v>4947677</v>
      </c>
      <c r="BD49">
        <v>166540</v>
      </c>
      <c r="BE49">
        <v>4939774</v>
      </c>
      <c r="BF49">
        <v>2211216</v>
      </c>
      <c r="BG49">
        <v>837712</v>
      </c>
      <c r="BH49">
        <v>563859</v>
      </c>
      <c r="BI49">
        <v>947683</v>
      </c>
      <c r="BJ49">
        <v>3280823</v>
      </c>
      <c r="BK49">
        <v>20388</v>
      </c>
      <c r="BL49">
        <v>1628370</v>
      </c>
      <c r="BM49">
        <v>913913</v>
      </c>
      <c r="BN49">
        <v>6553442</v>
      </c>
      <c r="BO49">
        <v>-5185668</v>
      </c>
      <c r="BP49">
        <v>-84257687</v>
      </c>
      <c r="BQ49">
        <v>60669</v>
      </c>
      <c r="BR49">
        <v>185611</v>
      </c>
      <c r="BS49">
        <v>837474</v>
      </c>
      <c r="BU49">
        <v>1173877</v>
      </c>
      <c r="BV49">
        <v>6190481</v>
      </c>
      <c r="BW49">
        <v>-666501</v>
      </c>
      <c r="BX49">
        <v>1170014</v>
      </c>
      <c r="BY49">
        <v>-11638429</v>
      </c>
      <c r="BZ49">
        <v>-191511</v>
      </c>
      <c r="CA49">
        <v>553762</v>
      </c>
      <c r="CB49">
        <v>4424605</v>
      </c>
      <c r="CC49">
        <v>843199</v>
      </c>
      <c r="CD49">
        <v>168372</v>
      </c>
      <c r="CF49">
        <v>7506053</v>
      </c>
      <c r="CG49">
        <v>707631</v>
      </c>
      <c r="CH49">
        <v>-134474</v>
      </c>
      <c r="CI49">
        <v>4880586</v>
      </c>
      <c r="CK49">
        <v>73674</v>
      </c>
    </row>
    <row r="50" spans="1:89" x14ac:dyDescent="0.3">
      <c r="A50" s="155">
        <v>255</v>
      </c>
      <c r="B50" t="s">
        <v>188</v>
      </c>
      <c r="D50">
        <v>344955</v>
      </c>
      <c r="E50">
        <v>383051</v>
      </c>
      <c r="F50">
        <v>188741</v>
      </c>
      <c r="G50">
        <v>83736</v>
      </c>
      <c r="I50">
        <v>451171</v>
      </c>
      <c r="J50">
        <v>372325</v>
      </c>
      <c r="K50">
        <v>4732131</v>
      </c>
      <c r="L50">
        <v>1260894</v>
      </c>
      <c r="M50">
        <v>4375059</v>
      </c>
      <c r="N50">
        <v>291103</v>
      </c>
      <c r="O50">
        <v>25642472</v>
      </c>
      <c r="P50">
        <v>3015</v>
      </c>
      <c r="Q50">
        <v>67587</v>
      </c>
      <c r="R50">
        <v>641203</v>
      </c>
      <c r="S50">
        <v>346717</v>
      </c>
      <c r="T50">
        <v>1451672</v>
      </c>
      <c r="U50">
        <v>98921</v>
      </c>
      <c r="V50">
        <v>104131</v>
      </c>
      <c r="W50">
        <v>-1765</v>
      </c>
      <c r="X50">
        <v>8739302</v>
      </c>
      <c r="Y50">
        <v>32622000</v>
      </c>
      <c r="Z50">
        <v>1743445</v>
      </c>
      <c r="AA50">
        <v>392701</v>
      </c>
      <c r="AB50">
        <v>262455</v>
      </c>
      <c r="AD50">
        <v>692764</v>
      </c>
      <c r="AE50">
        <v>163481</v>
      </c>
      <c r="AF50">
        <v>11641993</v>
      </c>
      <c r="AG50">
        <v>1786086</v>
      </c>
      <c r="AH50">
        <v>140192</v>
      </c>
      <c r="AI50">
        <v>2077509</v>
      </c>
      <c r="AJ50">
        <v>114404</v>
      </c>
      <c r="AK50">
        <v>179272</v>
      </c>
      <c r="AL50">
        <v>-120469</v>
      </c>
      <c r="AN50">
        <v>-75558</v>
      </c>
      <c r="AP50">
        <v>5704</v>
      </c>
      <c r="AQ50">
        <v>48609250</v>
      </c>
      <c r="AR50">
        <v>-21201</v>
      </c>
      <c r="AS50">
        <v>175257</v>
      </c>
      <c r="AT50">
        <v>11029553</v>
      </c>
      <c r="AU50">
        <v>33018</v>
      </c>
      <c r="AV50">
        <v>174302</v>
      </c>
      <c r="AW50">
        <v>8487396</v>
      </c>
      <c r="AX50">
        <v>24043</v>
      </c>
      <c r="AY50">
        <v>1666468</v>
      </c>
      <c r="AZ50">
        <v>543985</v>
      </c>
      <c r="BA50">
        <v>30034</v>
      </c>
      <c r="BB50">
        <v>72326</v>
      </c>
      <c r="BC50">
        <v>594820</v>
      </c>
      <c r="BD50">
        <v>19410</v>
      </c>
      <c r="BE50">
        <v>1991394</v>
      </c>
      <c r="BF50">
        <v>840419</v>
      </c>
      <c r="BG50">
        <v>-28235</v>
      </c>
      <c r="BH50">
        <v>61358</v>
      </c>
      <c r="BI50">
        <v>138592</v>
      </c>
      <c r="BJ50">
        <v>213257</v>
      </c>
      <c r="BK50">
        <v>44774</v>
      </c>
      <c r="BL50">
        <v>213919</v>
      </c>
      <c r="BM50">
        <v>180145</v>
      </c>
      <c r="BN50">
        <v>1568656</v>
      </c>
      <c r="BO50">
        <v>-52219</v>
      </c>
      <c r="BP50">
        <v>35916658</v>
      </c>
      <c r="BQ50">
        <v>-6233</v>
      </c>
      <c r="BR50">
        <v>19626</v>
      </c>
      <c r="BS50">
        <v>477721</v>
      </c>
      <c r="BU50">
        <v>489813</v>
      </c>
      <c r="BV50">
        <v>853484</v>
      </c>
      <c r="BW50">
        <v>143483</v>
      </c>
      <c r="BX50">
        <v>273477</v>
      </c>
      <c r="BY50">
        <v>1304188</v>
      </c>
      <c r="BZ50">
        <v>1608503</v>
      </c>
      <c r="CA50">
        <v>203936</v>
      </c>
      <c r="CB50">
        <v>1501165</v>
      </c>
      <c r="CC50">
        <v>24147</v>
      </c>
      <c r="CD50">
        <v>597738</v>
      </c>
      <c r="CF50">
        <v>1328693</v>
      </c>
      <c r="CG50">
        <v>643418</v>
      </c>
      <c r="CH50">
        <v>2273597</v>
      </c>
      <c r="CI50">
        <v>787820</v>
      </c>
      <c r="CK50">
        <v>33991</v>
      </c>
    </row>
    <row r="51" spans="1:89" x14ac:dyDescent="0.3">
      <c r="A51" s="155">
        <v>327</v>
      </c>
      <c r="B51" t="s">
        <v>881</v>
      </c>
      <c r="D51">
        <v>0</v>
      </c>
      <c r="E51">
        <v>0</v>
      </c>
      <c r="F51">
        <v>6500</v>
      </c>
      <c r="G51">
        <v>43279</v>
      </c>
      <c r="I51">
        <v>220283</v>
      </c>
      <c r="J51">
        <v>0</v>
      </c>
      <c r="K51">
        <v>475957</v>
      </c>
      <c r="L51">
        <v>0</v>
      </c>
      <c r="M51">
        <v>0</v>
      </c>
      <c r="N51">
        <v>124787</v>
      </c>
      <c r="O51">
        <v>26795519</v>
      </c>
      <c r="P51">
        <v>0</v>
      </c>
      <c r="Q51">
        <v>0</v>
      </c>
      <c r="R51">
        <v>0</v>
      </c>
      <c r="S51">
        <v>0</v>
      </c>
      <c r="T51">
        <v>0</v>
      </c>
      <c r="U51">
        <v>0</v>
      </c>
      <c r="V51">
        <v>8650</v>
      </c>
      <c r="W51">
        <v>0</v>
      </c>
      <c r="X51">
        <v>0</v>
      </c>
      <c r="Y51">
        <v>61925000</v>
      </c>
      <c r="Z51">
        <v>102929</v>
      </c>
      <c r="AA51">
        <v>13364</v>
      </c>
      <c r="AB51">
        <v>0</v>
      </c>
      <c r="AD51">
        <v>83327</v>
      </c>
      <c r="AE51">
        <v>13628</v>
      </c>
      <c r="AF51">
        <v>17400838</v>
      </c>
      <c r="AG51">
        <v>0</v>
      </c>
      <c r="AH51">
        <v>66507</v>
      </c>
      <c r="AI51">
        <v>261439</v>
      </c>
      <c r="AJ51">
        <v>0</v>
      </c>
      <c r="AK51">
        <v>18344</v>
      </c>
      <c r="AL51">
        <v>8050</v>
      </c>
      <c r="AN51">
        <v>32652</v>
      </c>
      <c r="AP51">
        <v>0</v>
      </c>
      <c r="AQ51">
        <v>2398213</v>
      </c>
      <c r="AR51">
        <v>0</v>
      </c>
      <c r="AS51">
        <v>1500</v>
      </c>
      <c r="AT51">
        <v>305061</v>
      </c>
      <c r="AU51">
        <v>138202</v>
      </c>
      <c r="AV51">
        <v>0</v>
      </c>
      <c r="AW51">
        <v>0</v>
      </c>
      <c r="AX51">
        <v>145831</v>
      </c>
      <c r="AY51">
        <v>0</v>
      </c>
      <c r="AZ51">
        <v>0</v>
      </c>
      <c r="BA51">
        <v>0</v>
      </c>
      <c r="BB51">
        <v>81700</v>
      </c>
      <c r="BC51">
        <v>158909</v>
      </c>
      <c r="BD51">
        <v>0</v>
      </c>
      <c r="BE51">
        <v>0</v>
      </c>
      <c r="BF51">
        <v>174616</v>
      </c>
      <c r="BG51">
        <v>0</v>
      </c>
      <c r="BH51">
        <v>0</v>
      </c>
      <c r="BI51">
        <v>90466</v>
      </c>
      <c r="BJ51">
        <v>0</v>
      </c>
      <c r="BK51">
        <v>163450</v>
      </c>
      <c r="BL51">
        <v>0</v>
      </c>
      <c r="BM51">
        <v>17441</v>
      </c>
      <c r="BN51">
        <v>0</v>
      </c>
      <c r="BO51">
        <v>286507</v>
      </c>
      <c r="BP51">
        <v>32670272</v>
      </c>
      <c r="BQ51">
        <v>0</v>
      </c>
      <c r="BR51">
        <v>14826</v>
      </c>
      <c r="BS51">
        <v>3350</v>
      </c>
      <c r="BU51">
        <v>0</v>
      </c>
      <c r="BV51">
        <v>0</v>
      </c>
      <c r="BW51">
        <v>1826960</v>
      </c>
      <c r="BX51">
        <v>45216</v>
      </c>
      <c r="BY51">
        <v>172000</v>
      </c>
      <c r="BZ51">
        <v>1250019</v>
      </c>
      <c r="CA51">
        <v>18511</v>
      </c>
      <c r="CB51">
        <v>118455</v>
      </c>
      <c r="CC51">
        <v>0</v>
      </c>
      <c r="CD51">
        <v>1459727</v>
      </c>
      <c r="CF51">
        <v>0</v>
      </c>
      <c r="CG51">
        <v>0</v>
      </c>
      <c r="CH51">
        <v>21230</v>
      </c>
      <c r="CI51">
        <v>0</v>
      </c>
      <c r="CK51">
        <v>3000</v>
      </c>
    </row>
    <row r="52" spans="1:89" x14ac:dyDescent="0.3">
      <c r="A52" s="155">
        <v>328</v>
      </c>
      <c r="B52" t="s">
        <v>304</v>
      </c>
      <c r="D52">
        <v>0</v>
      </c>
      <c r="E52">
        <v>0</v>
      </c>
      <c r="F52">
        <v>0</v>
      </c>
      <c r="G52">
        <v>0</v>
      </c>
      <c r="I52">
        <v>40093</v>
      </c>
      <c r="J52">
        <v>0</v>
      </c>
      <c r="K52">
        <v>2918215</v>
      </c>
      <c r="L52">
        <v>0</v>
      </c>
      <c r="M52">
        <v>0</v>
      </c>
      <c r="N52">
        <v>6303325</v>
      </c>
      <c r="O52">
        <v>230483174</v>
      </c>
      <c r="P52">
        <v>0</v>
      </c>
      <c r="Q52">
        <v>0</v>
      </c>
      <c r="R52">
        <v>0</v>
      </c>
      <c r="S52">
        <v>0</v>
      </c>
      <c r="T52">
        <v>0</v>
      </c>
      <c r="U52">
        <v>0</v>
      </c>
      <c r="V52">
        <v>0</v>
      </c>
      <c r="W52">
        <v>0</v>
      </c>
      <c r="X52">
        <v>0</v>
      </c>
      <c r="Y52">
        <v>264032000</v>
      </c>
      <c r="Z52">
        <v>3793739</v>
      </c>
      <c r="AA52">
        <v>0</v>
      </c>
      <c r="AB52">
        <v>0</v>
      </c>
      <c r="AD52">
        <v>439234</v>
      </c>
      <c r="AE52">
        <v>277155</v>
      </c>
      <c r="AF52">
        <v>28141143</v>
      </c>
      <c r="AG52">
        <v>0</v>
      </c>
      <c r="AH52">
        <v>0</v>
      </c>
      <c r="AI52">
        <v>357539</v>
      </c>
      <c r="AJ52">
        <v>0</v>
      </c>
      <c r="AK52">
        <v>0</v>
      </c>
      <c r="AL52">
        <v>0</v>
      </c>
      <c r="AN52">
        <v>0</v>
      </c>
      <c r="AP52">
        <v>0</v>
      </c>
      <c r="AQ52">
        <v>10073833</v>
      </c>
      <c r="AR52">
        <v>0</v>
      </c>
      <c r="AS52">
        <v>0</v>
      </c>
      <c r="AT52">
        <v>668001</v>
      </c>
      <c r="AU52">
        <v>0</v>
      </c>
      <c r="AV52">
        <v>0</v>
      </c>
      <c r="AW52">
        <v>0</v>
      </c>
      <c r="AX52">
        <v>0</v>
      </c>
      <c r="AY52">
        <v>0</v>
      </c>
      <c r="AZ52">
        <v>0</v>
      </c>
      <c r="BA52">
        <v>0</v>
      </c>
      <c r="BB52">
        <v>42367</v>
      </c>
      <c r="BC52">
        <v>339807</v>
      </c>
      <c r="BD52">
        <v>0</v>
      </c>
      <c r="BE52">
        <v>0</v>
      </c>
      <c r="BF52">
        <v>0</v>
      </c>
      <c r="BG52">
        <v>0</v>
      </c>
      <c r="BH52">
        <v>0</v>
      </c>
      <c r="BI52">
        <v>0</v>
      </c>
      <c r="BJ52">
        <v>0</v>
      </c>
      <c r="BK52">
        <v>0</v>
      </c>
      <c r="BL52">
        <v>0</v>
      </c>
      <c r="BM52">
        <v>59500</v>
      </c>
      <c r="BN52">
        <v>0</v>
      </c>
      <c r="BO52">
        <v>1449634</v>
      </c>
      <c r="BP52">
        <v>432678382</v>
      </c>
      <c r="BQ52">
        <v>0</v>
      </c>
      <c r="BR52">
        <v>0</v>
      </c>
      <c r="BS52">
        <v>0</v>
      </c>
      <c r="BU52">
        <v>365604</v>
      </c>
      <c r="BV52">
        <v>0</v>
      </c>
      <c r="BW52">
        <v>21452254</v>
      </c>
      <c r="BX52">
        <v>7091656</v>
      </c>
      <c r="BY52">
        <v>0</v>
      </c>
      <c r="BZ52">
        <v>379245</v>
      </c>
      <c r="CA52">
        <v>35173</v>
      </c>
      <c r="CB52">
        <v>0</v>
      </c>
      <c r="CC52">
        <v>0</v>
      </c>
      <c r="CD52">
        <v>0</v>
      </c>
      <c r="CF52">
        <v>52986</v>
      </c>
      <c r="CG52">
        <v>0</v>
      </c>
      <c r="CH52">
        <v>640559</v>
      </c>
      <c r="CI52">
        <v>0</v>
      </c>
      <c r="CK52">
        <v>0</v>
      </c>
    </row>
    <row r="53" spans="1:89" x14ac:dyDescent="0.3">
      <c r="A53" s="155">
        <v>331</v>
      </c>
      <c r="B53" t="s">
        <v>238</v>
      </c>
      <c r="D53">
        <v>0</v>
      </c>
      <c r="E53">
        <v>0</v>
      </c>
      <c r="F53">
        <v>0</v>
      </c>
      <c r="G53">
        <v>3780</v>
      </c>
      <c r="I53">
        <v>222732</v>
      </c>
      <c r="J53">
        <v>0</v>
      </c>
      <c r="K53">
        <v>1526994</v>
      </c>
      <c r="L53">
        <v>0</v>
      </c>
      <c r="M53">
        <v>0</v>
      </c>
      <c r="N53">
        <v>108595</v>
      </c>
      <c r="O53">
        <v>12875392</v>
      </c>
      <c r="P53">
        <v>0</v>
      </c>
      <c r="Q53">
        <v>0</v>
      </c>
      <c r="R53">
        <v>0</v>
      </c>
      <c r="S53">
        <v>0</v>
      </c>
      <c r="T53">
        <v>0</v>
      </c>
      <c r="U53">
        <v>0</v>
      </c>
      <c r="V53">
        <v>0</v>
      </c>
      <c r="W53">
        <v>132000</v>
      </c>
      <c r="X53">
        <v>0</v>
      </c>
      <c r="Y53">
        <v>79574000</v>
      </c>
      <c r="Z53">
        <v>64435</v>
      </c>
      <c r="AA53">
        <v>0</v>
      </c>
      <c r="AB53">
        <v>0</v>
      </c>
      <c r="AD53">
        <v>0</v>
      </c>
      <c r="AE53">
        <v>39316</v>
      </c>
      <c r="AF53">
        <v>1254968</v>
      </c>
      <c r="AG53">
        <v>0</v>
      </c>
      <c r="AH53">
        <v>0</v>
      </c>
      <c r="AI53">
        <v>365301</v>
      </c>
      <c r="AJ53">
        <v>20820</v>
      </c>
      <c r="AK53">
        <v>0</v>
      </c>
      <c r="AL53">
        <v>18000</v>
      </c>
      <c r="AN53">
        <v>48199</v>
      </c>
      <c r="AP53">
        <v>0</v>
      </c>
      <c r="AQ53">
        <v>2850875</v>
      </c>
      <c r="AR53">
        <v>0</v>
      </c>
      <c r="AS53">
        <v>0</v>
      </c>
      <c r="AT53">
        <v>223401</v>
      </c>
      <c r="AU53">
        <v>42670</v>
      </c>
      <c r="AV53">
        <v>0</v>
      </c>
      <c r="AW53">
        <v>0</v>
      </c>
      <c r="AX53">
        <v>11400</v>
      </c>
      <c r="AY53">
        <v>0</v>
      </c>
      <c r="AZ53">
        <v>0</v>
      </c>
      <c r="BA53">
        <v>9395</v>
      </c>
      <c r="BB53">
        <v>0</v>
      </c>
      <c r="BC53">
        <v>173588</v>
      </c>
      <c r="BD53">
        <v>0</v>
      </c>
      <c r="BE53">
        <v>0</v>
      </c>
      <c r="BF53">
        <v>150380</v>
      </c>
      <c r="BG53">
        <v>0</v>
      </c>
      <c r="BH53">
        <v>0</v>
      </c>
      <c r="BI53">
        <v>85712</v>
      </c>
      <c r="BJ53">
        <v>0</v>
      </c>
      <c r="BK53">
        <v>22780</v>
      </c>
      <c r="BL53">
        <v>23555</v>
      </c>
      <c r="BM53">
        <v>11114</v>
      </c>
      <c r="BN53">
        <v>0</v>
      </c>
      <c r="BO53">
        <v>1034181</v>
      </c>
      <c r="BP53">
        <v>3296736</v>
      </c>
      <c r="BQ53">
        <v>0</v>
      </c>
      <c r="BR53">
        <v>0</v>
      </c>
      <c r="BS53">
        <v>0</v>
      </c>
      <c r="BU53">
        <v>29000</v>
      </c>
      <c r="BV53">
        <v>0</v>
      </c>
      <c r="BW53">
        <v>2512149</v>
      </c>
      <c r="BX53">
        <v>179066</v>
      </c>
      <c r="BY53">
        <v>668935</v>
      </c>
      <c r="BZ53">
        <v>69194</v>
      </c>
      <c r="CA53">
        <v>8500</v>
      </c>
      <c r="CB53">
        <v>149373</v>
      </c>
      <c r="CC53">
        <v>0</v>
      </c>
      <c r="CD53">
        <v>35000</v>
      </c>
      <c r="CF53">
        <v>7257</v>
      </c>
      <c r="CG53">
        <v>0</v>
      </c>
      <c r="CH53">
        <v>97086</v>
      </c>
      <c r="CI53">
        <v>0</v>
      </c>
      <c r="CK53">
        <v>0</v>
      </c>
    </row>
    <row r="54" spans="1:89" x14ac:dyDescent="0.3">
      <c r="A54" s="155">
        <v>332</v>
      </c>
      <c r="B54" t="s">
        <v>239</v>
      </c>
      <c r="D54">
        <v>0</v>
      </c>
      <c r="E54">
        <v>0</v>
      </c>
      <c r="F54">
        <v>0</v>
      </c>
      <c r="G54">
        <v>12482</v>
      </c>
      <c r="I54">
        <v>8375</v>
      </c>
      <c r="J54">
        <v>0</v>
      </c>
      <c r="K54">
        <v>428524</v>
      </c>
      <c r="L54">
        <v>0</v>
      </c>
      <c r="M54">
        <v>0</v>
      </c>
      <c r="N54">
        <v>5977132</v>
      </c>
      <c r="O54">
        <v>21485813</v>
      </c>
      <c r="P54">
        <v>0</v>
      </c>
      <c r="Q54">
        <v>0</v>
      </c>
      <c r="R54">
        <v>0</v>
      </c>
      <c r="S54">
        <v>0</v>
      </c>
      <c r="T54">
        <v>0</v>
      </c>
      <c r="U54">
        <v>0</v>
      </c>
      <c r="V54">
        <v>30419</v>
      </c>
      <c r="W54">
        <v>66165</v>
      </c>
      <c r="X54">
        <v>0</v>
      </c>
      <c r="Y54">
        <v>405917000</v>
      </c>
      <c r="Z54">
        <v>3794527</v>
      </c>
      <c r="AA54">
        <v>0</v>
      </c>
      <c r="AB54">
        <v>0</v>
      </c>
      <c r="AD54">
        <v>168864</v>
      </c>
      <c r="AE54">
        <v>53513</v>
      </c>
      <c r="AF54">
        <v>24963899</v>
      </c>
      <c r="AG54">
        <v>0</v>
      </c>
      <c r="AH54">
        <v>105911</v>
      </c>
      <c r="AI54">
        <v>513236</v>
      </c>
      <c r="AJ54">
        <v>585464</v>
      </c>
      <c r="AK54">
        <v>0</v>
      </c>
      <c r="AL54">
        <v>0</v>
      </c>
      <c r="AN54">
        <v>623898</v>
      </c>
      <c r="AP54">
        <v>0</v>
      </c>
      <c r="AQ54">
        <v>5197167</v>
      </c>
      <c r="AR54">
        <v>0</v>
      </c>
      <c r="AS54">
        <v>0</v>
      </c>
      <c r="AT54">
        <v>713640</v>
      </c>
      <c r="AU54">
        <v>186562</v>
      </c>
      <c r="AV54">
        <v>0</v>
      </c>
      <c r="AW54">
        <v>0</v>
      </c>
      <c r="AX54">
        <v>0</v>
      </c>
      <c r="AY54">
        <v>0</v>
      </c>
      <c r="AZ54">
        <v>0</v>
      </c>
      <c r="BA54">
        <v>66969</v>
      </c>
      <c r="BB54">
        <v>27234</v>
      </c>
      <c r="BC54">
        <v>236148</v>
      </c>
      <c r="BD54">
        <v>0</v>
      </c>
      <c r="BE54">
        <v>0</v>
      </c>
      <c r="BF54">
        <v>119713</v>
      </c>
      <c r="BG54">
        <v>0</v>
      </c>
      <c r="BH54">
        <v>0</v>
      </c>
      <c r="BI54">
        <v>184362</v>
      </c>
      <c r="BJ54">
        <v>0</v>
      </c>
      <c r="BK54">
        <v>0</v>
      </c>
      <c r="BL54">
        <v>21900</v>
      </c>
      <c r="BM54">
        <v>0</v>
      </c>
      <c r="BN54">
        <v>0</v>
      </c>
      <c r="BO54">
        <v>3560976</v>
      </c>
      <c r="BP54">
        <v>88009515</v>
      </c>
      <c r="BQ54">
        <v>0</v>
      </c>
      <c r="BR54">
        <v>0</v>
      </c>
      <c r="BS54">
        <v>20571</v>
      </c>
      <c r="BU54">
        <v>63246</v>
      </c>
      <c r="BV54">
        <v>0</v>
      </c>
      <c r="BW54">
        <v>4327334</v>
      </c>
      <c r="BX54">
        <v>1864441</v>
      </c>
      <c r="BY54">
        <v>2591941</v>
      </c>
      <c r="BZ54">
        <v>589799</v>
      </c>
      <c r="CA54">
        <v>49966</v>
      </c>
      <c r="CB54">
        <v>57955</v>
      </c>
      <c r="CC54">
        <v>0</v>
      </c>
      <c r="CD54">
        <v>19769</v>
      </c>
      <c r="CF54">
        <v>1913356</v>
      </c>
      <c r="CG54">
        <v>0</v>
      </c>
      <c r="CH54">
        <v>59537</v>
      </c>
      <c r="CI54">
        <v>0</v>
      </c>
      <c r="CK54">
        <v>0</v>
      </c>
    </row>
    <row r="55" spans="1:89" x14ac:dyDescent="0.3">
      <c r="A55" s="155">
        <v>333</v>
      </c>
      <c r="B55" t="s">
        <v>176</v>
      </c>
      <c r="D55">
        <v>3526847</v>
      </c>
      <c r="E55">
        <v>2906039</v>
      </c>
      <c r="F55">
        <v>925174</v>
      </c>
      <c r="G55">
        <v>640195</v>
      </c>
      <c r="I55">
        <v>2890110</v>
      </c>
      <c r="J55">
        <v>2074307</v>
      </c>
      <c r="K55">
        <v>8050179</v>
      </c>
      <c r="L55">
        <v>4859966</v>
      </c>
      <c r="M55">
        <v>24302805</v>
      </c>
      <c r="N55">
        <v>2060766</v>
      </c>
      <c r="O55">
        <v>257867819</v>
      </c>
      <c r="P55">
        <v>85491</v>
      </c>
      <c r="Q55">
        <v>284666</v>
      </c>
      <c r="R55">
        <v>3697300</v>
      </c>
      <c r="S55">
        <v>1454747</v>
      </c>
      <c r="T55">
        <v>1253976</v>
      </c>
      <c r="U55">
        <v>304071</v>
      </c>
      <c r="V55">
        <v>289159</v>
      </c>
      <c r="W55">
        <v>2127626</v>
      </c>
      <c r="X55">
        <v>50045396</v>
      </c>
      <c r="Y55">
        <v>928566000</v>
      </c>
      <c r="Z55">
        <v>1703145</v>
      </c>
      <c r="AA55">
        <v>523431</v>
      </c>
      <c r="AB55">
        <v>2640661</v>
      </c>
      <c r="AD55">
        <v>4811708</v>
      </c>
      <c r="AE55">
        <v>2575988</v>
      </c>
      <c r="AF55">
        <v>25091469</v>
      </c>
      <c r="AG55">
        <v>8720707</v>
      </c>
      <c r="AH55">
        <v>3220743</v>
      </c>
      <c r="AI55">
        <v>7245695</v>
      </c>
      <c r="AJ55">
        <v>1307069</v>
      </c>
      <c r="AK55">
        <v>1723587</v>
      </c>
      <c r="AL55">
        <v>740379</v>
      </c>
      <c r="AN55">
        <v>1051490</v>
      </c>
      <c r="AP55">
        <v>82586</v>
      </c>
      <c r="AQ55">
        <v>129841845</v>
      </c>
      <c r="AR55">
        <v>345550</v>
      </c>
      <c r="AS55">
        <v>1904968</v>
      </c>
      <c r="AT55">
        <v>14089617</v>
      </c>
      <c r="AU55">
        <v>517361</v>
      </c>
      <c r="AV55">
        <v>1104402</v>
      </c>
      <c r="AW55">
        <v>38432585</v>
      </c>
      <c r="AX55">
        <v>230832</v>
      </c>
      <c r="AY55">
        <v>4962922</v>
      </c>
      <c r="AZ55">
        <v>10189769</v>
      </c>
      <c r="BA55">
        <v>488180</v>
      </c>
      <c r="BB55">
        <v>284291</v>
      </c>
      <c r="BC55">
        <v>5986638</v>
      </c>
      <c r="BD55">
        <v>166638</v>
      </c>
      <c r="BE55">
        <v>18336237</v>
      </c>
      <c r="BF55">
        <v>2361018</v>
      </c>
      <c r="BG55">
        <v>841338</v>
      </c>
      <c r="BH55">
        <v>535872</v>
      </c>
      <c r="BI55">
        <v>1675405</v>
      </c>
      <c r="BJ55">
        <v>3316960</v>
      </c>
      <c r="BK55">
        <v>96094</v>
      </c>
      <c r="BL55">
        <v>2304101</v>
      </c>
      <c r="BM55">
        <v>907817</v>
      </c>
      <c r="BN55">
        <v>8266284</v>
      </c>
      <c r="BO55">
        <v>6820679</v>
      </c>
      <c r="BP55">
        <v>310532257</v>
      </c>
      <c r="BQ55">
        <v>60484</v>
      </c>
      <c r="BR55">
        <v>178031</v>
      </c>
      <c r="BS55">
        <v>882570</v>
      </c>
      <c r="BU55">
        <v>1218760</v>
      </c>
      <c r="BV55">
        <v>6441626</v>
      </c>
      <c r="BW55">
        <v>11779835</v>
      </c>
      <c r="BX55">
        <v>3623322</v>
      </c>
      <c r="BY55">
        <v>6224179</v>
      </c>
      <c r="BZ55">
        <v>1429064</v>
      </c>
      <c r="CA55">
        <v>700362</v>
      </c>
      <c r="CB55">
        <v>5827500</v>
      </c>
      <c r="CC55">
        <v>829345</v>
      </c>
      <c r="CD55">
        <v>301453</v>
      </c>
      <c r="CF55">
        <v>8350662</v>
      </c>
      <c r="CG55">
        <v>9313146</v>
      </c>
      <c r="CH55">
        <v>369605</v>
      </c>
      <c r="CI55">
        <v>6673966</v>
      </c>
      <c r="CK55">
        <v>61349</v>
      </c>
    </row>
    <row r="56" spans="1:89" x14ac:dyDescent="0.3">
      <c r="A56" s="155">
        <v>334</v>
      </c>
      <c r="B56" t="s">
        <v>261</v>
      </c>
      <c r="D56">
        <v>660023</v>
      </c>
      <c r="E56">
        <v>1107628</v>
      </c>
      <c r="F56">
        <v>537962</v>
      </c>
      <c r="G56">
        <v>229657</v>
      </c>
      <c r="I56">
        <v>10459088</v>
      </c>
      <c r="J56">
        <v>2946162</v>
      </c>
      <c r="K56">
        <v>29972361</v>
      </c>
      <c r="L56">
        <v>8412541</v>
      </c>
      <c r="M56">
        <v>47162710</v>
      </c>
      <c r="N56">
        <v>4953534</v>
      </c>
      <c r="O56">
        <v>1150822177</v>
      </c>
      <c r="P56">
        <v>215877</v>
      </c>
      <c r="Q56">
        <v>368064</v>
      </c>
      <c r="R56">
        <v>3320234</v>
      </c>
      <c r="S56">
        <v>1552073</v>
      </c>
      <c r="T56">
        <v>492989</v>
      </c>
      <c r="U56">
        <v>269416</v>
      </c>
      <c r="V56">
        <v>874798</v>
      </c>
      <c r="W56">
        <v>3209281</v>
      </c>
      <c r="X56">
        <v>193931157</v>
      </c>
      <c r="Y56">
        <v>5013791000</v>
      </c>
      <c r="Z56">
        <v>12647227</v>
      </c>
      <c r="AA56">
        <v>1098054</v>
      </c>
      <c r="AB56">
        <v>7390070</v>
      </c>
      <c r="AD56">
        <v>13489643</v>
      </c>
      <c r="AE56">
        <v>1143486</v>
      </c>
      <c r="AF56">
        <v>75956661</v>
      </c>
      <c r="AG56">
        <v>57246339</v>
      </c>
      <c r="AH56">
        <v>0</v>
      </c>
      <c r="AI56">
        <v>27948988</v>
      </c>
      <c r="AJ56">
        <v>2154340</v>
      </c>
      <c r="AK56">
        <v>3026671</v>
      </c>
      <c r="AL56">
        <v>1026049</v>
      </c>
      <c r="AN56">
        <v>899479</v>
      </c>
      <c r="AP56">
        <v>115720</v>
      </c>
      <c r="AQ56">
        <v>921685607</v>
      </c>
      <c r="AR56">
        <v>230061</v>
      </c>
      <c r="AS56">
        <v>2227502</v>
      </c>
      <c r="AT56">
        <v>53242880</v>
      </c>
      <c r="AU56">
        <v>1028644</v>
      </c>
      <c r="AV56">
        <v>818705</v>
      </c>
      <c r="AW56">
        <v>86203699</v>
      </c>
      <c r="AX56">
        <v>267530</v>
      </c>
      <c r="AY56">
        <v>14753854</v>
      </c>
      <c r="AZ56">
        <v>21140088</v>
      </c>
      <c r="BA56">
        <v>329730</v>
      </c>
      <c r="BB56">
        <v>449900</v>
      </c>
      <c r="BC56">
        <v>9937859</v>
      </c>
      <c r="BD56">
        <v>173058</v>
      </c>
      <c r="BE56">
        <v>28050354</v>
      </c>
      <c r="BF56">
        <v>5863217</v>
      </c>
      <c r="BG56">
        <v>974266</v>
      </c>
      <c r="BH56">
        <v>210767</v>
      </c>
      <c r="BI56">
        <v>3963852</v>
      </c>
      <c r="BJ56">
        <v>498484</v>
      </c>
      <c r="BK56">
        <v>450612</v>
      </c>
      <c r="BL56">
        <v>2757238</v>
      </c>
      <c r="BM56">
        <v>2415310</v>
      </c>
      <c r="BN56">
        <v>23417876</v>
      </c>
      <c r="BO56">
        <v>20200445</v>
      </c>
      <c r="BP56">
        <v>1088865441</v>
      </c>
      <c r="BQ56">
        <v>117615</v>
      </c>
      <c r="BR56">
        <v>157229</v>
      </c>
      <c r="BS56">
        <v>1060898</v>
      </c>
      <c r="BU56">
        <v>3806808</v>
      </c>
      <c r="BV56">
        <v>1915498</v>
      </c>
      <c r="BW56">
        <v>48319877</v>
      </c>
      <c r="BX56">
        <v>10303609</v>
      </c>
      <c r="BY56">
        <v>43457775</v>
      </c>
      <c r="BZ56">
        <v>26354245</v>
      </c>
      <c r="CA56">
        <v>1167766</v>
      </c>
      <c r="CB56">
        <v>15897562</v>
      </c>
      <c r="CC56">
        <v>180291</v>
      </c>
      <c r="CD56">
        <v>2475516</v>
      </c>
      <c r="CF56">
        <v>15544297</v>
      </c>
      <c r="CG56">
        <v>19754981</v>
      </c>
      <c r="CH56">
        <v>8134732</v>
      </c>
      <c r="CI56">
        <v>6818409</v>
      </c>
      <c r="CK56">
        <v>118317</v>
      </c>
    </row>
    <row r="57" spans="1:89" x14ac:dyDescent="0.3">
      <c r="A57" s="155">
        <v>335</v>
      </c>
      <c r="B57" t="s">
        <v>109</v>
      </c>
      <c r="D57">
        <v>0</v>
      </c>
      <c r="E57">
        <v>139681</v>
      </c>
      <c r="F57">
        <v>0</v>
      </c>
      <c r="G57">
        <v>0</v>
      </c>
      <c r="I57">
        <v>2834</v>
      </c>
      <c r="J57">
        <v>0</v>
      </c>
      <c r="K57">
        <v>0</v>
      </c>
      <c r="L57">
        <v>0</v>
      </c>
      <c r="M57">
        <v>4269002</v>
      </c>
      <c r="N57">
        <v>0</v>
      </c>
      <c r="O57">
        <v>20976917</v>
      </c>
      <c r="P57">
        <v>14583</v>
      </c>
      <c r="Q57">
        <v>0</v>
      </c>
      <c r="R57">
        <v>0</v>
      </c>
      <c r="S57">
        <v>300000</v>
      </c>
      <c r="T57">
        <v>182791</v>
      </c>
      <c r="U57">
        <v>0</v>
      </c>
      <c r="V57">
        <v>94395</v>
      </c>
      <c r="W57">
        <v>0</v>
      </c>
      <c r="X57">
        <v>0</v>
      </c>
      <c r="Y57">
        <v>131603000</v>
      </c>
      <c r="Z57">
        <v>0</v>
      </c>
      <c r="AA57">
        <v>18484</v>
      </c>
      <c r="AB57">
        <v>27966</v>
      </c>
      <c r="AD57">
        <v>3019</v>
      </c>
      <c r="AE57">
        <v>0</v>
      </c>
      <c r="AF57">
        <v>0</v>
      </c>
      <c r="AG57">
        <v>0</v>
      </c>
      <c r="AH57">
        <v>0</v>
      </c>
      <c r="AI57">
        <v>0</v>
      </c>
      <c r="AJ57">
        <v>0</v>
      </c>
      <c r="AK57">
        <v>0</v>
      </c>
      <c r="AL57">
        <v>58796</v>
      </c>
      <c r="AN57">
        <v>0</v>
      </c>
      <c r="AP57">
        <v>0</v>
      </c>
      <c r="AQ57">
        <v>15689002</v>
      </c>
      <c r="AR57">
        <v>0</v>
      </c>
      <c r="AS57">
        <v>0</v>
      </c>
      <c r="AT57">
        <v>250000</v>
      </c>
      <c r="AU57">
        <v>0</v>
      </c>
      <c r="AV57">
        <v>0</v>
      </c>
      <c r="AW57">
        <v>207491</v>
      </c>
      <c r="AX57">
        <v>0</v>
      </c>
      <c r="AY57">
        <v>0</v>
      </c>
      <c r="AZ57">
        <v>0</v>
      </c>
      <c r="BA57">
        <v>0</v>
      </c>
      <c r="BB57">
        <v>0</v>
      </c>
      <c r="BC57">
        <v>1094709</v>
      </c>
      <c r="BD57">
        <v>29161</v>
      </c>
      <c r="BE57">
        <v>1971220</v>
      </c>
      <c r="BF57">
        <v>0</v>
      </c>
      <c r="BG57">
        <v>39518</v>
      </c>
      <c r="BH57">
        <v>0</v>
      </c>
      <c r="BI57">
        <v>245238</v>
      </c>
      <c r="BJ57">
        <v>0</v>
      </c>
      <c r="BK57">
        <v>131252</v>
      </c>
      <c r="BL57">
        <v>0</v>
      </c>
      <c r="BM57">
        <v>0</v>
      </c>
      <c r="BN57">
        <v>0</v>
      </c>
      <c r="BO57">
        <v>0</v>
      </c>
      <c r="BP57">
        <v>44521911</v>
      </c>
      <c r="BQ57">
        <v>35876</v>
      </c>
      <c r="BR57">
        <v>0</v>
      </c>
      <c r="BS57">
        <v>82522</v>
      </c>
      <c r="BU57">
        <v>0</v>
      </c>
      <c r="BV57">
        <v>0</v>
      </c>
      <c r="BW57">
        <v>0</v>
      </c>
      <c r="BX57">
        <v>0</v>
      </c>
      <c r="BY57">
        <v>2828599</v>
      </c>
      <c r="BZ57">
        <v>0</v>
      </c>
      <c r="CA57">
        <v>0</v>
      </c>
      <c r="CB57">
        <v>0</v>
      </c>
      <c r="CC57">
        <v>132578</v>
      </c>
      <c r="CD57">
        <v>10417</v>
      </c>
      <c r="CF57">
        <v>0</v>
      </c>
      <c r="CG57">
        <v>0</v>
      </c>
      <c r="CH57">
        <v>0</v>
      </c>
      <c r="CI57">
        <v>0</v>
      </c>
      <c r="CK57">
        <v>0</v>
      </c>
    </row>
    <row r="58" spans="1:89" x14ac:dyDescent="0.3">
      <c r="A58" s="155">
        <v>336</v>
      </c>
      <c r="B58" t="s">
        <v>882</v>
      </c>
      <c r="D58">
        <v>296092</v>
      </c>
      <c r="E58">
        <v>210669</v>
      </c>
      <c r="F58">
        <v>22098</v>
      </c>
      <c r="G58">
        <v>36223</v>
      </c>
      <c r="I58">
        <v>287817</v>
      </c>
      <c r="J58">
        <v>56397</v>
      </c>
      <c r="K58">
        <v>2269765</v>
      </c>
      <c r="L58">
        <v>0</v>
      </c>
      <c r="M58">
        <v>6330524</v>
      </c>
      <c r="N58">
        <v>341348</v>
      </c>
      <c r="O58">
        <v>77561123</v>
      </c>
      <c r="P58">
        <v>1014</v>
      </c>
      <c r="Q58">
        <v>4765</v>
      </c>
      <c r="R58">
        <v>75011</v>
      </c>
      <c r="S58">
        <v>324837</v>
      </c>
      <c r="T58">
        <v>299012</v>
      </c>
      <c r="U58">
        <v>9107</v>
      </c>
      <c r="V58">
        <v>98943</v>
      </c>
      <c r="W58">
        <v>34749</v>
      </c>
      <c r="X58">
        <v>24253666</v>
      </c>
      <c r="Y58">
        <v>386817000</v>
      </c>
      <c r="Z58">
        <v>968355</v>
      </c>
      <c r="AA58">
        <v>46768</v>
      </c>
      <c r="AB58">
        <v>500286</v>
      </c>
      <c r="AD58">
        <v>463076</v>
      </c>
      <c r="AE58">
        <v>205634</v>
      </c>
      <c r="AF58">
        <v>3612903</v>
      </c>
      <c r="AG58">
        <v>2988143</v>
      </c>
      <c r="AH58">
        <v>24823</v>
      </c>
      <c r="AI58">
        <v>964794</v>
      </c>
      <c r="AJ58">
        <v>94346</v>
      </c>
      <c r="AK58">
        <v>5068</v>
      </c>
      <c r="AL58">
        <v>70568</v>
      </c>
      <c r="AN58">
        <v>8520</v>
      </c>
      <c r="AP58">
        <v>1299</v>
      </c>
      <c r="AQ58">
        <v>34874789</v>
      </c>
      <c r="AR58">
        <v>34454</v>
      </c>
      <c r="AS58">
        <v>238585</v>
      </c>
      <c r="AT58">
        <v>2045495</v>
      </c>
      <c r="AU58">
        <v>35530</v>
      </c>
      <c r="AV58">
        <v>2784</v>
      </c>
      <c r="AW58">
        <v>11951108</v>
      </c>
      <c r="AX58">
        <v>7813</v>
      </c>
      <c r="AY58">
        <v>900401</v>
      </c>
      <c r="AZ58">
        <v>302471</v>
      </c>
      <c r="BA58">
        <v>552</v>
      </c>
      <c r="BB58">
        <v>2458</v>
      </c>
      <c r="BC58">
        <v>1391659</v>
      </c>
      <c r="BD58">
        <v>29863</v>
      </c>
      <c r="BE58">
        <v>4111599</v>
      </c>
      <c r="BF58">
        <v>27452</v>
      </c>
      <c r="BG58">
        <v>46289</v>
      </c>
      <c r="BH58">
        <v>137827</v>
      </c>
      <c r="BI58">
        <v>384532</v>
      </c>
      <c r="BJ58">
        <v>36137</v>
      </c>
      <c r="BK58">
        <v>106626</v>
      </c>
      <c r="BL58">
        <v>313272</v>
      </c>
      <c r="BM58">
        <v>87603</v>
      </c>
      <c r="BN58">
        <v>3797623</v>
      </c>
      <c r="BO58">
        <v>4257483</v>
      </c>
      <c r="BP58">
        <v>147478223</v>
      </c>
      <c r="BQ58">
        <v>691</v>
      </c>
      <c r="BR58">
        <v>1259</v>
      </c>
      <c r="BS58">
        <v>103603</v>
      </c>
      <c r="BU58">
        <v>104178</v>
      </c>
      <c r="BV58">
        <v>85629</v>
      </c>
      <c r="BW58">
        <v>2569511</v>
      </c>
      <c r="BX58">
        <v>1474896</v>
      </c>
      <c r="BY58">
        <v>5054329</v>
      </c>
      <c r="BZ58">
        <v>1356077</v>
      </c>
      <c r="CA58">
        <v>47655</v>
      </c>
      <c r="CB58">
        <v>311364</v>
      </c>
      <c r="CC58">
        <v>6857</v>
      </c>
      <c r="CD58">
        <v>19374</v>
      </c>
      <c r="CF58">
        <v>2305334</v>
      </c>
      <c r="CG58">
        <v>3037399</v>
      </c>
      <c r="CH58">
        <v>411678</v>
      </c>
      <c r="CI58">
        <v>946131</v>
      </c>
      <c r="CK58">
        <v>647</v>
      </c>
    </row>
    <row r="59" spans="1:89" x14ac:dyDescent="0.3">
      <c r="A59" s="155">
        <v>337</v>
      </c>
      <c r="B59" t="s">
        <v>245</v>
      </c>
      <c r="D59">
        <v>0</v>
      </c>
      <c r="E59">
        <v>1890</v>
      </c>
      <c r="F59">
        <v>0</v>
      </c>
      <c r="G59">
        <v>42743</v>
      </c>
      <c r="I59">
        <v>712666</v>
      </c>
      <c r="J59">
        <v>95312</v>
      </c>
      <c r="K59">
        <v>7357876</v>
      </c>
      <c r="L59">
        <v>0</v>
      </c>
      <c r="M59">
        <v>17168309</v>
      </c>
      <c r="N59">
        <v>913687</v>
      </c>
      <c r="O59">
        <v>250791291</v>
      </c>
      <c r="P59">
        <v>0</v>
      </c>
      <c r="Q59">
        <v>0</v>
      </c>
      <c r="R59">
        <v>257083</v>
      </c>
      <c r="S59">
        <v>0</v>
      </c>
      <c r="T59">
        <v>412500</v>
      </c>
      <c r="U59">
        <v>0</v>
      </c>
      <c r="V59">
        <v>0</v>
      </c>
      <c r="W59">
        <v>0</v>
      </c>
      <c r="X59">
        <v>96486121</v>
      </c>
      <c r="Y59">
        <v>1580194000</v>
      </c>
      <c r="Z59">
        <v>1347344</v>
      </c>
      <c r="AA59">
        <v>278600</v>
      </c>
      <c r="AB59">
        <v>2525998</v>
      </c>
      <c r="AD59">
        <v>277538</v>
      </c>
      <c r="AE59">
        <v>5496</v>
      </c>
      <c r="AF59">
        <v>22564156</v>
      </c>
      <c r="AG59">
        <v>0</v>
      </c>
      <c r="AH59">
        <v>0</v>
      </c>
      <c r="AI59">
        <v>1805613</v>
      </c>
      <c r="AJ59">
        <v>0</v>
      </c>
      <c r="AK59">
        <v>0</v>
      </c>
      <c r="AL59">
        <v>0</v>
      </c>
      <c r="AN59">
        <v>0</v>
      </c>
      <c r="AP59">
        <v>0</v>
      </c>
      <c r="AQ59">
        <v>23083943</v>
      </c>
      <c r="AR59">
        <v>0</v>
      </c>
      <c r="AS59">
        <v>0</v>
      </c>
      <c r="AT59">
        <v>4075089</v>
      </c>
      <c r="AU59">
        <v>0</v>
      </c>
      <c r="AV59">
        <v>0</v>
      </c>
      <c r="AW59">
        <v>24582276</v>
      </c>
      <c r="AX59">
        <v>0</v>
      </c>
      <c r="AY59">
        <v>5194008</v>
      </c>
      <c r="AZ59">
        <v>398000</v>
      </c>
      <c r="BA59">
        <v>0</v>
      </c>
      <c r="BB59">
        <v>0</v>
      </c>
      <c r="BC59">
        <v>1382272</v>
      </c>
      <c r="BD59">
        <v>0</v>
      </c>
      <c r="BE59">
        <v>24539712</v>
      </c>
      <c r="BF59">
        <v>610597</v>
      </c>
      <c r="BG59">
        <v>0</v>
      </c>
      <c r="BH59">
        <v>0</v>
      </c>
      <c r="BI59">
        <v>309997</v>
      </c>
      <c r="BJ59">
        <v>0</v>
      </c>
      <c r="BK59">
        <v>0</v>
      </c>
      <c r="BL59">
        <v>0</v>
      </c>
      <c r="BM59">
        <v>30000</v>
      </c>
      <c r="BN59">
        <v>0</v>
      </c>
      <c r="BO59">
        <v>7174226</v>
      </c>
      <c r="BP59">
        <v>254452310</v>
      </c>
      <c r="BQ59">
        <v>0</v>
      </c>
      <c r="BR59">
        <v>0</v>
      </c>
      <c r="BS59">
        <v>0</v>
      </c>
      <c r="BU59">
        <v>333098</v>
      </c>
      <c r="BV59">
        <v>187898</v>
      </c>
      <c r="BW59">
        <v>3543371</v>
      </c>
      <c r="BX59">
        <v>3975425</v>
      </c>
      <c r="BY59">
        <v>4113872</v>
      </c>
      <c r="BZ59">
        <v>4852444</v>
      </c>
      <c r="CA59">
        <v>379362</v>
      </c>
      <c r="CB59">
        <v>184594</v>
      </c>
      <c r="CC59">
        <v>0</v>
      </c>
      <c r="CD59">
        <v>382950</v>
      </c>
      <c r="CF59">
        <v>0</v>
      </c>
      <c r="CG59">
        <v>0</v>
      </c>
      <c r="CH59">
        <v>70833</v>
      </c>
      <c r="CI59">
        <v>0</v>
      </c>
      <c r="CK59">
        <v>0</v>
      </c>
    </row>
    <row r="60" spans="1:89" x14ac:dyDescent="0.3">
      <c r="A60" s="155">
        <v>338</v>
      </c>
      <c r="B60" t="s">
        <v>108</v>
      </c>
      <c r="D60">
        <v>305323</v>
      </c>
      <c r="E60">
        <v>661295</v>
      </c>
      <c r="F60">
        <v>63680</v>
      </c>
      <c r="G60">
        <v>96204</v>
      </c>
      <c r="I60">
        <v>14916254</v>
      </c>
      <c r="J60">
        <v>1427590</v>
      </c>
      <c r="K60">
        <v>25918098</v>
      </c>
      <c r="L60">
        <v>1332452</v>
      </c>
      <c r="M60">
        <v>56643252</v>
      </c>
      <c r="N60">
        <v>4478580</v>
      </c>
      <c r="O60">
        <v>553696196</v>
      </c>
      <c r="P60">
        <v>15597</v>
      </c>
      <c r="Q60">
        <v>5455</v>
      </c>
      <c r="R60">
        <v>1003737</v>
      </c>
      <c r="S60">
        <v>895709</v>
      </c>
      <c r="T60">
        <v>718540</v>
      </c>
      <c r="U60">
        <v>49412</v>
      </c>
      <c r="V60">
        <v>98943</v>
      </c>
      <c r="W60">
        <v>855850</v>
      </c>
      <c r="X60">
        <v>176786619</v>
      </c>
      <c r="Y60">
        <v>3588035000</v>
      </c>
      <c r="Z60">
        <v>9165544</v>
      </c>
      <c r="AA60">
        <v>310654</v>
      </c>
      <c r="AB60">
        <v>5136749</v>
      </c>
      <c r="AD60">
        <v>1656235</v>
      </c>
      <c r="AE60">
        <v>296868</v>
      </c>
      <c r="AF60">
        <v>41629180</v>
      </c>
      <c r="AG60">
        <v>3665922</v>
      </c>
      <c r="AH60">
        <v>635714</v>
      </c>
      <c r="AI60">
        <v>8931678</v>
      </c>
      <c r="AJ60">
        <v>282490</v>
      </c>
      <c r="AK60">
        <v>899717</v>
      </c>
      <c r="AL60">
        <v>126865</v>
      </c>
      <c r="AN60">
        <v>587611</v>
      </c>
      <c r="AP60">
        <v>1299</v>
      </c>
      <c r="AQ60">
        <v>130183503</v>
      </c>
      <c r="AR60">
        <v>34454</v>
      </c>
      <c r="AS60">
        <v>263333</v>
      </c>
      <c r="AT60">
        <v>9763703</v>
      </c>
      <c r="AU60">
        <v>313241</v>
      </c>
      <c r="AV60">
        <v>203073</v>
      </c>
      <c r="AW60">
        <v>44106139</v>
      </c>
      <c r="AX60">
        <v>112971</v>
      </c>
      <c r="AY60">
        <v>8644749</v>
      </c>
      <c r="AZ60">
        <v>5542268</v>
      </c>
      <c r="BA60">
        <v>13651</v>
      </c>
      <c r="BB60">
        <v>2458</v>
      </c>
      <c r="BC60">
        <v>4234712</v>
      </c>
      <c r="BD60">
        <v>29863</v>
      </c>
      <c r="BE60">
        <v>31499661</v>
      </c>
      <c r="BF60">
        <v>986264</v>
      </c>
      <c r="BG60">
        <v>46289</v>
      </c>
      <c r="BH60">
        <v>137989</v>
      </c>
      <c r="BI60">
        <v>1487412</v>
      </c>
      <c r="BJ60">
        <v>88109</v>
      </c>
      <c r="BK60">
        <v>237878</v>
      </c>
      <c r="BL60">
        <v>940293</v>
      </c>
      <c r="BM60">
        <v>250345</v>
      </c>
      <c r="BN60">
        <v>10960308</v>
      </c>
      <c r="BO60">
        <v>21654682</v>
      </c>
      <c r="BP60">
        <v>611842645</v>
      </c>
      <c r="BQ60">
        <v>36567</v>
      </c>
      <c r="BR60">
        <v>71909</v>
      </c>
      <c r="BS60">
        <v>202349</v>
      </c>
      <c r="BU60">
        <v>689581</v>
      </c>
      <c r="BV60">
        <v>1332973</v>
      </c>
      <c r="BW60">
        <v>24711251</v>
      </c>
      <c r="BX60">
        <v>8794156</v>
      </c>
      <c r="BY60">
        <v>30135696</v>
      </c>
      <c r="BZ60">
        <v>8045405</v>
      </c>
      <c r="CA60">
        <v>564549</v>
      </c>
      <c r="CB60">
        <v>2297082</v>
      </c>
      <c r="CC60">
        <v>146299</v>
      </c>
      <c r="CD60">
        <v>636937</v>
      </c>
      <c r="CF60">
        <v>5454409</v>
      </c>
      <c r="CG60">
        <v>9015884</v>
      </c>
      <c r="CH60">
        <v>1104890</v>
      </c>
      <c r="CI60">
        <v>3164277</v>
      </c>
      <c r="CK60">
        <v>647</v>
      </c>
    </row>
    <row r="61" spans="1:89" x14ac:dyDescent="0.3">
      <c r="A61" s="155">
        <v>339</v>
      </c>
      <c r="B61" t="s">
        <v>181</v>
      </c>
      <c r="D61">
        <v>0</v>
      </c>
      <c r="E61">
        <v>294411</v>
      </c>
      <c r="F61">
        <v>81666</v>
      </c>
      <c r="G61">
        <v>25962</v>
      </c>
      <c r="I61">
        <v>575728</v>
      </c>
      <c r="J61">
        <v>111316</v>
      </c>
      <c r="K61">
        <v>7832562</v>
      </c>
      <c r="L61">
        <v>804223</v>
      </c>
      <c r="M61">
        <v>1578078</v>
      </c>
      <c r="N61">
        <v>265128</v>
      </c>
      <c r="O61">
        <v>37033541</v>
      </c>
      <c r="P61">
        <v>0</v>
      </c>
      <c r="Q61">
        <v>33975</v>
      </c>
      <c r="R61">
        <v>7895</v>
      </c>
      <c r="S61">
        <v>73180</v>
      </c>
      <c r="T61">
        <v>37368</v>
      </c>
      <c r="U61">
        <v>0</v>
      </c>
      <c r="V61">
        <v>60203</v>
      </c>
      <c r="W61">
        <v>296114</v>
      </c>
      <c r="X61">
        <v>7596795</v>
      </c>
      <c r="Y61">
        <v>159237000</v>
      </c>
      <c r="Z61">
        <v>1226538</v>
      </c>
      <c r="AA61">
        <v>156400</v>
      </c>
      <c r="AB61">
        <v>152676</v>
      </c>
      <c r="AD61">
        <v>54021</v>
      </c>
      <c r="AE61">
        <v>101609</v>
      </c>
      <c r="AF61">
        <v>5924277</v>
      </c>
      <c r="AG61">
        <v>73706</v>
      </c>
      <c r="AH61">
        <v>4329</v>
      </c>
      <c r="AI61">
        <v>1555051</v>
      </c>
      <c r="AJ61">
        <v>4050</v>
      </c>
      <c r="AK61">
        <v>254105</v>
      </c>
      <c r="AL61">
        <v>35056</v>
      </c>
      <c r="AN61">
        <v>13863</v>
      </c>
      <c r="AP61">
        <v>0</v>
      </c>
      <c r="AQ61">
        <v>9564197</v>
      </c>
      <c r="AR61">
        <v>0</v>
      </c>
      <c r="AS61">
        <v>200</v>
      </c>
      <c r="AT61">
        <v>814170</v>
      </c>
      <c r="AU61">
        <v>14009</v>
      </c>
      <c r="AV61">
        <v>68140</v>
      </c>
      <c r="AW61">
        <v>800611</v>
      </c>
      <c r="AX61">
        <v>275</v>
      </c>
      <c r="AY61">
        <v>949893</v>
      </c>
      <c r="AZ61">
        <v>477733</v>
      </c>
      <c r="BA61">
        <v>0</v>
      </c>
      <c r="BB61">
        <v>0</v>
      </c>
      <c r="BC61">
        <v>712691</v>
      </c>
      <c r="BD61">
        <v>380</v>
      </c>
      <c r="BE61">
        <v>221315</v>
      </c>
      <c r="BF61">
        <v>141934</v>
      </c>
      <c r="BG61">
        <v>9125</v>
      </c>
      <c r="BH61">
        <v>31529</v>
      </c>
      <c r="BI61">
        <v>96203</v>
      </c>
      <c r="BJ61">
        <v>320</v>
      </c>
      <c r="BK61">
        <v>42420</v>
      </c>
      <c r="BL61">
        <v>80372</v>
      </c>
      <c r="BM61">
        <v>380011</v>
      </c>
      <c r="BN61">
        <v>201810</v>
      </c>
      <c r="BO61">
        <v>1759948</v>
      </c>
      <c r="BP61">
        <v>30896118</v>
      </c>
      <c r="BQ61">
        <v>0</v>
      </c>
      <c r="BR61">
        <v>0</v>
      </c>
      <c r="BS61">
        <v>100</v>
      </c>
      <c r="BU61">
        <v>124745</v>
      </c>
      <c r="BV61">
        <v>0</v>
      </c>
      <c r="BW61">
        <v>2598948</v>
      </c>
      <c r="BX61">
        <v>1220655</v>
      </c>
      <c r="BY61">
        <v>1776462</v>
      </c>
      <c r="BZ61">
        <v>1460057</v>
      </c>
      <c r="CA61">
        <v>0</v>
      </c>
      <c r="CB61">
        <v>681015</v>
      </c>
      <c r="CC61">
        <v>41400</v>
      </c>
      <c r="CD61">
        <v>202429</v>
      </c>
      <c r="CF61">
        <v>712546</v>
      </c>
      <c r="CG61">
        <v>3103846</v>
      </c>
      <c r="CH61">
        <v>227013</v>
      </c>
      <c r="CI61">
        <v>679806</v>
      </c>
      <c r="CK61">
        <v>0</v>
      </c>
    </row>
    <row r="62" spans="1:89" x14ac:dyDescent="0.3">
      <c r="A62" s="155">
        <v>341</v>
      </c>
      <c r="B62" t="s">
        <v>883</v>
      </c>
      <c r="D62">
        <v>923619</v>
      </c>
      <c r="E62">
        <v>1367770</v>
      </c>
      <c r="F62">
        <v>312077</v>
      </c>
      <c r="G62">
        <v>249574</v>
      </c>
      <c r="I62">
        <v>6365490</v>
      </c>
      <c r="J62">
        <v>1767707</v>
      </c>
      <c r="K62">
        <v>12899204</v>
      </c>
      <c r="L62">
        <v>2626581</v>
      </c>
      <c r="M62">
        <v>25996522</v>
      </c>
      <c r="N62">
        <v>3107342</v>
      </c>
      <c r="O62">
        <v>177769482</v>
      </c>
      <c r="P62">
        <v>30808</v>
      </c>
      <c r="Q62">
        <v>164017</v>
      </c>
      <c r="R62">
        <v>1847700</v>
      </c>
      <c r="S62">
        <v>871737</v>
      </c>
      <c r="T62">
        <v>1272718</v>
      </c>
      <c r="U62">
        <v>221006</v>
      </c>
      <c r="V62">
        <v>221170</v>
      </c>
      <c r="W62">
        <v>1260202</v>
      </c>
      <c r="X62">
        <v>72222132</v>
      </c>
      <c r="Y62">
        <v>915319000</v>
      </c>
      <c r="Z62">
        <v>4425074</v>
      </c>
      <c r="AA62">
        <v>431574</v>
      </c>
      <c r="AB62">
        <v>3753740</v>
      </c>
      <c r="AD62">
        <v>3814701</v>
      </c>
      <c r="AE62">
        <v>736868</v>
      </c>
      <c r="AF62">
        <v>27492542</v>
      </c>
      <c r="AG62">
        <v>7493548</v>
      </c>
      <c r="AH62">
        <v>1212211</v>
      </c>
      <c r="AI62">
        <v>8972372</v>
      </c>
      <c r="AJ62">
        <v>1132854</v>
      </c>
      <c r="AK62">
        <v>1419538</v>
      </c>
      <c r="AL62">
        <v>284676</v>
      </c>
      <c r="AN62">
        <v>526355</v>
      </c>
      <c r="AP62">
        <v>32299</v>
      </c>
      <c r="AQ62">
        <v>99481229</v>
      </c>
      <c r="AR62">
        <v>107603</v>
      </c>
      <c r="AS62">
        <v>673156</v>
      </c>
      <c r="AT62">
        <v>10972083</v>
      </c>
      <c r="AU62">
        <v>708828</v>
      </c>
      <c r="AV62">
        <v>485066</v>
      </c>
      <c r="AW62">
        <v>26921809</v>
      </c>
      <c r="AX62">
        <v>113111</v>
      </c>
      <c r="AY62">
        <v>5636775</v>
      </c>
      <c r="AZ62">
        <v>4088264</v>
      </c>
      <c r="BA62">
        <v>173772</v>
      </c>
      <c r="BB62">
        <v>165660</v>
      </c>
      <c r="BC62">
        <v>2640694</v>
      </c>
      <c r="BD62">
        <v>72814</v>
      </c>
      <c r="BE62">
        <v>14602968</v>
      </c>
      <c r="BF62">
        <v>1523840</v>
      </c>
      <c r="BG62">
        <v>235776</v>
      </c>
      <c r="BH62">
        <v>243441</v>
      </c>
      <c r="BI62">
        <v>1954914</v>
      </c>
      <c r="BJ62">
        <v>396521</v>
      </c>
      <c r="BK62">
        <v>131135</v>
      </c>
      <c r="BL62">
        <v>1208998</v>
      </c>
      <c r="BM62">
        <v>186499</v>
      </c>
      <c r="BN62">
        <v>10566144</v>
      </c>
      <c r="BO62">
        <v>9353350</v>
      </c>
      <c r="BP62">
        <v>284383199</v>
      </c>
      <c r="BQ62">
        <v>42423</v>
      </c>
      <c r="BR62">
        <v>90725</v>
      </c>
      <c r="BS62">
        <v>843280</v>
      </c>
      <c r="BU62">
        <v>2048768</v>
      </c>
      <c r="BV62">
        <v>1913078</v>
      </c>
      <c r="BW62">
        <v>13399956</v>
      </c>
      <c r="BX62">
        <v>3944927</v>
      </c>
      <c r="BY62">
        <v>18044249</v>
      </c>
      <c r="BZ62">
        <v>3156392</v>
      </c>
      <c r="CA62">
        <v>407686</v>
      </c>
      <c r="CB62">
        <v>5360083</v>
      </c>
      <c r="CC62">
        <v>147982</v>
      </c>
      <c r="CD62">
        <v>450932</v>
      </c>
      <c r="CF62">
        <v>7578268</v>
      </c>
      <c r="CG62">
        <v>8852545</v>
      </c>
      <c r="CH62">
        <v>1345464</v>
      </c>
      <c r="CI62">
        <v>2881052</v>
      </c>
      <c r="CK62">
        <v>71580</v>
      </c>
    </row>
    <row r="63" spans="1:89" x14ac:dyDescent="0.3">
      <c r="A63" s="155">
        <v>343</v>
      </c>
      <c r="B63" t="s">
        <v>246</v>
      </c>
      <c r="D63">
        <v>0</v>
      </c>
      <c r="E63">
        <v>2012</v>
      </c>
      <c r="F63">
        <v>0</v>
      </c>
      <c r="G63">
        <v>16083</v>
      </c>
      <c r="I63">
        <v>222732</v>
      </c>
      <c r="J63">
        <v>22802</v>
      </c>
      <c r="K63">
        <v>712403</v>
      </c>
      <c r="L63">
        <v>0</v>
      </c>
      <c r="M63">
        <v>780098</v>
      </c>
      <c r="N63">
        <v>167219</v>
      </c>
      <c r="O63">
        <v>17057280</v>
      </c>
      <c r="P63">
        <v>0</v>
      </c>
      <c r="Q63">
        <v>0</v>
      </c>
      <c r="R63">
        <v>79116</v>
      </c>
      <c r="S63">
        <v>0</v>
      </c>
      <c r="T63">
        <v>1112500</v>
      </c>
      <c r="U63">
        <v>0</v>
      </c>
      <c r="V63">
        <v>0</v>
      </c>
      <c r="W63">
        <v>0</v>
      </c>
      <c r="X63">
        <v>5615985</v>
      </c>
      <c r="Y63">
        <v>252310000</v>
      </c>
      <c r="Z63">
        <v>95521</v>
      </c>
      <c r="AA63">
        <v>24469</v>
      </c>
      <c r="AB63">
        <v>393183</v>
      </c>
      <c r="AD63">
        <v>124605</v>
      </c>
      <c r="AE63">
        <v>13934</v>
      </c>
      <c r="AF63">
        <v>3379394</v>
      </c>
      <c r="AG63">
        <v>0</v>
      </c>
      <c r="AH63">
        <v>0</v>
      </c>
      <c r="AI63">
        <v>429347</v>
      </c>
      <c r="AJ63">
        <v>0</v>
      </c>
      <c r="AK63">
        <v>0</v>
      </c>
      <c r="AL63">
        <v>0</v>
      </c>
      <c r="AN63">
        <v>0</v>
      </c>
      <c r="AP63">
        <v>0</v>
      </c>
      <c r="AQ63">
        <v>2386782</v>
      </c>
      <c r="AR63">
        <v>0</v>
      </c>
      <c r="AS63">
        <v>0</v>
      </c>
      <c r="AT63">
        <v>487513</v>
      </c>
      <c r="AU63">
        <v>0</v>
      </c>
      <c r="AV63">
        <v>0</v>
      </c>
      <c r="AW63">
        <v>2141524</v>
      </c>
      <c r="AX63">
        <v>0</v>
      </c>
      <c r="AY63">
        <v>211031</v>
      </c>
      <c r="AZ63">
        <v>49750</v>
      </c>
      <c r="BA63">
        <v>0</v>
      </c>
      <c r="BB63">
        <v>0</v>
      </c>
      <c r="BC63">
        <v>186795</v>
      </c>
      <c r="BD63">
        <v>0</v>
      </c>
      <c r="BE63">
        <v>1595526</v>
      </c>
      <c r="BF63">
        <v>115169</v>
      </c>
      <c r="BG63">
        <v>0</v>
      </c>
      <c r="BH63">
        <v>0</v>
      </c>
      <c r="BI63">
        <v>58438</v>
      </c>
      <c r="BJ63">
        <v>0</v>
      </c>
      <c r="BK63">
        <v>0</v>
      </c>
      <c r="BL63">
        <v>29271</v>
      </c>
      <c r="BM63">
        <v>30000</v>
      </c>
      <c r="BN63">
        <v>0</v>
      </c>
      <c r="BO63">
        <v>2933886</v>
      </c>
      <c r="BP63">
        <v>25061204</v>
      </c>
      <c r="BQ63">
        <v>0</v>
      </c>
      <c r="BR63">
        <v>0</v>
      </c>
      <c r="BS63">
        <v>0</v>
      </c>
      <c r="BU63">
        <v>24875</v>
      </c>
      <c r="BV63">
        <v>0</v>
      </c>
      <c r="BW63">
        <v>2494331</v>
      </c>
      <c r="BX63">
        <v>361703</v>
      </c>
      <c r="BY63">
        <v>1355892</v>
      </c>
      <c r="BZ63">
        <v>236950</v>
      </c>
      <c r="CA63">
        <v>7202</v>
      </c>
      <c r="CB63">
        <v>139488</v>
      </c>
      <c r="CC63">
        <v>0</v>
      </c>
      <c r="CD63">
        <v>62100</v>
      </c>
      <c r="CF63">
        <v>687677</v>
      </c>
      <c r="CG63">
        <v>0</v>
      </c>
      <c r="CH63">
        <v>56666</v>
      </c>
      <c r="CI63">
        <v>0</v>
      </c>
      <c r="CK63">
        <v>0</v>
      </c>
    </row>
    <row r="64" spans="1:89" x14ac:dyDescent="0.3">
      <c r="A64" s="155">
        <v>344</v>
      </c>
      <c r="B64" t="s">
        <v>179</v>
      </c>
      <c r="D64">
        <v>0</v>
      </c>
      <c r="E64">
        <v>75</v>
      </c>
      <c r="F64">
        <v>0</v>
      </c>
      <c r="G64">
        <v>175</v>
      </c>
      <c r="I64">
        <v>31440</v>
      </c>
      <c r="J64">
        <v>5446</v>
      </c>
      <c r="K64">
        <v>103221</v>
      </c>
      <c r="L64">
        <v>0</v>
      </c>
      <c r="M64">
        <v>101595</v>
      </c>
      <c r="N64">
        <v>38696</v>
      </c>
      <c r="O64">
        <v>5725957</v>
      </c>
      <c r="P64">
        <v>0</v>
      </c>
      <c r="Q64">
        <v>0</v>
      </c>
      <c r="R64">
        <v>0</v>
      </c>
      <c r="S64">
        <v>0</v>
      </c>
      <c r="T64">
        <v>27573</v>
      </c>
      <c r="U64">
        <v>0</v>
      </c>
      <c r="V64">
        <v>0</v>
      </c>
      <c r="W64">
        <v>0</v>
      </c>
      <c r="X64">
        <v>2447780</v>
      </c>
      <c r="Y64">
        <v>43466000</v>
      </c>
      <c r="Z64">
        <v>0</v>
      </c>
      <c r="AA64">
        <v>11531</v>
      </c>
      <c r="AB64">
        <v>87462</v>
      </c>
      <c r="AD64">
        <v>10216</v>
      </c>
      <c r="AE64">
        <v>53</v>
      </c>
      <c r="AF64">
        <v>280480</v>
      </c>
      <c r="AG64">
        <v>0</v>
      </c>
      <c r="AH64">
        <v>0</v>
      </c>
      <c r="AI64">
        <v>54622</v>
      </c>
      <c r="AJ64">
        <v>0</v>
      </c>
      <c r="AK64">
        <v>0</v>
      </c>
      <c r="AL64">
        <v>0</v>
      </c>
      <c r="AN64">
        <v>0</v>
      </c>
      <c r="AP64">
        <v>0</v>
      </c>
      <c r="AQ64">
        <v>678918</v>
      </c>
      <c r="AR64">
        <v>0</v>
      </c>
      <c r="AS64">
        <v>0</v>
      </c>
      <c r="AT64">
        <v>96411</v>
      </c>
      <c r="AU64">
        <v>0</v>
      </c>
      <c r="AV64">
        <v>0</v>
      </c>
      <c r="AW64">
        <v>475951</v>
      </c>
      <c r="AX64">
        <v>0</v>
      </c>
      <c r="AY64">
        <v>87717</v>
      </c>
      <c r="AZ64">
        <v>0</v>
      </c>
      <c r="BA64">
        <v>0</v>
      </c>
      <c r="BB64">
        <v>0</v>
      </c>
      <c r="BC64">
        <v>57601</v>
      </c>
      <c r="BD64">
        <v>0</v>
      </c>
      <c r="BE64">
        <v>729842</v>
      </c>
      <c r="BF64">
        <v>0</v>
      </c>
      <c r="BG64">
        <v>0</v>
      </c>
      <c r="BH64">
        <v>13</v>
      </c>
      <c r="BI64">
        <v>8508</v>
      </c>
      <c r="BJ64">
        <v>0</v>
      </c>
      <c r="BK64">
        <v>0</v>
      </c>
      <c r="BL64">
        <v>776</v>
      </c>
      <c r="BM64">
        <v>0</v>
      </c>
      <c r="BN64">
        <v>76625</v>
      </c>
      <c r="BO64">
        <v>0</v>
      </c>
      <c r="BP64">
        <v>5627836</v>
      </c>
      <c r="BQ64">
        <v>0</v>
      </c>
      <c r="BR64">
        <v>0</v>
      </c>
      <c r="BS64">
        <v>0</v>
      </c>
      <c r="BU64">
        <v>11634</v>
      </c>
      <c r="BV64">
        <v>4669</v>
      </c>
      <c r="BW64">
        <v>177595</v>
      </c>
      <c r="BX64">
        <v>59362</v>
      </c>
      <c r="BY64">
        <v>81299</v>
      </c>
      <c r="BZ64">
        <v>68592</v>
      </c>
      <c r="CA64">
        <v>11963</v>
      </c>
      <c r="CB64">
        <v>3365</v>
      </c>
      <c r="CC64">
        <v>0</v>
      </c>
      <c r="CD64">
        <v>0</v>
      </c>
      <c r="CF64">
        <v>9458</v>
      </c>
      <c r="CG64">
        <v>70854</v>
      </c>
      <c r="CH64">
        <v>4359</v>
      </c>
      <c r="CI64">
        <v>0</v>
      </c>
      <c r="CK64">
        <v>0</v>
      </c>
    </row>
    <row r="65" spans="1:89" x14ac:dyDescent="0.3">
      <c r="A65" s="155">
        <v>349</v>
      </c>
      <c r="B65" t="s">
        <v>114</v>
      </c>
      <c r="D65">
        <v>3003</v>
      </c>
      <c r="E65">
        <v>0</v>
      </c>
      <c r="F65">
        <v>63571</v>
      </c>
      <c r="G65">
        <v>218160</v>
      </c>
      <c r="I65">
        <v>5696898</v>
      </c>
      <c r="J65">
        <v>0</v>
      </c>
      <c r="K65">
        <v>31844773</v>
      </c>
      <c r="L65">
        <v>0</v>
      </c>
      <c r="M65">
        <v>0</v>
      </c>
      <c r="N65">
        <v>8563523</v>
      </c>
      <c r="O65">
        <v>317248896</v>
      </c>
      <c r="P65">
        <v>0</v>
      </c>
      <c r="Q65">
        <v>0</v>
      </c>
      <c r="R65">
        <v>0</v>
      </c>
      <c r="S65">
        <v>0</v>
      </c>
      <c r="T65">
        <v>0</v>
      </c>
      <c r="U65">
        <v>0</v>
      </c>
      <c r="V65">
        <v>9724</v>
      </c>
      <c r="W65">
        <v>3322374</v>
      </c>
      <c r="X65">
        <v>0</v>
      </c>
      <c r="Y65">
        <v>2042243000</v>
      </c>
      <c r="Z65">
        <v>8721734</v>
      </c>
      <c r="AA65">
        <v>5301</v>
      </c>
      <c r="AB65">
        <v>0</v>
      </c>
      <c r="AD65">
        <v>1417965</v>
      </c>
      <c r="AE65">
        <v>502228</v>
      </c>
      <c r="AF65">
        <v>45564582</v>
      </c>
      <c r="AG65">
        <v>0</v>
      </c>
      <c r="AH65">
        <v>12550</v>
      </c>
      <c r="AI65">
        <v>9393966</v>
      </c>
      <c r="AJ65">
        <v>804045</v>
      </c>
      <c r="AK65">
        <v>192507</v>
      </c>
      <c r="AL65">
        <v>657443</v>
      </c>
      <c r="AN65">
        <v>2582845</v>
      </c>
      <c r="AP65">
        <v>0</v>
      </c>
      <c r="AQ65">
        <v>30937468</v>
      </c>
      <c r="AR65">
        <v>0</v>
      </c>
      <c r="AS65">
        <v>0</v>
      </c>
      <c r="AT65">
        <v>3610758</v>
      </c>
      <c r="AU65">
        <v>516171</v>
      </c>
      <c r="AV65">
        <v>0</v>
      </c>
      <c r="AW65">
        <v>0</v>
      </c>
      <c r="AX65">
        <v>190099</v>
      </c>
      <c r="AY65">
        <v>0</v>
      </c>
      <c r="AZ65">
        <v>0</v>
      </c>
      <c r="BA65">
        <v>284110</v>
      </c>
      <c r="BB65">
        <v>4750</v>
      </c>
      <c r="BC65">
        <v>3080995</v>
      </c>
      <c r="BD65">
        <v>0</v>
      </c>
      <c r="BE65">
        <v>0</v>
      </c>
      <c r="BF65">
        <v>2635046</v>
      </c>
      <c r="BG65">
        <v>0</v>
      </c>
      <c r="BH65">
        <v>0</v>
      </c>
      <c r="BI65">
        <v>3255023</v>
      </c>
      <c r="BJ65">
        <v>0</v>
      </c>
      <c r="BK65">
        <v>360790</v>
      </c>
      <c r="BL65">
        <v>2541227</v>
      </c>
      <c r="BM65">
        <v>263816</v>
      </c>
      <c r="BN65">
        <v>0</v>
      </c>
      <c r="BO65">
        <v>13142775</v>
      </c>
      <c r="BP65">
        <v>393936480</v>
      </c>
      <c r="BQ65">
        <v>0</v>
      </c>
      <c r="BR65">
        <v>70673</v>
      </c>
      <c r="BS65">
        <v>71248</v>
      </c>
      <c r="BU65">
        <v>2290667</v>
      </c>
      <c r="BV65">
        <v>0</v>
      </c>
      <c r="BW65">
        <v>21238768</v>
      </c>
      <c r="BX65">
        <v>5468048</v>
      </c>
      <c r="BY65">
        <v>9909490</v>
      </c>
      <c r="BZ65">
        <v>1234776</v>
      </c>
      <c r="CA65">
        <v>647615</v>
      </c>
      <c r="CB65">
        <v>2217712</v>
      </c>
      <c r="CC65">
        <v>70067</v>
      </c>
      <c r="CD65">
        <v>1957195</v>
      </c>
      <c r="CF65">
        <v>2666857</v>
      </c>
      <c r="CG65">
        <v>0</v>
      </c>
      <c r="CH65">
        <v>1900228</v>
      </c>
      <c r="CI65">
        <v>0</v>
      </c>
      <c r="CK65">
        <v>20129</v>
      </c>
    </row>
    <row r="66" spans="1:89" x14ac:dyDescent="0.3">
      <c r="A66" s="155">
        <v>350</v>
      </c>
      <c r="B66" t="s">
        <v>884</v>
      </c>
      <c r="D66">
        <v>0</v>
      </c>
      <c r="E66">
        <v>0</v>
      </c>
      <c r="F66">
        <v>65</v>
      </c>
      <c r="G66">
        <v>14565</v>
      </c>
      <c r="I66">
        <v>8337</v>
      </c>
      <c r="J66">
        <v>0</v>
      </c>
      <c r="K66">
        <v>328947</v>
      </c>
      <c r="L66">
        <v>0</v>
      </c>
      <c r="M66">
        <v>0</v>
      </c>
      <c r="N66">
        <v>1234</v>
      </c>
      <c r="O66">
        <v>10382612</v>
      </c>
      <c r="P66">
        <v>0</v>
      </c>
      <c r="Q66">
        <v>0</v>
      </c>
      <c r="R66">
        <v>0</v>
      </c>
      <c r="S66">
        <v>0</v>
      </c>
      <c r="T66">
        <v>0</v>
      </c>
      <c r="U66">
        <v>0</v>
      </c>
      <c r="V66">
        <v>1</v>
      </c>
      <c r="W66">
        <v>4693</v>
      </c>
      <c r="X66">
        <v>0</v>
      </c>
      <c r="Y66">
        <v>3413000</v>
      </c>
      <c r="Z66">
        <v>177129</v>
      </c>
      <c r="AA66">
        <v>326</v>
      </c>
      <c r="AB66">
        <v>0</v>
      </c>
      <c r="AD66">
        <v>96422</v>
      </c>
      <c r="AE66">
        <v>1545</v>
      </c>
      <c r="AF66">
        <v>4356943</v>
      </c>
      <c r="AG66">
        <v>0</v>
      </c>
      <c r="AH66">
        <v>5897</v>
      </c>
      <c r="AI66">
        <v>7534</v>
      </c>
      <c r="AJ66">
        <v>392</v>
      </c>
      <c r="AK66">
        <v>657</v>
      </c>
      <c r="AL66">
        <v>0</v>
      </c>
      <c r="AN66">
        <v>125995</v>
      </c>
      <c r="AP66">
        <v>0</v>
      </c>
      <c r="AQ66">
        <v>28902</v>
      </c>
      <c r="AR66">
        <v>0</v>
      </c>
      <c r="AS66">
        <v>0</v>
      </c>
      <c r="AT66">
        <v>10137</v>
      </c>
      <c r="AU66">
        <v>116459</v>
      </c>
      <c r="AV66">
        <v>0</v>
      </c>
      <c r="AW66">
        <v>0</v>
      </c>
      <c r="AX66">
        <v>11</v>
      </c>
      <c r="AY66">
        <v>0</v>
      </c>
      <c r="AZ66">
        <v>0</v>
      </c>
      <c r="BA66">
        <v>34</v>
      </c>
      <c r="BB66">
        <v>0</v>
      </c>
      <c r="BC66">
        <v>398851</v>
      </c>
      <c r="BD66">
        <v>0</v>
      </c>
      <c r="BE66">
        <v>0</v>
      </c>
      <c r="BF66">
        <v>49386</v>
      </c>
      <c r="BG66">
        <v>0</v>
      </c>
      <c r="BH66">
        <v>0</v>
      </c>
      <c r="BI66">
        <v>59105</v>
      </c>
      <c r="BJ66">
        <v>0</v>
      </c>
      <c r="BK66">
        <v>0</v>
      </c>
      <c r="BL66">
        <v>26750</v>
      </c>
      <c r="BM66">
        <v>596</v>
      </c>
      <c r="BN66">
        <v>0</v>
      </c>
      <c r="BO66">
        <v>509627</v>
      </c>
      <c r="BP66">
        <v>9190892</v>
      </c>
      <c r="BQ66">
        <v>0</v>
      </c>
      <c r="BR66">
        <v>0</v>
      </c>
      <c r="BS66">
        <v>76</v>
      </c>
      <c r="BU66">
        <v>173</v>
      </c>
      <c r="BV66">
        <v>0</v>
      </c>
      <c r="BW66">
        <v>33029</v>
      </c>
      <c r="BX66">
        <v>227614</v>
      </c>
      <c r="BY66">
        <v>931783</v>
      </c>
      <c r="BZ66">
        <v>4023</v>
      </c>
      <c r="CA66">
        <v>92</v>
      </c>
      <c r="CB66">
        <v>22886</v>
      </c>
      <c r="CC66">
        <v>1705</v>
      </c>
      <c r="CD66">
        <v>86351</v>
      </c>
      <c r="CF66">
        <v>1966</v>
      </c>
      <c r="CG66">
        <v>0</v>
      </c>
      <c r="CH66">
        <v>0</v>
      </c>
      <c r="CI66">
        <v>0</v>
      </c>
      <c r="CK66">
        <v>438</v>
      </c>
    </row>
    <row r="67" spans="1:89" x14ac:dyDescent="0.3">
      <c r="A67" s="155">
        <v>351</v>
      </c>
      <c r="B67" t="s">
        <v>223</v>
      </c>
      <c r="D67">
        <v>0</v>
      </c>
      <c r="E67">
        <v>0</v>
      </c>
      <c r="F67">
        <v>0</v>
      </c>
      <c r="G67">
        <v>0</v>
      </c>
      <c r="I67">
        <v>239888</v>
      </c>
      <c r="J67">
        <v>0</v>
      </c>
      <c r="K67">
        <v>1107029</v>
      </c>
      <c r="L67">
        <v>0</v>
      </c>
      <c r="M67">
        <v>0</v>
      </c>
      <c r="N67">
        <v>27922</v>
      </c>
      <c r="O67">
        <v>16626590</v>
      </c>
      <c r="P67">
        <v>0</v>
      </c>
      <c r="Q67">
        <v>0</v>
      </c>
      <c r="R67">
        <v>0</v>
      </c>
      <c r="S67">
        <v>0</v>
      </c>
      <c r="T67">
        <v>0</v>
      </c>
      <c r="U67">
        <v>0</v>
      </c>
      <c r="V67">
        <v>0</v>
      </c>
      <c r="W67">
        <v>60545</v>
      </c>
      <c r="X67">
        <v>0</v>
      </c>
      <c r="Y67">
        <v>47821000</v>
      </c>
      <c r="Z67">
        <v>136319</v>
      </c>
      <c r="AA67">
        <v>0</v>
      </c>
      <c r="AB67">
        <v>0</v>
      </c>
      <c r="AD67">
        <v>12359</v>
      </c>
      <c r="AE67">
        <v>0</v>
      </c>
      <c r="AF67">
        <v>766350</v>
      </c>
      <c r="AG67">
        <v>0</v>
      </c>
      <c r="AH67">
        <v>0</v>
      </c>
      <c r="AI67">
        <v>170842</v>
      </c>
      <c r="AJ67">
        <v>73</v>
      </c>
      <c r="AK67">
        <v>0</v>
      </c>
      <c r="AL67">
        <v>17597</v>
      </c>
      <c r="AN67">
        <v>65155</v>
      </c>
      <c r="AP67">
        <v>0</v>
      </c>
      <c r="AQ67">
        <v>4321055</v>
      </c>
      <c r="AR67">
        <v>0</v>
      </c>
      <c r="AS67">
        <v>0</v>
      </c>
      <c r="AT67">
        <v>5314</v>
      </c>
      <c r="AU67">
        <v>0</v>
      </c>
      <c r="AV67">
        <v>0</v>
      </c>
      <c r="AW67">
        <v>0</v>
      </c>
      <c r="AX67">
        <v>0</v>
      </c>
      <c r="AY67">
        <v>0</v>
      </c>
      <c r="AZ67">
        <v>0</v>
      </c>
      <c r="BA67">
        <v>0</v>
      </c>
      <c r="BB67">
        <v>0</v>
      </c>
      <c r="BC67">
        <v>88311</v>
      </c>
      <c r="BD67">
        <v>0</v>
      </c>
      <c r="BE67">
        <v>0</v>
      </c>
      <c r="BF67">
        <v>35156</v>
      </c>
      <c r="BG67">
        <v>0</v>
      </c>
      <c r="BH67">
        <v>0</v>
      </c>
      <c r="BI67">
        <v>44856</v>
      </c>
      <c r="BJ67">
        <v>0</v>
      </c>
      <c r="BK67">
        <v>0</v>
      </c>
      <c r="BL67">
        <v>0</v>
      </c>
      <c r="BM67">
        <v>0</v>
      </c>
      <c r="BN67">
        <v>0</v>
      </c>
      <c r="BO67">
        <v>157266</v>
      </c>
      <c r="BP67">
        <v>9680478</v>
      </c>
      <c r="BQ67">
        <v>0</v>
      </c>
      <c r="BR67">
        <v>0</v>
      </c>
      <c r="BS67">
        <v>0</v>
      </c>
      <c r="BU67">
        <v>58369</v>
      </c>
      <c r="BV67">
        <v>0</v>
      </c>
      <c r="BW67">
        <v>118122</v>
      </c>
      <c r="BX67">
        <v>72384</v>
      </c>
      <c r="BY67">
        <v>35536</v>
      </c>
      <c r="BZ67">
        <v>35335</v>
      </c>
      <c r="CA67">
        <v>9287</v>
      </c>
      <c r="CB67">
        <v>55874</v>
      </c>
      <c r="CC67">
        <v>0</v>
      </c>
      <c r="CD67">
        <v>49665</v>
      </c>
      <c r="CF67">
        <v>0</v>
      </c>
      <c r="CG67">
        <v>0</v>
      </c>
      <c r="CH67">
        <v>80800</v>
      </c>
      <c r="CI67">
        <v>0</v>
      </c>
      <c r="CK67">
        <v>0</v>
      </c>
    </row>
    <row r="68" spans="1:89" x14ac:dyDescent="0.3">
      <c r="A68" s="155">
        <v>352</v>
      </c>
      <c r="B68" t="s">
        <v>225</v>
      </c>
      <c r="D68">
        <v>0</v>
      </c>
      <c r="E68">
        <v>0</v>
      </c>
      <c r="F68">
        <v>0</v>
      </c>
      <c r="G68">
        <v>0</v>
      </c>
      <c r="I68">
        <v>0</v>
      </c>
      <c r="J68">
        <v>0</v>
      </c>
      <c r="K68">
        <v>0</v>
      </c>
      <c r="L68">
        <v>0</v>
      </c>
      <c r="M68">
        <v>0</v>
      </c>
      <c r="N68">
        <v>0</v>
      </c>
      <c r="O68">
        <v>70000</v>
      </c>
      <c r="P68">
        <v>0</v>
      </c>
      <c r="Q68">
        <v>0</v>
      </c>
      <c r="R68">
        <v>0</v>
      </c>
      <c r="S68">
        <v>0</v>
      </c>
      <c r="T68">
        <v>0</v>
      </c>
      <c r="U68">
        <v>0</v>
      </c>
      <c r="V68">
        <v>69550</v>
      </c>
      <c r="W68">
        <v>0</v>
      </c>
      <c r="X68">
        <v>0</v>
      </c>
      <c r="Y68">
        <v>0</v>
      </c>
      <c r="Z68">
        <v>0</v>
      </c>
      <c r="AA68">
        <v>0</v>
      </c>
      <c r="AB68">
        <v>0</v>
      </c>
      <c r="AD68">
        <v>0</v>
      </c>
      <c r="AE68">
        <v>0</v>
      </c>
      <c r="AF68">
        <v>0</v>
      </c>
      <c r="AG68">
        <v>0</v>
      </c>
      <c r="AH68">
        <v>0</v>
      </c>
      <c r="AI68">
        <v>952332</v>
      </c>
      <c r="AJ68">
        <v>0</v>
      </c>
      <c r="AK68">
        <v>0</v>
      </c>
      <c r="AL68">
        <v>0</v>
      </c>
      <c r="AN68">
        <v>0</v>
      </c>
      <c r="AP68">
        <v>0</v>
      </c>
      <c r="AQ68">
        <v>0</v>
      </c>
      <c r="AR68">
        <v>0</v>
      </c>
      <c r="AS68">
        <v>0</v>
      </c>
      <c r="AT68">
        <v>0</v>
      </c>
      <c r="AU68">
        <v>0</v>
      </c>
      <c r="AV68">
        <v>0</v>
      </c>
      <c r="AW68">
        <v>0</v>
      </c>
      <c r="AX68">
        <v>0</v>
      </c>
      <c r="AY68">
        <v>0</v>
      </c>
      <c r="AZ68">
        <v>0</v>
      </c>
      <c r="BA68">
        <v>0</v>
      </c>
      <c r="BB68">
        <v>19067</v>
      </c>
      <c r="BC68">
        <v>0</v>
      </c>
      <c r="BD68">
        <v>0</v>
      </c>
      <c r="BE68">
        <v>0</v>
      </c>
      <c r="BF68">
        <v>0</v>
      </c>
      <c r="BG68">
        <v>0</v>
      </c>
      <c r="BH68">
        <v>0</v>
      </c>
      <c r="BI68">
        <v>0</v>
      </c>
      <c r="BJ68">
        <v>0</v>
      </c>
      <c r="BK68">
        <v>0</v>
      </c>
      <c r="BL68">
        <v>0</v>
      </c>
      <c r="BM68">
        <v>0</v>
      </c>
      <c r="BN68">
        <v>0</v>
      </c>
      <c r="BO68">
        <v>0</v>
      </c>
      <c r="BP68">
        <v>0</v>
      </c>
      <c r="BQ68">
        <v>0</v>
      </c>
      <c r="BR68">
        <v>0</v>
      </c>
      <c r="BS68">
        <v>11446</v>
      </c>
      <c r="BU68">
        <v>0</v>
      </c>
      <c r="BV68">
        <v>0</v>
      </c>
      <c r="BW68">
        <v>134371</v>
      </c>
      <c r="BX68">
        <v>0</v>
      </c>
      <c r="BY68">
        <v>0</v>
      </c>
      <c r="BZ68">
        <v>0</v>
      </c>
      <c r="CA68">
        <v>35375</v>
      </c>
      <c r="CB68">
        <v>0</v>
      </c>
      <c r="CC68">
        <v>0</v>
      </c>
      <c r="CD68">
        <v>99612</v>
      </c>
      <c r="CF68">
        <v>0</v>
      </c>
      <c r="CG68">
        <v>0</v>
      </c>
      <c r="CH68">
        <v>0</v>
      </c>
      <c r="CI68">
        <v>0</v>
      </c>
      <c r="CK68">
        <v>0</v>
      </c>
    </row>
    <row r="69" spans="1:89" x14ac:dyDescent="0.3">
      <c r="A69" s="155">
        <v>353</v>
      </c>
      <c r="B69" t="s">
        <v>226</v>
      </c>
      <c r="D69">
        <v>0</v>
      </c>
      <c r="E69">
        <v>0</v>
      </c>
      <c r="F69">
        <v>0</v>
      </c>
      <c r="G69">
        <v>0</v>
      </c>
      <c r="I69">
        <v>0</v>
      </c>
      <c r="J69">
        <v>0</v>
      </c>
      <c r="K69">
        <v>400000</v>
      </c>
      <c r="L69">
        <v>0</v>
      </c>
      <c r="M69">
        <v>0</v>
      </c>
      <c r="N69">
        <v>0</v>
      </c>
      <c r="O69">
        <v>1000000</v>
      </c>
      <c r="P69">
        <v>0</v>
      </c>
      <c r="Q69">
        <v>0</v>
      </c>
      <c r="R69">
        <v>0</v>
      </c>
      <c r="S69">
        <v>0</v>
      </c>
      <c r="T69">
        <v>0</v>
      </c>
      <c r="U69">
        <v>0</v>
      </c>
      <c r="V69">
        <v>0</v>
      </c>
      <c r="W69">
        <v>0</v>
      </c>
      <c r="X69">
        <v>0</v>
      </c>
      <c r="Y69">
        <v>277000</v>
      </c>
      <c r="Z69">
        <v>0</v>
      </c>
      <c r="AA69">
        <v>0</v>
      </c>
      <c r="AB69">
        <v>0</v>
      </c>
      <c r="AD69">
        <v>22000</v>
      </c>
      <c r="AE69">
        <v>0</v>
      </c>
      <c r="AF69">
        <v>0</v>
      </c>
      <c r="AG69">
        <v>0</v>
      </c>
      <c r="AH69">
        <v>0</v>
      </c>
      <c r="AI69">
        <v>0</v>
      </c>
      <c r="AJ69">
        <v>0</v>
      </c>
      <c r="AK69">
        <v>0</v>
      </c>
      <c r="AL69">
        <v>0</v>
      </c>
      <c r="AN69">
        <v>0</v>
      </c>
      <c r="AP69">
        <v>0</v>
      </c>
      <c r="AQ69">
        <v>3112596</v>
      </c>
      <c r="AR69">
        <v>0</v>
      </c>
      <c r="AS69">
        <v>0</v>
      </c>
      <c r="AT69">
        <v>200000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U69">
        <v>0</v>
      </c>
      <c r="BV69">
        <v>0</v>
      </c>
      <c r="BW69">
        <v>0</v>
      </c>
      <c r="BX69">
        <v>0</v>
      </c>
      <c r="BY69">
        <v>0</v>
      </c>
      <c r="BZ69">
        <v>0</v>
      </c>
      <c r="CA69">
        <v>0</v>
      </c>
      <c r="CB69">
        <v>0</v>
      </c>
      <c r="CC69">
        <v>0</v>
      </c>
      <c r="CD69">
        <v>0</v>
      </c>
      <c r="CF69">
        <v>0</v>
      </c>
      <c r="CG69">
        <v>0</v>
      </c>
      <c r="CH69">
        <v>0</v>
      </c>
      <c r="CI69">
        <v>0</v>
      </c>
      <c r="CK69">
        <v>0</v>
      </c>
    </row>
    <row r="70" spans="1:89" x14ac:dyDescent="0.3">
      <c r="A70" s="155">
        <v>356</v>
      </c>
      <c r="B70" t="s">
        <v>305</v>
      </c>
      <c r="D70">
        <v>0</v>
      </c>
      <c r="E70">
        <v>0</v>
      </c>
      <c r="F70">
        <v>0</v>
      </c>
      <c r="G70">
        <v>0</v>
      </c>
      <c r="I70">
        <v>0</v>
      </c>
      <c r="J70">
        <v>0</v>
      </c>
      <c r="K70">
        <v>0</v>
      </c>
      <c r="L70">
        <v>0</v>
      </c>
      <c r="M70">
        <v>0</v>
      </c>
      <c r="N70">
        <v>0</v>
      </c>
      <c r="O70">
        <v>0</v>
      </c>
      <c r="P70">
        <v>0</v>
      </c>
      <c r="Q70">
        <v>0</v>
      </c>
      <c r="R70">
        <v>0</v>
      </c>
      <c r="S70">
        <v>0</v>
      </c>
      <c r="T70">
        <v>0</v>
      </c>
      <c r="U70">
        <v>0</v>
      </c>
      <c r="V70">
        <v>0</v>
      </c>
      <c r="W70">
        <v>0</v>
      </c>
      <c r="X70">
        <v>0</v>
      </c>
      <c r="Y70">
        <v>0</v>
      </c>
      <c r="Z70">
        <v>5029830</v>
      </c>
      <c r="AA70">
        <v>0</v>
      </c>
      <c r="AB70">
        <v>0</v>
      </c>
      <c r="AD70">
        <v>0</v>
      </c>
      <c r="AE70">
        <v>0</v>
      </c>
      <c r="AF70">
        <v>24882990</v>
      </c>
      <c r="AG70">
        <v>0</v>
      </c>
      <c r="AH70">
        <v>0</v>
      </c>
      <c r="AI70">
        <v>0</v>
      </c>
      <c r="AJ70">
        <v>0</v>
      </c>
      <c r="AK70">
        <v>0</v>
      </c>
      <c r="AL70">
        <v>0</v>
      </c>
      <c r="AN70">
        <v>0</v>
      </c>
      <c r="AP70">
        <v>0</v>
      </c>
      <c r="AQ70">
        <v>163310674</v>
      </c>
      <c r="AR70">
        <v>0</v>
      </c>
      <c r="AS70">
        <v>0</v>
      </c>
      <c r="AT70">
        <v>0</v>
      </c>
      <c r="AU70">
        <v>0</v>
      </c>
      <c r="AV70">
        <v>0</v>
      </c>
      <c r="AW70">
        <v>12652340</v>
      </c>
      <c r="AX70">
        <v>0</v>
      </c>
      <c r="AY70">
        <v>0</v>
      </c>
      <c r="AZ70">
        <v>0</v>
      </c>
      <c r="BA70">
        <v>0</v>
      </c>
      <c r="BB70">
        <v>0</v>
      </c>
      <c r="BC70">
        <v>11212466</v>
      </c>
      <c r="BD70">
        <v>0</v>
      </c>
      <c r="BE70">
        <v>0</v>
      </c>
      <c r="BF70">
        <v>0</v>
      </c>
      <c r="BG70">
        <v>0</v>
      </c>
      <c r="BH70">
        <v>0</v>
      </c>
      <c r="BI70">
        <v>0</v>
      </c>
      <c r="BJ70">
        <v>0</v>
      </c>
      <c r="BK70">
        <v>0</v>
      </c>
      <c r="BL70">
        <v>1510822</v>
      </c>
      <c r="BM70">
        <v>0</v>
      </c>
      <c r="BN70">
        <v>0</v>
      </c>
      <c r="BO70">
        <v>0</v>
      </c>
      <c r="BP70">
        <v>0</v>
      </c>
      <c r="BQ70">
        <v>0</v>
      </c>
      <c r="BR70">
        <v>0</v>
      </c>
      <c r="BS70">
        <v>0</v>
      </c>
      <c r="BU70">
        <v>0</v>
      </c>
      <c r="BV70">
        <v>0</v>
      </c>
      <c r="BW70">
        <v>0</v>
      </c>
      <c r="BX70">
        <v>11774342</v>
      </c>
      <c r="BY70">
        <v>52349990</v>
      </c>
      <c r="BZ70">
        <v>0</v>
      </c>
      <c r="CA70">
        <v>0</v>
      </c>
      <c r="CB70">
        <v>0</v>
      </c>
      <c r="CC70">
        <v>0</v>
      </c>
      <c r="CD70">
        <v>0</v>
      </c>
      <c r="CF70">
        <v>0</v>
      </c>
      <c r="CG70">
        <v>0</v>
      </c>
      <c r="CH70">
        <v>2981022</v>
      </c>
      <c r="CI70">
        <v>0</v>
      </c>
      <c r="CK70">
        <v>0</v>
      </c>
    </row>
    <row r="71" spans="1:89" x14ac:dyDescent="0.3">
      <c r="A71" s="155">
        <v>357</v>
      </c>
      <c r="B71" t="s">
        <v>306</v>
      </c>
      <c r="D71">
        <v>0</v>
      </c>
      <c r="E71">
        <v>0</v>
      </c>
      <c r="F71">
        <v>0</v>
      </c>
      <c r="G71">
        <v>0</v>
      </c>
      <c r="I71">
        <v>0</v>
      </c>
      <c r="J71">
        <v>0</v>
      </c>
      <c r="K71">
        <v>0</v>
      </c>
      <c r="L71">
        <v>0</v>
      </c>
      <c r="M71">
        <v>0</v>
      </c>
      <c r="N71">
        <v>0</v>
      </c>
      <c r="O71">
        <v>0</v>
      </c>
      <c r="P71">
        <v>0</v>
      </c>
      <c r="Q71">
        <v>0</v>
      </c>
      <c r="R71">
        <v>0</v>
      </c>
      <c r="S71">
        <v>0</v>
      </c>
      <c r="T71">
        <v>0</v>
      </c>
      <c r="U71">
        <v>0</v>
      </c>
      <c r="V71">
        <v>0</v>
      </c>
      <c r="W71">
        <v>0</v>
      </c>
      <c r="X71">
        <v>0</v>
      </c>
      <c r="Y71">
        <v>0</v>
      </c>
      <c r="Z71">
        <v>3209042</v>
      </c>
      <c r="AA71">
        <v>0</v>
      </c>
      <c r="AB71">
        <v>0</v>
      </c>
      <c r="AD71">
        <v>0</v>
      </c>
      <c r="AE71">
        <v>0</v>
      </c>
      <c r="AF71">
        <v>8872537</v>
      </c>
      <c r="AG71">
        <v>0</v>
      </c>
      <c r="AH71">
        <v>0</v>
      </c>
      <c r="AI71">
        <v>0</v>
      </c>
      <c r="AJ71">
        <v>0</v>
      </c>
      <c r="AK71">
        <v>0</v>
      </c>
      <c r="AL71">
        <v>0</v>
      </c>
      <c r="AN71">
        <v>0</v>
      </c>
      <c r="AP71">
        <v>0</v>
      </c>
      <c r="AQ71">
        <v>98351462</v>
      </c>
      <c r="AR71">
        <v>0</v>
      </c>
      <c r="AS71">
        <v>0</v>
      </c>
      <c r="AT71">
        <v>0</v>
      </c>
      <c r="AU71">
        <v>0</v>
      </c>
      <c r="AV71">
        <v>0</v>
      </c>
      <c r="AW71">
        <v>7812892</v>
      </c>
      <c r="AX71">
        <v>0</v>
      </c>
      <c r="AY71">
        <v>0</v>
      </c>
      <c r="AZ71">
        <v>0</v>
      </c>
      <c r="BA71">
        <v>0</v>
      </c>
      <c r="BB71">
        <v>0</v>
      </c>
      <c r="BC71">
        <v>6414792</v>
      </c>
      <c r="BD71">
        <v>0</v>
      </c>
      <c r="BE71">
        <v>0</v>
      </c>
      <c r="BF71">
        <v>0</v>
      </c>
      <c r="BG71">
        <v>0</v>
      </c>
      <c r="BH71">
        <v>0</v>
      </c>
      <c r="BI71">
        <v>0</v>
      </c>
      <c r="BJ71">
        <v>0</v>
      </c>
      <c r="BK71">
        <v>0</v>
      </c>
      <c r="BL71">
        <v>1305492</v>
      </c>
      <c r="BM71">
        <v>0</v>
      </c>
      <c r="BN71">
        <v>0</v>
      </c>
      <c r="BO71">
        <v>0</v>
      </c>
      <c r="BP71">
        <v>0</v>
      </c>
      <c r="BQ71">
        <v>0</v>
      </c>
      <c r="BR71">
        <v>0</v>
      </c>
      <c r="BS71">
        <v>0</v>
      </c>
      <c r="BU71">
        <v>0</v>
      </c>
      <c r="BV71">
        <v>0</v>
      </c>
      <c r="BW71">
        <v>0</v>
      </c>
      <c r="BX71">
        <v>8577995</v>
      </c>
      <c r="BY71">
        <v>34312056</v>
      </c>
      <c r="BZ71">
        <v>0</v>
      </c>
      <c r="CA71">
        <v>0</v>
      </c>
      <c r="CB71">
        <v>0</v>
      </c>
      <c r="CC71">
        <v>0</v>
      </c>
      <c r="CD71">
        <v>0</v>
      </c>
      <c r="CF71">
        <v>0</v>
      </c>
      <c r="CG71">
        <v>0</v>
      </c>
      <c r="CH71">
        <v>2803806</v>
      </c>
      <c r="CI71">
        <v>0</v>
      </c>
      <c r="CK71">
        <v>0</v>
      </c>
    </row>
    <row r="72" spans="1:89" x14ac:dyDescent="0.3">
      <c r="A72" s="155">
        <v>359</v>
      </c>
      <c r="B72" t="s">
        <v>247</v>
      </c>
      <c r="D72">
        <v>0</v>
      </c>
      <c r="E72">
        <v>0</v>
      </c>
      <c r="F72">
        <v>0</v>
      </c>
      <c r="G72">
        <v>0</v>
      </c>
      <c r="I72">
        <v>0</v>
      </c>
      <c r="J72">
        <v>0</v>
      </c>
      <c r="K72">
        <v>0</v>
      </c>
      <c r="L72">
        <v>0</v>
      </c>
      <c r="M72">
        <v>0</v>
      </c>
      <c r="N72">
        <v>0</v>
      </c>
      <c r="O72">
        <v>0</v>
      </c>
      <c r="P72">
        <v>0</v>
      </c>
      <c r="Q72">
        <v>0</v>
      </c>
      <c r="R72">
        <v>0</v>
      </c>
      <c r="S72">
        <v>0</v>
      </c>
      <c r="T72">
        <v>0</v>
      </c>
      <c r="U72">
        <v>0</v>
      </c>
      <c r="V72">
        <v>0</v>
      </c>
      <c r="W72">
        <v>0</v>
      </c>
      <c r="X72">
        <v>0</v>
      </c>
      <c r="Y72">
        <v>0</v>
      </c>
      <c r="Z72">
        <v>0</v>
      </c>
      <c r="AA72">
        <v>0</v>
      </c>
      <c r="AB72">
        <v>0</v>
      </c>
      <c r="AD72">
        <v>0</v>
      </c>
      <c r="AE72">
        <v>0</v>
      </c>
      <c r="AF72">
        <v>5059468</v>
      </c>
      <c r="AG72">
        <v>0</v>
      </c>
      <c r="AH72">
        <v>0</v>
      </c>
      <c r="AI72">
        <v>0</v>
      </c>
      <c r="AJ72">
        <v>0</v>
      </c>
      <c r="AK72">
        <v>0</v>
      </c>
      <c r="AL72">
        <v>0</v>
      </c>
      <c r="AN72">
        <v>0</v>
      </c>
      <c r="AP72">
        <v>0</v>
      </c>
      <c r="AQ72">
        <v>9935165</v>
      </c>
      <c r="AR72">
        <v>0</v>
      </c>
      <c r="AS72">
        <v>0</v>
      </c>
      <c r="AT72">
        <v>0</v>
      </c>
      <c r="AU72">
        <v>0</v>
      </c>
      <c r="AV72">
        <v>0</v>
      </c>
      <c r="AW72">
        <v>201000</v>
      </c>
      <c r="AX72">
        <v>0</v>
      </c>
      <c r="AY72">
        <v>0</v>
      </c>
      <c r="AZ72">
        <v>0</v>
      </c>
      <c r="BA72">
        <v>0</v>
      </c>
      <c r="BB72">
        <v>0</v>
      </c>
      <c r="BC72">
        <v>89423</v>
      </c>
      <c r="BD72">
        <v>0</v>
      </c>
      <c r="BE72">
        <v>0</v>
      </c>
      <c r="BF72">
        <v>0</v>
      </c>
      <c r="BG72">
        <v>0</v>
      </c>
      <c r="BH72">
        <v>0</v>
      </c>
      <c r="BI72">
        <v>0</v>
      </c>
      <c r="BJ72">
        <v>0</v>
      </c>
      <c r="BK72">
        <v>0</v>
      </c>
      <c r="BL72">
        <v>0</v>
      </c>
      <c r="BM72">
        <v>0</v>
      </c>
      <c r="BN72">
        <v>0</v>
      </c>
      <c r="BO72">
        <v>0</v>
      </c>
      <c r="BP72">
        <v>0</v>
      </c>
      <c r="BQ72">
        <v>0</v>
      </c>
      <c r="BR72">
        <v>0</v>
      </c>
      <c r="BS72">
        <v>0</v>
      </c>
      <c r="BU72">
        <v>0</v>
      </c>
      <c r="BV72">
        <v>0</v>
      </c>
      <c r="BW72">
        <v>0</v>
      </c>
      <c r="BX72">
        <v>127917</v>
      </c>
      <c r="BY72">
        <v>1525922</v>
      </c>
      <c r="BZ72">
        <v>0</v>
      </c>
      <c r="CA72">
        <v>0</v>
      </c>
      <c r="CB72">
        <v>0</v>
      </c>
      <c r="CC72">
        <v>0</v>
      </c>
      <c r="CD72">
        <v>0</v>
      </c>
      <c r="CF72">
        <v>0</v>
      </c>
      <c r="CG72">
        <v>0</v>
      </c>
      <c r="CH72">
        <v>0</v>
      </c>
      <c r="CI72">
        <v>0</v>
      </c>
      <c r="CK72">
        <v>0</v>
      </c>
    </row>
    <row r="73" spans="1:89" x14ac:dyDescent="0.3">
      <c r="A73" s="155">
        <v>360</v>
      </c>
      <c r="B73" t="s">
        <v>117</v>
      </c>
      <c r="D73">
        <v>0</v>
      </c>
      <c r="E73">
        <v>0</v>
      </c>
      <c r="F73">
        <v>0</v>
      </c>
      <c r="G73">
        <v>0</v>
      </c>
      <c r="I73">
        <v>0</v>
      </c>
      <c r="J73">
        <v>0</v>
      </c>
      <c r="K73">
        <v>0</v>
      </c>
      <c r="L73">
        <v>0</v>
      </c>
      <c r="M73">
        <v>0</v>
      </c>
      <c r="N73">
        <v>0</v>
      </c>
      <c r="O73">
        <v>0</v>
      </c>
      <c r="P73">
        <v>0</v>
      </c>
      <c r="Q73">
        <v>0</v>
      </c>
      <c r="R73">
        <v>0</v>
      </c>
      <c r="S73">
        <v>0</v>
      </c>
      <c r="T73">
        <v>0</v>
      </c>
      <c r="U73">
        <v>0</v>
      </c>
      <c r="V73">
        <v>0</v>
      </c>
      <c r="W73">
        <v>0</v>
      </c>
      <c r="X73">
        <v>0</v>
      </c>
      <c r="Y73">
        <v>0</v>
      </c>
      <c r="Z73">
        <v>1246287</v>
      </c>
      <c r="AA73">
        <v>0</v>
      </c>
      <c r="AB73">
        <v>0</v>
      </c>
      <c r="AD73">
        <v>0</v>
      </c>
      <c r="AE73">
        <v>0</v>
      </c>
      <c r="AF73">
        <v>8376281</v>
      </c>
      <c r="AG73">
        <v>0</v>
      </c>
      <c r="AH73">
        <v>0</v>
      </c>
      <c r="AI73">
        <v>0</v>
      </c>
      <c r="AJ73">
        <v>0</v>
      </c>
      <c r="AK73">
        <v>0</v>
      </c>
      <c r="AL73">
        <v>0</v>
      </c>
      <c r="AN73">
        <v>0</v>
      </c>
      <c r="AP73">
        <v>0</v>
      </c>
      <c r="AQ73">
        <v>27334055</v>
      </c>
      <c r="AR73">
        <v>0</v>
      </c>
      <c r="AS73">
        <v>0</v>
      </c>
      <c r="AT73">
        <v>0</v>
      </c>
      <c r="AU73">
        <v>0</v>
      </c>
      <c r="AV73">
        <v>0</v>
      </c>
      <c r="AW73">
        <v>1259656</v>
      </c>
      <c r="AX73">
        <v>0</v>
      </c>
      <c r="AY73">
        <v>0</v>
      </c>
      <c r="AZ73">
        <v>0</v>
      </c>
      <c r="BA73">
        <v>0</v>
      </c>
      <c r="BB73">
        <v>0</v>
      </c>
      <c r="BC73">
        <v>1364530</v>
      </c>
      <c r="BD73">
        <v>0</v>
      </c>
      <c r="BE73">
        <v>0</v>
      </c>
      <c r="BF73">
        <v>0</v>
      </c>
      <c r="BG73">
        <v>0</v>
      </c>
      <c r="BH73">
        <v>0</v>
      </c>
      <c r="BI73">
        <v>0</v>
      </c>
      <c r="BJ73">
        <v>0</v>
      </c>
      <c r="BK73">
        <v>0</v>
      </c>
      <c r="BL73">
        <v>400143</v>
      </c>
      <c r="BM73">
        <v>0</v>
      </c>
      <c r="BN73">
        <v>0</v>
      </c>
      <c r="BO73">
        <v>0</v>
      </c>
      <c r="BP73">
        <v>0</v>
      </c>
      <c r="BQ73">
        <v>0</v>
      </c>
      <c r="BR73">
        <v>0</v>
      </c>
      <c r="BS73">
        <v>0</v>
      </c>
      <c r="BU73">
        <v>0</v>
      </c>
      <c r="BV73">
        <v>0</v>
      </c>
      <c r="BW73">
        <v>0</v>
      </c>
      <c r="BX73">
        <v>1987131</v>
      </c>
      <c r="BY73">
        <v>10680322</v>
      </c>
      <c r="BZ73">
        <v>0</v>
      </c>
      <c r="CA73">
        <v>0</v>
      </c>
      <c r="CB73">
        <v>0</v>
      </c>
      <c r="CC73">
        <v>0</v>
      </c>
      <c r="CD73">
        <v>0</v>
      </c>
      <c r="CF73">
        <v>0</v>
      </c>
      <c r="CG73">
        <v>0</v>
      </c>
      <c r="CH73">
        <v>741547</v>
      </c>
      <c r="CI73">
        <v>0</v>
      </c>
      <c r="CK73">
        <v>0</v>
      </c>
    </row>
    <row r="74" spans="1:89" x14ac:dyDescent="0.3">
      <c r="A74" s="155">
        <v>361</v>
      </c>
      <c r="B74" t="s">
        <v>98</v>
      </c>
      <c r="D74">
        <v>0</v>
      </c>
      <c r="E74">
        <v>0</v>
      </c>
      <c r="F74">
        <v>0</v>
      </c>
      <c r="G74">
        <v>0</v>
      </c>
      <c r="I74">
        <v>0</v>
      </c>
      <c r="J74">
        <v>0</v>
      </c>
      <c r="K74">
        <v>0</v>
      </c>
      <c r="L74">
        <v>0</v>
      </c>
      <c r="M74">
        <v>0</v>
      </c>
      <c r="N74">
        <v>0</v>
      </c>
      <c r="O74">
        <v>0</v>
      </c>
      <c r="P74">
        <v>0</v>
      </c>
      <c r="Q74">
        <v>0</v>
      </c>
      <c r="R74">
        <v>0</v>
      </c>
      <c r="S74">
        <v>0</v>
      </c>
      <c r="T74">
        <v>0</v>
      </c>
      <c r="U74">
        <v>0</v>
      </c>
      <c r="V74">
        <v>0</v>
      </c>
      <c r="W74">
        <v>0</v>
      </c>
      <c r="X74">
        <v>0</v>
      </c>
      <c r="Y74">
        <v>0</v>
      </c>
      <c r="Z74">
        <v>4044986</v>
      </c>
      <c r="AA74">
        <v>0</v>
      </c>
      <c r="AB74">
        <v>0</v>
      </c>
      <c r="AD74">
        <v>0</v>
      </c>
      <c r="AE74">
        <v>0</v>
      </c>
      <c r="AF74">
        <v>5559232</v>
      </c>
      <c r="AG74">
        <v>0</v>
      </c>
      <c r="AH74">
        <v>0</v>
      </c>
      <c r="AI74">
        <v>0</v>
      </c>
      <c r="AJ74">
        <v>0</v>
      </c>
      <c r="AK74">
        <v>0</v>
      </c>
      <c r="AL74">
        <v>0</v>
      </c>
      <c r="AN74">
        <v>0</v>
      </c>
      <c r="AP74">
        <v>0</v>
      </c>
      <c r="AQ74">
        <v>95258084</v>
      </c>
      <c r="AR74">
        <v>0</v>
      </c>
      <c r="AS74">
        <v>0</v>
      </c>
      <c r="AT74">
        <v>0</v>
      </c>
      <c r="AU74">
        <v>0</v>
      </c>
      <c r="AV74">
        <v>0</v>
      </c>
      <c r="AW74">
        <v>5691064</v>
      </c>
      <c r="AX74">
        <v>0</v>
      </c>
      <c r="AY74">
        <v>0</v>
      </c>
      <c r="AZ74">
        <v>0</v>
      </c>
      <c r="BA74">
        <v>0</v>
      </c>
      <c r="BB74">
        <v>0</v>
      </c>
      <c r="BC74">
        <v>5279484</v>
      </c>
      <c r="BD74">
        <v>0</v>
      </c>
      <c r="BE74">
        <v>0</v>
      </c>
      <c r="BF74">
        <v>0</v>
      </c>
      <c r="BG74">
        <v>0</v>
      </c>
      <c r="BH74">
        <v>0</v>
      </c>
      <c r="BI74">
        <v>0</v>
      </c>
      <c r="BJ74">
        <v>0</v>
      </c>
      <c r="BK74">
        <v>0</v>
      </c>
      <c r="BL74">
        <v>3998661</v>
      </c>
      <c r="BM74">
        <v>0</v>
      </c>
      <c r="BN74">
        <v>0</v>
      </c>
      <c r="BO74">
        <v>0</v>
      </c>
      <c r="BP74">
        <v>0</v>
      </c>
      <c r="BQ74">
        <v>0</v>
      </c>
      <c r="BR74">
        <v>0</v>
      </c>
      <c r="BS74">
        <v>0</v>
      </c>
      <c r="BU74">
        <v>0</v>
      </c>
      <c r="BV74">
        <v>0</v>
      </c>
      <c r="BW74">
        <v>0</v>
      </c>
      <c r="BX74">
        <v>1578620</v>
      </c>
      <c r="BY74">
        <v>9069921</v>
      </c>
      <c r="BZ74">
        <v>0</v>
      </c>
      <c r="CA74">
        <v>0</v>
      </c>
      <c r="CB74">
        <v>0</v>
      </c>
      <c r="CC74">
        <v>0</v>
      </c>
      <c r="CD74">
        <v>0</v>
      </c>
      <c r="CF74">
        <v>0</v>
      </c>
      <c r="CG74">
        <v>0</v>
      </c>
      <c r="CH74">
        <v>7577162</v>
      </c>
      <c r="CI74">
        <v>0</v>
      </c>
      <c r="CK74">
        <v>0</v>
      </c>
    </row>
    <row r="75" spans="1:89" x14ac:dyDescent="0.3">
      <c r="A75" s="155">
        <v>362</v>
      </c>
      <c r="B75" t="s">
        <v>99</v>
      </c>
      <c r="D75">
        <v>0</v>
      </c>
      <c r="E75">
        <v>0</v>
      </c>
      <c r="F75">
        <v>0</v>
      </c>
      <c r="G75">
        <v>0</v>
      </c>
      <c r="I75">
        <v>0</v>
      </c>
      <c r="J75">
        <v>0</v>
      </c>
      <c r="K75">
        <v>0</v>
      </c>
      <c r="L75">
        <v>0</v>
      </c>
      <c r="M75">
        <v>0</v>
      </c>
      <c r="N75">
        <v>0</v>
      </c>
      <c r="O75">
        <v>0</v>
      </c>
      <c r="P75">
        <v>0</v>
      </c>
      <c r="Q75">
        <v>0</v>
      </c>
      <c r="R75">
        <v>0</v>
      </c>
      <c r="S75">
        <v>0</v>
      </c>
      <c r="T75">
        <v>0</v>
      </c>
      <c r="U75">
        <v>0</v>
      </c>
      <c r="V75">
        <v>0</v>
      </c>
      <c r="W75">
        <v>0</v>
      </c>
      <c r="X75">
        <v>0</v>
      </c>
      <c r="Y75">
        <v>0</v>
      </c>
      <c r="Z75">
        <v>5903313</v>
      </c>
      <c r="AA75">
        <v>0</v>
      </c>
      <c r="AB75">
        <v>0</v>
      </c>
      <c r="AD75">
        <v>0</v>
      </c>
      <c r="AE75">
        <v>0</v>
      </c>
      <c r="AF75">
        <v>17470813</v>
      </c>
      <c r="AG75">
        <v>0</v>
      </c>
      <c r="AH75">
        <v>0</v>
      </c>
      <c r="AI75">
        <v>0</v>
      </c>
      <c r="AJ75">
        <v>0</v>
      </c>
      <c r="AK75">
        <v>0</v>
      </c>
      <c r="AL75">
        <v>0</v>
      </c>
      <c r="AN75">
        <v>0</v>
      </c>
      <c r="AP75">
        <v>0</v>
      </c>
      <c r="AQ75">
        <v>184535444</v>
      </c>
      <c r="AR75">
        <v>0</v>
      </c>
      <c r="AS75">
        <v>0</v>
      </c>
      <c r="AT75">
        <v>0</v>
      </c>
      <c r="AU75">
        <v>0</v>
      </c>
      <c r="AV75">
        <v>0</v>
      </c>
      <c r="AW75">
        <v>10329512</v>
      </c>
      <c r="AX75">
        <v>0</v>
      </c>
      <c r="AY75">
        <v>0</v>
      </c>
      <c r="AZ75">
        <v>0</v>
      </c>
      <c r="BA75">
        <v>0</v>
      </c>
      <c r="BB75">
        <v>0</v>
      </c>
      <c r="BC75">
        <v>10063946</v>
      </c>
      <c r="BD75">
        <v>0</v>
      </c>
      <c r="BE75">
        <v>0</v>
      </c>
      <c r="BF75">
        <v>0</v>
      </c>
      <c r="BG75">
        <v>0</v>
      </c>
      <c r="BH75">
        <v>0</v>
      </c>
      <c r="BI75">
        <v>0</v>
      </c>
      <c r="BJ75">
        <v>0</v>
      </c>
      <c r="BK75">
        <v>0</v>
      </c>
      <c r="BL75">
        <v>4203991</v>
      </c>
      <c r="BM75">
        <v>0</v>
      </c>
      <c r="BN75">
        <v>0</v>
      </c>
      <c r="BO75">
        <v>0</v>
      </c>
      <c r="BP75">
        <v>0</v>
      </c>
      <c r="BQ75">
        <v>0</v>
      </c>
      <c r="BR75">
        <v>0</v>
      </c>
      <c r="BS75">
        <v>0</v>
      </c>
      <c r="BU75">
        <v>0</v>
      </c>
      <c r="BV75">
        <v>0</v>
      </c>
      <c r="BW75">
        <v>0</v>
      </c>
      <c r="BX75">
        <v>4731197</v>
      </c>
      <c r="BY75">
        <v>26394990</v>
      </c>
      <c r="BZ75">
        <v>0</v>
      </c>
      <c r="CA75">
        <v>0</v>
      </c>
      <c r="CB75">
        <v>0</v>
      </c>
      <c r="CC75">
        <v>0</v>
      </c>
      <c r="CD75">
        <v>0</v>
      </c>
      <c r="CF75">
        <v>0</v>
      </c>
      <c r="CG75">
        <v>0</v>
      </c>
      <c r="CH75">
        <v>7763178</v>
      </c>
      <c r="CI75">
        <v>0</v>
      </c>
      <c r="CK75">
        <v>0</v>
      </c>
    </row>
    <row r="76" spans="1:89" x14ac:dyDescent="0.3">
      <c r="A76" s="155">
        <v>363</v>
      </c>
      <c r="B76" t="s">
        <v>233</v>
      </c>
      <c r="D76">
        <v>0</v>
      </c>
      <c r="E76">
        <v>0</v>
      </c>
      <c r="F76">
        <v>0</v>
      </c>
      <c r="G76">
        <v>0</v>
      </c>
      <c r="I76">
        <v>0</v>
      </c>
      <c r="J76">
        <v>0</v>
      </c>
      <c r="K76">
        <v>0</v>
      </c>
      <c r="L76">
        <v>0</v>
      </c>
      <c r="M76">
        <v>0</v>
      </c>
      <c r="N76">
        <v>0</v>
      </c>
      <c r="O76">
        <v>0</v>
      </c>
      <c r="P76">
        <v>0</v>
      </c>
      <c r="Q76">
        <v>0</v>
      </c>
      <c r="R76">
        <v>0</v>
      </c>
      <c r="S76">
        <v>0</v>
      </c>
      <c r="T76">
        <v>0</v>
      </c>
      <c r="U76">
        <v>0</v>
      </c>
      <c r="V76">
        <v>0</v>
      </c>
      <c r="W76">
        <v>0</v>
      </c>
      <c r="X76">
        <v>0</v>
      </c>
      <c r="Y76">
        <v>0</v>
      </c>
      <c r="Z76">
        <v>15486</v>
      </c>
      <c r="AA76">
        <v>0</v>
      </c>
      <c r="AB76">
        <v>0</v>
      </c>
      <c r="AD76">
        <v>0</v>
      </c>
      <c r="AE76">
        <v>0</v>
      </c>
      <c r="AF76">
        <v>161102</v>
      </c>
      <c r="AG76">
        <v>0</v>
      </c>
      <c r="AH76">
        <v>0</v>
      </c>
      <c r="AI76">
        <v>0</v>
      </c>
      <c r="AJ76">
        <v>0</v>
      </c>
      <c r="AK76">
        <v>0</v>
      </c>
      <c r="AL76">
        <v>0</v>
      </c>
      <c r="AN76">
        <v>0</v>
      </c>
      <c r="AP76">
        <v>0</v>
      </c>
      <c r="AQ76">
        <v>291938</v>
      </c>
      <c r="AR76">
        <v>0</v>
      </c>
      <c r="AS76">
        <v>0</v>
      </c>
      <c r="AT76">
        <v>0</v>
      </c>
      <c r="AU76">
        <v>0</v>
      </c>
      <c r="AV76">
        <v>0</v>
      </c>
      <c r="AW76">
        <v>45294</v>
      </c>
      <c r="AX76">
        <v>0</v>
      </c>
      <c r="AY76">
        <v>0</v>
      </c>
      <c r="AZ76">
        <v>0</v>
      </c>
      <c r="BA76">
        <v>0</v>
      </c>
      <c r="BB76">
        <v>0</v>
      </c>
      <c r="BC76">
        <v>101881</v>
      </c>
      <c r="BD76">
        <v>0</v>
      </c>
      <c r="BE76">
        <v>0</v>
      </c>
      <c r="BF76">
        <v>0</v>
      </c>
      <c r="BG76">
        <v>0</v>
      </c>
      <c r="BH76">
        <v>0</v>
      </c>
      <c r="BI76">
        <v>0</v>
      </c>
      <c r="BJ76">
        <v>0</v>
      </c>
      <c r="BK76">
        <v>0</v>
      </c>
      <c r="BL76">
        <v>3200</v>
      </c>
      <c r="BM76">
        <v>0</v>
      </c>
      <c r="BN76">
        <v>0</v>
      </c>
      <c r="BO76">
        <v>0</v>
      </c>
      <c r="BP76">
        <v>0</v>
      </c>
      <c r="BQ76">
        <v>0</v>
      </c>
      <c r="BR76">
        <v>0</v>
      </c>
      <c r="BS76">
        <v>0</v>
      </c>
      <c r="BU76">
        <v>0</v>
      </c>
      <c r="BV76">
        <v>0</v>
      </c>
      <c r="BW76">
        <v>0</v>
      </c>
      <c r="BX76">
        <v>59</v>
      </c>
      <c r="BY76">
        <v>14919</v>
      </c>
      <c r="BZ76">
        <v>0</v>
      </c>
      <c r="CA76">
        <v>0</v>
      </c>
      <c r="CB76">
        <v>0</v>
      </c>
      <c r="CC76">
        <v>0</v>
      </c>
      <c r="CD76">
        <v>0</v>
      </c>
      <c r="CF76">
        <v>0</v>
      </c>
      <c r="CG76">
        <v>0</v>
      </c>
      <c r="CH76">
        <v>2823</v>
      </c>
      <c r="CI76">
        <v>0</v>
      </c>
      <c r="CK76">
        <v>0</v>
      </c>
    </row>
    <row r="77" spans="1:89" x14ac:dyDescent="0.3">
      <c r="A77" s="155">
        <v>364</v>
      </c>
      <c r="B77" t="s">
        <v>234</v>
      </c>
      <c r="D77">
        <v>0</v>
      </c>
      <c r="E77">
        <v>0</v>
      </c>
      <c r="F77">
        <v>0</v>
      </c>
      <c r="G77">
        <v>0</v>
      </c>
      <c r="I77">
        <v>0</v>
      </c>
      <c r="J77">
        <v>0</v>
      </c>
      <c r="K77">
        <v>0</v>
      </c>
      <c r="L77">
        <v>0</v>
      </c>
      <c r="M77">
        <v>0</v>
      </c>
      <c r="N77">
        <v>0</v>
      </c>
      <c r="O77">
        <v>0</v>
      </c>
      <c r="P77">
        <v>0</v>
      </c>
      <c r="Q77">
        <v>0</v>
      </c>
      <c r="R77">
        <v>0</v>
      </c>
      <c r="S77">
        <v>0</v>
      </c>
      <c r="T77">
        <v>0</v>
      </c>
      <c r="U77">
        <v>0</v>
      </c>
      <c r="V77">
        <v>0</v>
      </c>
      <c r="W77">
        <v>0</v>
      </c>
      <c r="X77">
        <v>0</v>
      </c>
      <c r="Y77">
        <v>0</v>
      </c>
      <c r="Z77">
        <v>0</v>
      </c>
      <c r="AA77">
        <v>0</v>
      </c>
      <c r="AB77">
        <v>0</v>
      </c>
      <c r="AD77">
        <v>0</v>
      </c>
      <c r="AE77">
        <v>0</v>
      </c>
      <c r="AF77">
        <v>120030</v>
      </c>
      <c r="AG77">
        <v>0</v>
      </c>
      <c r="AH77">
        <v>0</v>
      </c>
      <c r="AI77">
        <v>0</v>
      </c>
      <c r="AJ77">
        <v>0</v>
      </c>
      <c r="AK77">
        <v>0</v>
      </c>
      <c r="AL77">
        <v>0</v>
      </c>
      <c r="AN77">
        <v>0</v>
      </c>
      <c r="AP77">
        <v>0</v>
      </c>
      <c r="AQ77">
        <v>3900201</v>
      </c>
      <c r="AR77">
        <v>0</v>
      </c>
      <c r="AS77">
        <v>0</v>
      </c>
      <c r="AT77">
        <v>0</v>
      </c>
      <c r="AU77">
        <v>0</v>
      </c>
      <c r="AV77">
        <v>0</v>
      </c>
      <c r="AW77">
        <v>4484</v>
      </c>
      <c r="AX77">
        <v>0</v>
      </c>
      <c r="AY77">
        <v>0</v>
      </c>
      <c r="AZ77">
        <v>0</v>
      </c>
      <c r="BA77">
        <v>0</v>
      </c>
      <c r="BB77">
        <v>0</v>
      </c>
      <c r="BC77">
        <v>132303</v>
      </c>
      <c r="BD77">
        <v>0</v>
      </c>
      <c r="BE77">
        <v>0</v>
      </c>
      <c r="BF77">
        <v>0</v>
      </c>
      <c r="BG77">
        <v>0</v>
      </c>
      <c r="BH77">
        <v>0</v>
      </c>
      <c r="BI77">
        <v>0</v>
      </c>
      <c r="BJ77">
        <v>0</v>
      </c>
      <c r="BK77">
        <v>0</v>
      </c>
      <c r="BL77">
        <v>0</v>
      </c>
      <c r="BM77">
        <v>0</v>
      </c>
      <c r="BN77">
        <v>0</v>
      </c>
      <c r="BO77">
        <v>0</v>
      </c>
      <c r="BP77">
        <v>0</v>
      </c>
      <c r="BQ77">
        <v>0</v>
      </c>
      <c r="BR77">
        <v>0</v>
      </c>
      <c r="BS77">
        <v>0</v>
      </c>
      <c r="BU77">
        <v>0</v>
      </c>
      <c r="BV77">
        <v>0</v>
      </c>
      <c r="BW77">
        <v>0</v>
      </c>
      <c r="BX77">
        <v>4507</v>
      </c>
      <c r="BY77">
        <v>33686</v>
      </c>
      <c r="BZ77">
        <v>0</v>
      </c>
      <c r="CA77">
        <v>0</v>
      </c>
      <c r="CB77">
        <v>0</v>
      </c>
      <c r="CC77">
        <v>0</v>
      </c>
      <c r="CD77">
        <v>0</v>
      </c>
      <c r="CF77">
        <v>0</v>
      </c>
      <c r="CG77">
        <v>0</v>
      </c>
      <c r="CH77">
        <v>0</v>
      </c>
      <c r="CI77">
        <v>0</v>
      </c>
      <c r="CK77">
        <v>0</v>
      </c>
    </row>
    <row r="78" spans="1:89" x14ac:dyDescent="0.3">
      <c r="A78" s="155">
        <v>365</v>
      </c>
      <c r="B78" t="s">
        <v>236</v>
      </c>
      <c r="D78">
        <v>0</v>
      </c>
      <c r="E78">
        <v>0</v>
      </c>
      <c r="F78">
        <v>0</v>
      </c>
      <c r="G78">
        <v>0</v>
      </c>
      <c r="I78">
        <v>0</v>
      </c>
      <c r="J78">
        <v>0</v>
      </c>
      <c r="K78">
        <v>0</v>
      </c>
      <c r="L78">
        <v>0</v>
      </c>
      <c r="M78">
        <v>0</v>
      </c>
      <c r="N78">
        <v>0</v>
      </c>
      <c r="O78">
        <v>0</v>
      </c>
      <c r="P78">
        <v>0</v>
      </c>
      <c r="Q78">
        <v>0</v>
      </c>
      <c r="R78">
        <v>0</v>
      </c>
      <c r="S78">
        <v>0</v>
      </c>
      <c r="T78">
        <v>0</v>
      </c>
      <c r="U78">
        <v>0</v>
      </c>
      <c r="V78">
        <v>0</v>
      </c>
      <c r="W78">
        <v>0</v>
      </c>
      <c r="X78">
        <v>0</v>
      </c>
      <c r="Y78">
        <v>0</v>
      </c>
      <c r="Z78">
        <v>0</v>
      </c>
      <c r="AA78">
        <v>0</v>
      </c>
      <c r="AB78">
        <v>0</v>
      </c>
      <c r="AD78">
        <v>0</v>
      </c>
      <c r="AE78">
        <v>0</v>
      </c>
      <c r="AF78">
        <v>0</v>
      </c>
      <c r="AG78">
        <v>0</v>
      </c>
      <c r="AH78">
        <v>0</v>
      </c>
      <c r="AI78">
        <v>0</v>
      </c>
      <c r="AJ78">
        <v>0</v>
      </c>
      <c r="AK78">
        <v>0</v>
      </c>
      <c r="AL78">
        <v>0</v>
      </c>
      <c r="AN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U78">
        <v>0</v>
      </c>
      <c r="BV78">
        <v>0</v>
      </c>
      <c r="BW78">
        <v>0</v>
      </c>
      <c r="BX78">
        <v>0</v>
      </c>
      <c r="BY78">
        <v>0</v>
      </c>
      <c r="BZ78">
        <v>0</v>
      </c>
      <c r="CA78">
        <v>0</v>
      </c>
      <c r="CB78">
        <v>0</v>
      </c>
      <c r="CC78">
        <v>0</v>
      </c>
      <c r="CD78">
        <v>0</v>
      </c>
      <c r="CF78">
        <v>0</v>
      </c>
      <c r="CG78">
        <v>0</v>
      </c>
      <c r="CH78">
        <v>0</v>
      </c>
      <c r="CI78">
        <v>0</v>
      </c>
      <c r="CK78">
        <v>0</v>
      </c>
    </row>
    <row r="79" spans="1:89" x14ac:dyDescent="0.3">
      <c r="A79" s="155">
        <v>366</v>
      </c>
      <c r="B79" t="s">
        <v>885</v>
      </c>
      <c r="D79">
        <v>0</v>
      </c>
      <c r="E79">
        <v>0</v>
      </c>
      <c r="F79">
        <v>0</v>
      </c>
      <c r="G79">
        <v>0</v>
      </c>
      <c r="I79">
        <v>0</v>
      </c>
      <c r="J79">
        <v>0</v>
      </c>
      <c r="K79">
        <v>0</v>
      </c>
      <c r="L79">
        <v>0</v>
      </c>
      <c r="M79">
        <v>0</v>
      </c>
      <c r="N79">
        <v>0</v>
      </c>
      <c r="O79">
        <v>0</v>
      </c>
      <c r="P79">
        <v>0</v>
      </c>
      <c r="Q79">
        <v>0</v>
      </c>
      <c r="R79">
        <v>0</v>
      </c>
      <c r="S79">
        <v>0</v>
      </c>
      <c r="T79">
        <v>0</v>
      </c>
      <c r="U79">
        <v>0</v>
      </c>
      <c r="V79">
        <v>0</v>
      </c>
      <c r="W79">
        <v>0</v>
      </c>
      <c r="X79">
        <v>0</v>
      </c>
      <c r="Y79">
        <v>0</v>
      </c>
      <c r="Z79">
        <v>0</v>
      </c>
      <c r="AA79">
        <v>0</v>
      </c>
      <c r="AB79">
        <v>0</v>
      </c>
      <c r="AD79">
        <v>0</v>
      </c>
      <c r="AE79">
        <v>0</v>
      </c>
      <c r="AF79">
        <v>0</v>
      </c>
      <c r="AG79">
        <v>0</v>
      </c>
      <c r="AH79">
        <v>0</v>
      </c>
      <c r="AI79">
        <v>0</v>
      </c>
      <c r="AJ79">
        <v>0</v>
      </c>
      <c r="AK79">
        <v>0</v>
      </c>
      <c r="AL79">
        <v>0</v>
      </c>
      <c r="AN79">
        <v>0</v>
      </c>
      <c r="AP79">
        <v>0</v>
      </c>
      <c r="AQ79">
        <v>3226021</v>
      </c>
      <c r="AR79">
        <v>0</v>
      </c>
      <c r="AS79">
        <v>0</v>
      </c>
      <c r="AT79">
        <v>0</v>
      </c>
      <c r="AU79">
        <v>0</v>
      </c>
      <c r="AV79">
        <v>0</v>
      </c>
      <c r="AW79">
        <v>0</v>
      </c>
      <c r="AX79">
        <v>0</v>
      </c>
      <c r="AY79">
        <v>0</v>
      </c>
      <c r="AZ79">
        <v>0</v>
      </c>
      <c r="BA79">
        <v>0</v>
      </c>
      <c r="BB79">
        <v>0</v>
      </c>
      <c r="BC79">
        <v>1427275</v>
      </c>
      <c r="BD79">
        <v>0</v>
      </c>
      <c r="BE79">
        <v>0</v>
      </c>
      <c r="BF79">
        <v>0</v>
      </c>
      <c r="BG79">
        <v>0</v>
      </c>
      <c r="BH79">
        <v>0</v>
      </c>
      <c r="BI79">
        <v>0</v>
      </c>
      <c r="BJ79">
        <v>0</v>
      </c>
      <c r="BK79">
        <v>0</v>
      </c>
      <c r="BL79">
        <v>0</v>
      </c>
      <c r="BM79">
        <v>0</v>
      </c>
      <c r="BN79">
        <v>0</v>
      </c>
      <c r="BO79">
        <v>0</v>
      </c>
      <c r="BP79">
        <v>0</v>
      </c>
      <c r="BQ79">
        <v>0</v>
      </c>
      <c r="BR79">
        <v>0</v>
      </c>
      <c r="BS79">
        <v>0</v>
      </c>
      <c r="BU79">
        <v>0</v>
      </c>
      <c r="BV79">
        <v>0</v>
      </c>
      <c r="BW79">
        <v>0</v>
      </c>
      <c r="BX79">
        <v>332293</v>
      </c>
      <c r="BY79">
        <v>925000</v>
      </c>
      <c r="BZ79">
        <v>0</v>
      </c>
      <c r="CA79">
        <v>0</v>
      </c>
      <c r="CB79">
        <v>0</v>
      </c>
      <c r="CC79">
        <v>0</v>
      </c>
      <c r="CD79">
        <v>0</v>
      </c>
      <c r="CF79">
        <v>0</v>
      </c>
      <c r="CG79">
        <v>0</v>
      </c>
      <c r="CH79">
        <v>0</v>
      </c>
      <c r="CI79">
        <v>0</v>
      </c>
      <c r="CK79">
        <v>0</v>
      </c>
    </row>
    <row r="80" spans="1:89" x14ac:dyDescent="0.3">
      <c r="A80" s="155">
        <v>368</v>
      </c>
      <c r="B80" t="s">
        <v>191</v>
      </c>
      <c r="D80">
        <v>0</v>
      </c>
      <c r="E80">
        <v>235659</v>
      </c>
      <c r="F80">
        <v>0</v>
      </c>
      <c r="G80">
        <v>0</v>
      </c>
      <c r="I80">
        <v>0</v>
      </c>
      <c r="J80">
        <v>0</v>
      </c>
      <c r="K80">
        <v>0</v>
      </c>
      <c r="L80">
        <v>0</v>
      </c>
      <c r="M80">
        <v>42070</v>
      </c>
      <c r="N80">
        <v>1303763</v>
      </c>
      <c r="O80">
        <v>0</v>
      </c>
      <c r="P80">
        <v>0</v>
      </c>
      <c r="Q80">
        <v>0</v>
      </c>
      <c r="R80">
        <v>268679</v>
      </c>
      <c r="S80">
        <v>1000</v>
      </c>
      <c r="T80">
        <v>0</v>
      </c>
      <c r="U80">
        <v>0</v>
      </c>
      <c r="V80">
        <v>0</v>
      </c>
      <c r="W80">
        <v>0</v>
      </c>
      <c r="X80">
        <v>843032</v>
      </c>
      <c r="Y80">
        <v>0</v>
      </c>
      <c r="Z80">
        <v>0</v>
      </c>
      <c r="AA80">
        <v>0</v>
      </c>
      <c r="AB80">
        <v>197988</v>
      </c>
      <c r="AD80">
        <v>0</v>
      </c>
      <c r="AE80">
        <v>0</v>
      </c>
      <c r="AF80">
        <v>0</v>
      </c>
      <c r="AG80">
        <v>1764</v>
      </c>
      <c r="AH80">
        <v>3738</v>
      </c>
      <c r="AI80">
        <v>0</v>
      </c>
      <c r="AJ80">
        <v>0</v>
      </c>
      <c r="AK80">
        <v>0</v>
      </c>
      <c r="AL80">
        <v>1056</v>
      </c>
      <c r="AN80">
        <v>0</v>
      </c>
      <c r="AP80">
        <v>0</v>
      </c>
      <c r="AQ80">
        <v>4071514</v>
      </c>
      <c r="AR80">
        <v>0</v>
      </c>
      <c r="AS80">
        <v>0</v>
      </c>
      <c r="AT80">
        <v>0</v>
      </c>
      <c r="AU80">
        <v>0</v>
      </c>
      <c r="AV80">
        <v>0</v>
      </c>
      <c r="AW80">
        <v>0</v>
      </c>
      <c r="AX80">
        <v>0</v>
      </c>
      <c r="AY80">
        <v>0</v>
      </c>
      <c r="AZ80">
        <v>0</v>
      </c>
      <c r="BA80">
        <v>0</v>
      </c>
      <c r="BB80">
        <v>0</v>
      </c>
      <c r="BC80">
        <v>0</v>
      </c>
      <c r="BD80">
        <v>0</v>
      </c>
      <c r="BE80">
        <v>0</v>
      </c>
      <c r="BF80">
        <v>0</v>
      </c>
      <c r="BG80">
        <v>0</v>
      </c>
      <c r="BH80">
        <v>0</v>
      </c>
      <c r="BI80">
        <v>0</v>
      </c>
      <c r="BJ80">
        <v>0</v>
      </c>
      <c r="BK80">
        <v>76623</v>
      </c>
      <c r="BL80">
        <v>0</v>
      </c>
      <c r="BM80">
        <v>0</v>
      </c>
      <c r="BN80">
        <v>0</v>
      </c>
      <c r="BO80">
        <v>0</v>
      </c>
      <c r="BP80">
        <v>0</v>
      </c>
      <c r="BQ80">
        <v>0</v>
      </c>
      <c r="BR80">
        <v>70650</v>
      </c>
      <c r="BS80">
        <v>0</v>
      </c>
      <c r="BU80">
        <v>0</v>
      </c>
      <c r="BV80">
        <v>0</v>
      </c>
      <c r="BW80">
        <v>0</v>
      </c>
      <c r="BX80">
        <v>0</v>
      </c>
      <c r="BY80">
        <v>0</v>
      </c>
      <c r="BZ80">
        <v>0</v>
      </c>
      <c r="CA80">
        <v>0</v>
      </c>
      <c r="CB80">
        <v>0</v>
      </c>
      <c r="CC80">
        <v>0</v>
      </c>
      <c r="CD80">
        <v>0</v>
      </c>
      <c r="CF80">
        <v>0</v>
      </c>
      <c r="CG80">
        <v>0</v>
      </c>
      <c r="CH80">
        <v>0</v>
      </c>
      <c r="CI80">
        <v>0</v>
      </c>
      <c r="CK80">
        <v>0</v>
      </c>
    </row>
    <row r="81" spans="1:89" x14ac:dyDescent="0.3">
      <c r="A81" s="155">
        <v>369</v>
      </c>
      <c r="B81" t="s">
        <v>196</v>
      </c>
      <c r="D81">
        <v>77456</v>
      </c>
      <c r="E81">
        <v>1130731</v>
      </c>
      <c r="F81">
        <v>349761</v>
      </c>
      <c r="G81">
        <v>121179</v>
      </c>
      <c r="I81">
        <v>5147204</v>
      </c>
      <c r="J81">
        <v>1171411</v>
      </c>
      <c r="K81">
        <v>6124508</v>
      </c>
      <c r="L81">
        <v>3490716</v>
      </c>
      <c r="M81">
        <v>2089013</v>
      </c>
      <c r="N81">
        <v>302758</v>
      </c>
      <c r="O81">
        <v>11732434</v>
      </c>
      <c r="P81">
        <v>37029</v>
      </c>
      <c r="Q81">
        <v>103582</v>
      </c>
      <c r="R81">
        <v>286509</v>
      </c>
      <c r="S81">
        <v>390168</v>
      </c>
      <c r="T81">
        <v>1458997</v>
      </c>
      <c r="U81">
        <v>156238</v>
      </c>
      <c r="V81">
        <v>208303</v>
      </c>
      <c r="W81">
        <v>743341</v>
      </c>
      <c r="X81">
        <v>8578168</v>
      </c>
      <c r="Y81">
        <v>106774000</v>
      </c>
      <c r="Z81">
        <v>2144430</v>
      </c>
      <c r="AA81">
        <v>107834</v>
      </c>
      <c r="AB81">
        <v>2300773</v>
      </c>
      <c r="AD81">
        <v>1052281</v>
      </c>
      <c r="AE81">
        <v>374665</v>
      </c>
      <c r="AF81">
        <v>13917404</v>
      </c>
      <c r="AG81">
        <v>3549333</v>
      </c>
      <c r="AH81">
        <v>495635</v>
      </c>
      <c r="AI81">
        <v>5572200</v>
      </c>
      <c r="AJ81">
        <v>837624</v>
      </c>
      <c r="AK81">
        <v>624860</v>
      </c>
      <c r="AL81">
        <v>135287</v>
      </c>
      <c r="AN81">
        <v>210737</v>
      </c>
      <c r="AP81">
        <v>15011</v>
      </c>
      <c r="AQ81">
        <v>11709122</v>
      </c>
      <c r="AR81">
        <v>88788</v>
      </c>
      <c r="AS81">
        <v>638410</v>
      </c>
      <c r="AT81">
        <v>4659391</v>
      </c>
      <c r="AU81">
        <v>342410</v>
      </c>
      <c r="AV81">
        <v>100408</v>
      </c>
      <c r="AW81">
        <v>11114874</v>
      </c>
      <c r="AX81">
        <v>153574</v>
      </c>
      <c r="AY81">
        <v>2166159</v>
      </c>
      <c r="AZ81">
        <v>572041</v>
      </c>
      <c r="BA81">
        <v>83956</v>
      </c>
      <c r="BB81">
        <v>143507</v>
      </c>
      <c r="BC81">
        <v>1141089</v>
      </c>
      <c r="BD81">
        <v>22831</v>
      </c>
      <c r="BE81">
        <v>5226039</v>
      </c>
      <c r="BF81">
        <v>576938</v>
      </c>
      <c r="BG81">
        <v>35771</v>
      </c>
      <c r="BH81">
        <v>257681</v>
      </c>
      <c r="BI81">
        <v>1080010</v>
      </c>
      <c r="BJ81">
        <v>364520</v>
      </c>
      <c r="BK81">
        <v>134933</v>
      </c>
      <c r="BL81">
        <v>820820</v>
      </c>
      <c r="BM81">
        <v>99096</v>
      </c>
      <c r="BN81">
        <v>2600277</v>
      </c>
      <c r="BO81">
        <v>4610852</v>
      </c>
      <c r="BP81">
        <v>18839241</v>
      </c>
      <c r="BQ81">
        <v>30119</v>
      </c>
      <c r="BR81">
        <v>47932</v>
      </c>
      <c r="BS81">
        <v>213172</v>
      </c>
      <c r="BU81">
        <v>753284</v>
      </c>
      <c r="BV81">
        <v>1248307</v>
      </c>
      <c r="BW81">
        <v>2427991</v>
      </c>
      <c r="BX81">
        <v>2107262</v>
      </c>
      <c r="BY81">
        <v>10367950</v>
      </c>
      <c r="BZ81">
        <v>1420449</v>
      </c>
      <c r="CA81">
        <v>359823</v>
      </c>
      <c r="CB81">
        <v>2631951</v>
      </c>
      <c r="CC81">
        <v>106399</v>
      </c>
      <c r="CD81">
        <v>1031577</v>
      </c>
      <c r="CF81">
        <v>1140566</v>
      </c>
      <c r="CG81">
        <v>0</v>
      </c>
      <c r="CH81">
        <v>648778</v>
      </c>
      <c r="CI81">
        <v>1283512</v>
      </c>
      <c r="CK81">
        <v>28567</v>
      </c>
    </row>
    <row r="82" spans="1:89" x14ac:dyDescent="0.3">
      <c r="A82" s="155">
        <v>370</v>
      </c>
      <c r="B82" t="s">
        <v>198</v>
      </c>
      <c r="D82">
        <v>0</v>
      </c>
      <c r="E82">
        <v>2087</v>
      </c>
      <c r="F82">
        <v>0</v>
      </c>
      <c r="G82">
        <v>12479</v>
      </c>
      <c r="I82">
        <v>254172</v>
      </c>
      <c r="J82">
        <v>28248</v>
      </c>
      <c r="K82">
        <v>856951</v>
      </c>
      <c r="L82">
        <v>0</v>
      </c>
      <c r="M82">
        <v>888248</v>
      </c>
      <c r="N82">
        <v>205895</v>
      </c>
      <c r="O82">
        <v>18621950</v>
      </c>
      <c r="P82">
        <v>0</v>
      </c>
      <c r="Q82">
        <v>0</v>
      </c>
      <c r="R82">
        <v>79116</v>
      </c>
      <c r="S82">
        <v>0</v>
      </c>
      <c r="T82">
        <v>1137780</v>
      </c>
      <c r="U82">
        <v>0</v>
      </c>
      <c r="V82">
        <v>0</v>
      </c>
      <c r="W82">
        <v>0</v>
      </c>
      <c r="X82">
        <v>0</v>
      </c>
      <c r="Y82">
        <v>2195000</v>
      </c>
      <c r="Z82">
        <v>176485</v>
      </c>
      <c r="AA82">
        <v>36000</v>
      </c>
      <c r="AB82">
        <v>458713</v>
      </c>
      <c r="AD82">
        <v>149532</v>
      </c>
      <c r="AE82">
        <v>7812</v>
      </c>
      <c r="AF82">
        <v>3659874</v>
      </c>
      <c r="AG82">
        <v>0</v>
      </c>
      <c r="AH82">
        <v>0</v>
      </c>
      <c r="AI82">
        <v>483255</v>
      </c>
      <c r="AJ82">
        <v>0</v>
      </c>
      <c r="AK82">
        <v>0</v>
      </c>
      <c r="AL82">
        <v>0</v>
      </c>
      <c r="AN82">
        <v>0</v>
      </c>
      <c r="AP82">
        <v>0</v>
      </c>
      <c r="AQ82">
        <v>1168891</v>
      </c>
      <c r="AR82">
        <v>0</v>
      </c>
      <c r="AS82">
        <v>0</v>
      </c>
      <c r="AT82">
        <v>539891</v>
      </c>
      <c r="AU82">
        <v>0</v>
      </c>
      <c r="AV82">
        <v>0</v>
      </c>
      <c r="AW82">
        <v>2601228</v>
      </c>
      <c r="AX82">
        <v>0</v>
      </c>
      <c r="AY82">
        <v>296964</v>
      </c>
      <c r="AZ82">
        <v>49750</v>
      </c>
      <c r="BA82">
        <v>0</v>
      </c>
      <c r="BB82">
        <v>0</v>
      </c>
      <c r="BC82">
        <v>245006</v>
      </c>
      <c r="BD82">
        <v>0</v>
      </c>
      <c r="BE82">
        <v>2200568</v>
      </c>
      <c r="BF82">
        <v>0</v>
      </c>
      <c r="BG82">
        <v>0</v>
      </c>
      <c r="BH82">
        <v>5013</v>
      </c>
      <c r="BI82">
        <v>46970</v>
      </c>
      <c r="BJ82">
        <v>0</v>
      </c>
      <c r="BK82">
        <v>0</v>
      </c>
      <c r="BL82">
        <v>30047</v>
      </c>
      <c r="BM82">
        <v>30000</v>
      </c>
      <c r="BN82">
        <v>1758412</v>
      </c>
      <c r="BO82">
        <v>1118642</v>
      </c>
      <c r="BP82">
        <v>1489519</v>
      </c>
      <c r="BQ82">
        <v>0</v>
      </c>
      <c r="BR82">
        <v>0</v>
      </c>
      <c r="BS82">
        <v>0</v>
      </c>
      <c r="BU82">
        <v>36510</v>
      </c>
      <c r="BV82">
        <v>0</v>
      </c>
      <c r="BW82">
        <v>2671926</v>
      </c>
      <c r="BX82">
        <v>417377</v>
      </c>
      <c r="BY82">
        <v>1238521</v>
      </c>
      <c r="BZ82">
        <v>307401</v>
      </c>
      <c r="CA82">
        <v>19287</v>
      </c>
      <c r="CB82">
        <v>142853</v>
      </c>
      <c r="CC82">
        <v>0</v>
      </c>
      <c r="CD82">
        <v>62100</v>
      </c>
      <c r="CF82">
        <v>100117</v>
      </c>
      <c r="CG82">
        <v>733250</v>
      </c>
      <c r="CH82">
        <v>61123</v>
      </c>
      <c r="CI82">
        <v>0</v>
      </c>
      <c r="CK82">
        <v>0</v>
      </c>
    </row>
    <row r="83" spans="1:89" x14ac:dyDescent="0.3">
      <c r="A83" s="155">
        <v>371</v>
      </c>
      <c r="B83" t="s">
        <v>248</v>
      </c>
      <c r="D83">
        <v>0</v>
      </c>
      <c r="E83">
        <v>0</v>
      </c>
      <c r="F83">
        <v>0</v>
      </c>
      <c r="G83">
        <v>0</v>
      </c>
      <c r="I83">
        <v>0</v>
      </c>
      <c r="J83">
        <v>0</v>
      </c>
      <c r="K83">
        <v>0</v>
      </c>
      <c r="L83">
        <v>0</v>
      </c>
      <c r="M83">
        <v>0</v>
      </c>
      <c r="N83">
        <v>0</v>
      </c>
      <c r="O83">
        <v>0</v>
      </c>
      <c r="P83">
        <v>0</v>
      </c>
      <c r="Q83">
        <v>0</v>
      </c>
      <c r="R83">
        <v>0</v>
      </c>
      <c r="S83">
        <v>0</v>
      </c>
      <c r="T83">
        <v>0</v>
      </c>
      <c r="U83">
        <v>0</v>
      </c>
      <c r="V83">
        <v>0</v>
      </c>
      <c r="W83">
        <v>0</v>
      </c>
      <c r="X83">
        <v>0</v>
      </c>
      <c r="Y83">
        <v>19665000</v>
      </c>
      <c r="Z83">
        <v>0</v>
      </c>
      <c r="AA83">
        <v>0</v>
      </c>
      <c r="AB83">
        <v>0</v>
      </c>
      <c r="AD83">
        <v>0</v>
      </c>
      <c r="AE83">
        <v>0</v>
      </c>
      <c r="AF83">
        <v>0</v>
      </c>
      <c r="AG83">
        <v>0</v>
      </c>
      <c r="AH83">
        <v>0</v>
      </c>
      <c r="AI83">
        <v>0</v>
      </c>
      <c r="AJ83">
        <v>0</v>
      </c>
      <c r="AK83">
        <v>0</v>
      </c>
      <c r="AL83">
        <v>0</v>
      </c>
      <c r="AN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U83">
        <v>0</v>
      </c>
      <c r="BV83">
        <v>0</v>
      </c>
      <c r="BW83">
        <v>0</v>
      </c>
      <c r="BX83">
        <v>0</v>
      </c>
      <c r="BY83">
        <v>0</v>
      </c>
      <c r="BZ83">
        <v>0</v>
      </c>
      <c r="CA83">
        <v>0</v>
      </c>
      <c r="CB83">
        <v>0</v>
      </c>
      <c r="CC83">
        <v>0</v>
      </c>
      <c r="CD83">
        <v>0</v>
      </c>
      <c r="CF83">
        <v>0</v>
      </c>
      <c r="CG83">
        <v>0</v>
      </c>
      <c r="CH83">
        <v>0</v>
      </c>
      <c r="CI83">
        <v>0</v>
      </c>
      <c r="CK83">
        <v>0</v>
      </c>
    </row>
    <row r="84" spans="1:89" x14ac:dyDescent="0.3">
      <c r="A84" s="155">
        <v>373</v>
      </c>
      <c r="B84" t="s">
        <v>302</v>
      </c>
      <c r="D84">
        <v>343307</v>
      </c>
      <c r="E84">
        <v>640269</v>
      </c>
      <c r="F84">
        <v>406333</v>
      </c>
      <c r="G84">
        <v>111496</v>
      </c>
      <c r="I84">
        <v>4169573</v>
      </c>
      <c r="J84">
        <v>1272237</v>
      </c>
      <c r="K84">
        <v>13552560</v>
      </c>
      <c r="L84">
        <v>5288505</v>
      </c>
      <c r="M84">
        <v>23924044</v>
      </c>
      <c r="N84">
        <v>3204125</v>
      </c>
      <c r="O84">
        <v>559346614</v>
      </c>
      <c r="P84">
        <v>201414</v>
      </c>
      <c r="Q84">
        <v>157195</v>
      </c>
      <c r="R84">
        <v>1121183</v>
      </c>
      <c r="S84">
        <v>726870</v>
      </c>
      <c r="T84">
        <v>279972</v>
      </c>
      <c r="U84">
        <v>81552</v>
      </c>
      <c r="V84">
        <v>114965</v>
      </c>
      <c r="W84">
        <v>1160911</v>
      </c>
      <c r="X84">
        <v>134105662</v>
      </c>
      <c r="Y84">
        <v>2245366000</v>
      </c>
      <c r="Z84">
        <v>7628072</v>
      </c>
      <c r="AA84">
        <v>236933</v>
      </c>
      <c r="AB84">
        <v>3537073</v>
      </c>
      <c r="AD84">
        <v>6343571</v>
      </c>
      <c r="AE84">
        <v>900406</v>
      </c>
      <c r="AF84">
        <v>26177829</v>
      </c>
      <c r="AG84">
        <v>33394524</v>
      </c>
      <c r="AH84">
        <v>0</v>
      </c>
      <c r="AI84">
        <v>17643678</v>
      </c>
      <c r="AJ84">
        <v>1419278</v>
      </c>
      <c r="AK84">
        <v>2088132</v>
      </c>
      <c r="AL84">
        <v>422053</v>
      </c>
      <c r="AN84">
        <v>579962</v>
      </c>
      <c r="AP84">
        <v>82069</v>
      </c>
      <c r="AQ84">
        <v>503783129</v>
      </c>
      <c r="AR84">
        <v>190323</v>
      </c>
      <c r="AS84">
        <v>1133985</v>
      </c>
      <c r="AT84">
        <v>18953353</v>
      </c>
      <c r="AU84">
        <v>641934</v>
      </c>
      <c r="AV84">
        <v>409339</v>
      </c>
      <c r="AW84">
        <v>38441874</v>
      </c>
      <c r="AX84">
        <v>109005</v>
      </c>
      <c r="AY84">
        <v>6309407</v>
      </c>
      <c r="AZ84">
        <v>3372938</v>
      </c>
      <c r="BA84">
        <v>288760</v>
      </c>
      <c r="BB84">
        <v>335144</v>
      </c>
      <c r="BC84">
        <v>4445394</v>
      </c>
      <c r="BD84">
        <v>57753</v>
      </c>
      <c r="BE84">
        <v>10444990</v>
      </c>
      <c r="BF84">
        <v>4175463</v>
      </c>
      <c r="BG84">
        <v>518590</v>
      </c>
      <c r="BH84">
        <v>631913</v>
      </c>
      <c r="BI84">
        <v>2236859</v>
      </c>
      <c r="BJ84">
        <v>153406</v>
      </c>
      <c r="BK84">
        <v>171598</v>
      </c>
      <c r="BL84">
        <v>2367969</v>
      </c>
      <c r="BM84">
        <v>1827199</v>
      </c>
      <c r="BN84">
        <v>11838293</v>
      </c>
      <c r="BO84">
        <v>9792825</v>
      </c>
      <c r="BP84">
        <v>414121885</v>
      </c>
      <c r="BQ84">
        <v>106236</v>
      </c>
      <c r="BR84">
        <v>109536</v>
      </c>
      <c r="BS84">
        <v>402260</v>
      </c>
      <c r="BU84">
        <v>2451749</v>
      </c>
      <c r="BV84">
        <v>463941</v>
      </c>
      <c r="BW84">
        <v>23733020</v>
      </c>
      <c r="BX84">
        <v>4789259</v>
      </c>
      <c r="BY84">
        <v>22536353</v>
      </c>
      <c r="BZ84">
        <v>10996707</v>
      </c>
      <c r="CA84">
        <v>557986</v>
      </c>
      <c r="CB84">
        <v>10746922</v>
      </c>
      <c r="CC84">
        <v>124649</v>
      </c>
      <c r="CD84">
        <v>1617467</v>
      </c>
      <c r="CF84">
        <v>8982114</v>
      </c>
      <c r="CG84">
        <v>9241979</v>
      </c>
      <c r="CH84">
        <v>3427943</v>
      </c>
      <c r="CI84">
        <v>3770679</v>
      </c>
      <c r="CK84">
        <v>77858</v>
      </c>
    </row>
    <row r="85" spans="1:89" x14ac:dyDescent="0.3">
      <c r="A85" s="155">
        <v>375</v>
      </c>
      <c r="B85" t="s">
        <v>213</v>
      </c>
      <c r="D85">
        <v>170422</v>
      </c>
      <c r="E85">
        <v>0</v>
      </c>
      <c r="F85">
        <v>1188889</v>
      </c>
      <c r="G85">
        <v>196100</v>
      </c>
      <c r="I85">
        <v>2826189</v>
      </c>
      <c r="J85">
        <v>0</v>
      </c>
      <c r="K85">
        <v>2410713</v>
      </c>
      <c r="L85">
        <v>0</v>
      </c>
      <c r="M85">
        <v>0</v>
      </c>
      <c r="N85">
        <v>544602</v>
      </c>
      <c r="O85">
        <v>233226127</v>
      </c>
      <c r="P85">
        <v>0</v>
      </c>
      <c r="Q85">
        <v>0</v>
      </c>
      <c r="R85">
        <v>0</v>
      </c>
      <c r="S85">
        <v>0</v>
      </c>
      <c r="T85">
        <v>0</v>
      </c>
      <c r="U85">
        <v>0</v>
      </c>
      <c r="V85">
        <v>180708</v>
      </c>
      <c r="W85">
        <v>2107304</v>
      </c>
      <c r="X85">
        <v>0</v>
      </c>
      <c r="Y85">
        <v>152205000</v>
      </c>
      <c r="Z85">
        <v>-3118964</v>
      </c>
      <c r="AA85">
        <v>264578</v>
      </c>
      <c r="AB85">
        <v>0</v>
      </c>
      <c r="AD85">
        <v>4203035</v>
      </c>
      <c r="AE85">
        <v>757200</v>
      </c>
      <c r="AF85">
        <v>3869556</v>
      </c>
      <c r="AG85">
        <v>0</v>
      </c>
      <c r="AH85">
        <v>2925970</v>
      </c>
      <c r="AI85">
        <v>5663702</v>
      </c>
      <c r="AJ85">
        <v>877167</v>
      </c>
      <c r="AK85">
        <v>824311</v>
      </c>
      <c r="AL85">
        <v>487081</v>
      </c>
      <c r="AN85">
        <v>2533726</v>
      </c>
      <c r="AP85">
        <v>0</v>
      </c>
      <c r="AQ85">
        <v>97826760</v>
      </c>
      <c r="AR85">
        <v>0</v>
      </c>
      <c r="AS85">
        <v>65726</v>
      </c>
      <c r="AT85">
        <v>9737751</v>
      </c>
      <c r="AU85">
        <v>0</v>
      </c>
      <c r="AV85">
        <v>0</v>
      </c>
      <c r="AW85">
        <v>0</v>
      </c>
      <c r="AX85">
        <v>42925</v>
      </c>
      <c r="AY85">
        <v>0</v>
      </c>
      <c r="AZ85">
        <v>0</v>
      </c>
      <c r="BA85">
        <v>338303</v>
      </c>
      <c r="BB85">
        <v>60460</v>
      </c>
      <c r="BC85">
        <v>2776399</v>
      </c>
      <c r="BD85">
        <v>0</v>
      </c>
      <c r="BE85">
        <v>0</v>
      </c>
      <c r="BF85">
        <v>900630</v>
      </c>
      <c r="BG85">
        <v>0</v>
      </c>
      <c r="BH85">
        <v>0</v>
      </c>
      <c r="BI85">
        <v>909025</v>
      </c>
      <c r="BJ85">
        <v>0</v>
      </c>
      <c r="BK85">
        <v>-35551</v>
      </c>
      <c r="BL85">
        <v>629065</v>
      </c>
      <c r="BM85">
        <v>345453</v>
      </c>
      <c r="BN85">
        <v>0</v>
      </c>
      <c r="BO85">
        <v>0</v>
      </c>
      <c r="BP85">
        <v>103781033</v>
      </c>
      <c r="BQ85">
        <v>0</v>
      </c>
      <c r="BR85">
        <v>54004</v>
      </c>
      <c r="BS85">
        <v>493338</v>
      </c>
      <c r="BU85">
        <v>-603887</v>
      </c>
      <c r="BV85">
        <v>0</v>
      </c>
      <c r="BW85">
        <v>2717257</v>
      </c>
      <c r="BX85">
        <v>581936</v>
      </c>
      <c r="BY85">
        <v>4474120</v>
      </c>
      <c r="BZ85">
        <v>3569671</v>
      </c>
      <c r="CA85">
        <v>-160021</v>
      </c>
      <c r="CB85">
        <v>2868121</v>
      </c>
      <c r="CC85">
        <v>1312787</v>
      </c>
      <c r="CD85">
        <v>-73568</v>
      </c>
      <c r="CF85">
        <v>5417126</v>
      </c>
      <c r="CG85">
        <v>0</v>
      </c>
      <c r="CH85">
        <v>1046037</v>
      </c>
      <c r="CI85">
        <v>0</v>
      </c>
      <c r="CK85">
        <v>27402</v>
      </c>
    </row>
    <row r="86" spans="1:89" x14ac:dyDescent="0.3">
      <c r="A86" s="155">
        <v>376</v>
      </c>
      <c r="B86" t="s">
        <v>100</v>
      </c>
      <c r="D86">
        <v>0</v>
      </c>
      <c r="E86">
        <v>0</v>
      </c>
      <c r="F86">
        <v>0</v>
      </c>
      <c r="G86">
        <v>0</v>
      </c>
      <c r="I86">
        <v>-8633</v>
      </c>
      <c r="J86">
        <v>0</v>
      </c>
      <c r="K86">
        <v>0</v>
      </c>
      <c r="L86">
        <v>0</v>
      </c>
      <c r="M86">
        <v>0</v>
      </c>
      <c r="N86">
        <v>0</v>
      </c>
      <c r="O86">
        <v>-1</v>
      </c>
      <c r="P86">
        <v>0</v>
      </c>
      <c r="Q86">
        <v>20256</v>
      </c>
      <c r="R86">
        <v>0</v>
      </c>
      <c r="S86">
        <v>0</v>
      </c>
      <c r="T86">
        <v>0</v>
      </c>
      <c r="U86">
        <v>0</v>
      </c>
      <c r="V86">
        <v>-2</v>
      </c>
      <c r="W86">
        <v>0</v>
      </c>
      <c r="X86">
        <v>0</v>
      </c>
      <c r="Y86">
        <v>19359000</v>
      </c>
      <c r="Z86">
        <v>0</v>
      </c>
      <c r="AA86">
        <v>0</v>
      </c>
      <c r="AB86">
        <v>1383</v>
      </c>
      <c r="AD86">
        <v>0</v>
      </c>
      <c r="AE86">
        <v>0</v>
      </c>
      <c r="AF86">
        <v>0</v>
      </c>
      <c r="AG86">
        <v>0</v>
      </c>
      <c r="AH86">
        <v>-4</v>
      </c>
      <c r="AI86">
        <v>0</v>
      </c>
      <c r="AJ86">
        <v>0</v>
      </c>
      <c r="AK86">
        <v>0</v>
      </c>
      <c r="AL86">
        <v>0</v>
      </c>
      <c r="AN86">
        <v>0</v>
      </c>
      <c r="AP86">
        <v>0</v>
      </c>
      <c r="AQ86">
        <v>0</v>
      </c>
      <c r="AR86">
        <v>0</v>
      </c>
      <c r="AS86">
        <v>0</v>
      </c>
      <c r="AT86">
        <v>0</v>
      </c>
      <c r="AU86">
        <v>2</v>
      </c>
      <c r="AV86">
        <v>0</v>
      </c>
      <c r="AW86">
        <v>0</v>
      </c>
      <c r="AX86">
        <v>0</v>
      </c>
      <c r="AY86">
        <v>0</v>
      </c>
      <c r="AZ86">
        <v>213912</v>
      </c>
      <c r="BA86">
        <v>0</v>
      </c>
      <c r="BB86">
        <v>0</v>
      </c>
      <c r="BC86">
        <v>-51384</v>
      </c>
      <c r="BD86">
        <v>0</v>
      </c>
      <c r="BE86">
        <v>-49166</v>
      </c>
      <c r="BF86">
        <v>1</v>
      </c>
      <c r="BG86">
        <v>0</v>
      </c>
      <c r="BH86">
        <v>0</v>
      </c>
      <c r="BI86">
        <v>0</v>
      </c>
      <c r="BJ86">
        <v>0</v>
      </c>
      <c r="BK86">
        <v>0</v>
      </c>
      <c r="BL86">
        <v>0</v>
      </c>
      <c r="BM86">
        <v>0</v>
      </c>
      <c r="BN86">
        <v>0</v>
      </c>
      <c r="BO86">
        <v>0</v>
      </c>
      <c r="BP86">
        <v>0</v>
      </c>
      <c r="BQ86">
        <v>0</v>
      </c>
      <c r="BR86">
        <v>-1</v>
      </c>
      <c r="BS86">
        <v>0</v>
      </c>
      <c r="BU86">
        <v>-1</v>
      </c>
      <c r="BV86">
        <v>0</v>
      </c>
      <c r="BW86">
        <v>0</v>
      </c>
      <c r="BX86">
        <v>0</v>
      </c>
      <c r="BY86">
        <v>0</v>
      </c>
      <c r="BZ86">
        <v>459494</v>
      </c>
      <c r="CA86">
        <v>0</v>
      </c>
      <c r="CB86">
        <v>0</v>
      </c>
      <c r="CC86">
        <v>0</v>
      </c>
      <c r="CD86">
        <v>0</v>
      </c>
      <c r="CF86">
        <v>115582</v>
      </c>
      <c r="CG86">
        <v>0</v>
      </c>
      <c r="CH86">
        <v>0</v>
      </c>
      <c r="CI86">
        <v>0</v>
      </c>
      <c r="CK86">
        <v>0</v>
      </c>
    </row>
    <row r="87" spans="1:89" x14ac:dyDescent="0.3">
      <c r="A87" s="155">
        <v>377</v>
      </c>
      <c r="B87" t="s">
        <v>101</v>
      </c>
      <c r="D87">
        <v>0</v>
      </c>
      <c r="E87">
        <v>0</v>
      </c>
      <c r="F87">
        <v>0</v>
      </c>
      <c r="G87">
        <v>0</v>
      </c>
      <c r="I87">
        <v>-25160</v>
      </c>
      <c r="J87">
        <v>0</v>
      </c>
      <c r="K87">
        <v>0</v>
      </c>
      <c r="L87">
        <v>0</v>
      </c>
      <c r="M87">
        <v>0</v>
      </c>
      <c r="N87">
        <v>0</v>
      </c>
      <c r="O87">
        <v>0</v>
      </c>
      <c r="P87">
        <v>0</v>
      </c>
      <c r="Q87">
        <v>0</v>
      </c>
      <c r="R87">
        <v>0</v>
      </c>
      <c r="S87">
        <v>0</v>
      </c>
      <c r="T87">
        <v>0</v>
      </c>
      <c r="U87">
        <v>0</v>
      </c>
      <c r="V87">
        <v>0</v>
      </c>
      <c r="W87">
        <v>0</v>
      </c>
      <c r="X87">
        <v>0</v>
      </c>
      <c r="Y87">
        <v>0</v>
      </c>
      <c r="Z87">
        <v>0</v>
      </c>
      <c r="AA87">
        <v>0</v>
      </c>
      <c r="AB87">
        <v>0</v>
      </c>
      <c r="AD87">
        <v>0</v>
      </c>
      <c r="AE87">
        <v>0</v>
      </c>
      <c r="AF87">
        <v>0</v>
      </c>
      <c r="AG87">
        <v>0</v>
      </c>
      <c r="AH87">
        <v>-1</v>
      </c>
      <c r="AI87">
        <v>0</v>
      </c>
      <c r="AJ87">
        <v>0</v>
      </c>
      <c r="AK87">
        <v>0</v>
      </c>
      <c r="AL87">
        <v>0</v>
      </c>
      <c r="AN87">
        <v>0</v>
      </c>
      <c r="AP87">
        <v>0</v>
      </c>
      <c r="AQ87">
        <v>0</v>
      </c>
      <c r="AR87">
        <v>0</v>
      </c>
      <c r="AS87">
        <v>0</v>
      </c>
      <c r="AT87">
        <v>932707</v>
      </c>
      <c r="AU87">
        <v>0</v>
      </c>
      <c r="AV87">
        <v>0</v>
      </c>
      <c r="AW87">
        <v>0</v>
      </c>
      <c r="AX87">
        <v>0</v>
      </c>
      <c r="AY87">
        <v>0</v>
      </c>
      <c r="AZ87">
        <v>0</v>
      </c>
      <c r="BA87">
        <v>0</v>
      </c>
      <c r="BB87">
        <v>0</v>
      </c>
      <c r="BC87">
        <v>-90903</v>
      </c>
      <c r="BD87">
        <v>0</v>
      </c>
      <c r="BE87">
        <v>0</v>
      </c>
      <c r="BF87">
        <v>-2</v>
      </c>
      <c r="BG87">
        <v>0</v>
      </c>
      <c r="BH87">
        <v>0</v>
      </c>
      <c r="BI87">
        <v>0</v>
      </c>
      <c r="BJ87">
        <v>0</v>
      </c>
      <c r="BK87">
        <v>0</v>
      </c>
      <c r="BL87">
        <v>0</v>
      </c>
      <c r="BM87">
        <v>0</v>
      </c>
      <c r="BN87">
        <v>0</v>
      </c>
      <c r="BO87">
        <v>0</v>
      </c>
      <c r="BP87">
        <v>0</v>
      </c>
      <c r="BQ87">
        <v>0</v>
      </c>
      <c r="BR87">
        <v>0</v>
      </c>
      <c r="BS87">
        <v>0</v>
      </c>
      <c r="BU87">
        <v>1</v>
      </c>
      <c r="BV87">
        <v>0</v>
      </c>
      <c r="BW87">
        <v>0</v>
      </c>
      <c r="BX87">
        <v>0</v>
      </c>
      <c r="BY87">
        <v>0</v>
      </c>
      <c r="BZ87">
        <v>0</v>
      </c>
      <c r="CA87">
        <v>0</v>
      </c>
      <c r="CB87">
        <v>0</v>
      </c>
      <c r="CC87">
        <v>0</v>
      </c>
      <c r="CD87">
        <v>0</v>
      </c>
      <c r="CF87">
        <v>0</v>
      </c>
      <c r="CG87">
        <v>0</v>
      </c>
      <c r="CH87">
        <v>0</v>
      </c>
      <c r="CI87">
        <v>0</v>
      </c>
      <c r="CK87">
        <v>0</v>
      </c>
    </row>
    <row r="88" spans="1:89" x14ac:dyDescent="0.3">
      <c r="A88" s="155">
        <v>378</v>
      </c>
      <c r="B88" t="s">
        <v>102</v>
      </c>
      <c r="D88">
        <v>0</v>
      </c>
      <c r="E88">
        <v>0</v>
      </c>
      <c r="F88">
        <v>0</v>
      </c>
      <c r="G88">
        <v>0</v>
      </c>
      <c r="I88">
        <v>0</v>
      </c>
      <c r="J88">
        <v>0</v>
      </c>
      <c r="K88">
        <v>0</v>
      </c>
      <c r="L88">
        <v>0</v>
      </c>
      <c r="M88">
        <v>0</v>
      </c>
      <c r="N88">
        <v>0</v>
      </c>
      <c r="O88">
        <v>0</v>
      </c>
      <c r="P88">
        <v>0</v>
      </c>
      <c r="Q88">
        <v>0</v>
      </c>
      <c r="R88">
        <v>0</v>
      </c>
      <c r="S88">
        <v>0</v>
      </c>
      <c r="T88">
        <v>0</v>
      </c>
      <c r="U88">
        <v>0</v>
      </c>
      <c r="V88">
        <v>0</v>
      </c>
      <c r="W88">
        <v>0</v>
      </c>
      <c r="X88">
        <v>0</v>
      </c>
      <c r="Y88">
        <v>0</v>
      </c>
      <c r="Z88">
        <v>0</v>
      </c>
      <c r="AA88">
        <v>0</v>
      </c>
      <c r="AB88">
        <v>0</v>
      </c>
      <c r="AD88">
        <v>0</v>
      </c>
      <c r="AE88">
        <v>0</v>
      </c>
      <c r="AF88">
        <v>0</v>
      </c>
      <c r="AG88">
        <v>0</v>
      </c>
      <c r="AH88">
        <v>0</v>
      </c>
      <c r="AI88">
        <v>0</v>
      </c>
      <c r="AJ88">
        <v>0</v>
      </c>
      <c r="AK88">
        <v>0</v>
      </c>
      <c r="AL88">
        <v>0</v>
      </c>
      <c r="AN88">
        <v>0</v>
      </c>
      <c r="AP88">
        <v>0</v>
      </c>
      <c r="AQ88">
        <v>0</v>
      </c>
      <c r="AR88">
        <v>0</v>
      </c>
      <c r="AS88">
        <v>0</v>
      </c>
      <c r="AT88">
        <v>0</v>
      </c>
      <c r="AU88">
        <v>0</v>
      </c>
      <c r="AV88">
        <v>0</v>
      </c>
      <c r="AW88">
        <v>0</v>
      </c>
      <c r="AX88">
        <v>0</v>
      </c>
      <c r="AY88">
        <v>0</v>
      </c>
      <c r="AZ88">
        <v>0</v>
      </c>
      <c r="BA88">
        <v>0</v>
      </c>
      <c r="BB88">
        <v>0</v>
      </c>
      <c r="BC88">
        <v>-65775</v>
      </c>
      <c r="BD88">
        <v>0</v>
      </c>
      <c r="BE88">
        <v>0</v>
      </c>
      <c r="BF88">
        <v>0</v>
      </c>
      <c r="BG88">
        <v>0</v>
      </c>
      <c r="BH88">
        <v>0</v>
      </c>
      <c r="BI88">
        <v>0</v>
      </c>
      <c r="BJ88">
        <v>0</v>
      </c>
      <c r="BK88">
        <v>0</v>
      </c>
      <c r="BL88">
        <v>0</v>
      </c>
      <c r="BM88">
        <v>0</v>
      </c>
      <c r="BN88">
        <v>0</v>
      </c>
      <c r="BO88">
        <v>0</v>
      </c>
      <c r="BP88">
        <v>0</v>
      </c>
      <c r="BQ88">
        <v>0</v>
      </c>
      <c r="BR88">
        <v>0</v>
      </c>
      <c r="BS88">
        <v>0</v>
      </c>
      <c r="BU88">
        <v>0</v>
      </c>
      <c r="BV88">
        <v>0</v>
      </c>
      <c r="BW88">
        <v>0</v>
      </c>
      <c r="BX88">
        <v>0</v>
      </c>
      <c r="BY88">
        <v>0</v>
      </c>
      <c r="BZ88">
        <v>0</v>
      </c>
      <c r="CA88">
        <v>0</v>
      </c>
      <c r="CB88">
        <v>0</v>
      </c>
      <c r="CC88">
        <v>0</v>
      </c>
      <c r="CD88">
        <v>0</v>
      </c>
      <c r="CF88">
        <v>0</v>
      </c>
      <c r="CG88">
        <v>0</v>
      </c>
      <c r="CH88">
        <v>0</v>
      </c>
      <c r="CI88">
        <v>0</v>
      </c>
      <c r="CK88">
        <v>0</v>
      </c>
    </row>
    <row r="89" spans="1:89" x14ac:dyDescent="0.3">
      <c r="A89" s="155">
        <v>379</v>
      </c>
      <c r="B89" t="s">
        <v>110</v>
      </c>
      <c r="D89">
        <v>3473430</v>
      </c>
      <c r="E89">
        <v>2604398</v>
      </c>
      <c r="F89">
        <v>1002185</v>
      </c>
      <c r="G89">
        <v>707066</v>
      </c>
      <c r="I89">
        <v>4497346</v>
      </c>
      <c r="J89">
        <v>3055189</v>
      </c>
      <c r="K89">
        <v>10919794</v>
      </c>
      <c r="L89">
        <v>5320181</v>
      </c>
      <c r="M89">
        <v>17890742</v>
      </c>
      <c r="N89">
        <v>3733726</v>
      </c>
      <c r="O89">
        <v>207140209</v>
      </c>
      <c r="P89">
        <v>90349</v>
      </c>
      <c r="Q89">
        <v>342692</v>
      </c>
      <c r="R89">
        <v>1451998</v>
      </c>
      <c r="S89">
        <v>1343231</v>
      </c>
      <c r="T89">
        <v>1618952</v>
      </c>
      <c r="U89">
        <v>482338</v>
      </c>
      <c r="V89">
        <v>448034</v>
      </c>
      <c r="W89">
        <v>2457412</v>
      </c>
      <c r="X89">
        <v>42385862</v>
      </c>
      <c r="Y89">
        <v>278986000</v>
      </c>
      <c r="Z89">
        <v>6046311</v>
      </c>
      <c r="AA89">
        <v>548838</v>
      </c>
      <c r="AB89">
        <v>4583164</v>
      </c>
      <c r="AD89">
        <v>4742240</v>
      </c>
      <c r="AE89">
        <v>2793105</v>
      </c>
      <c r="AF89">
        <v>28767755</v>
      </c>
      <c r="AG89">
        <v>9969619</v>
      </c>
      <c r="AH89">
        <v>3543815</v>
      </c>
      <c r="AI89">
        <v>9174181</v>
      </c>
      <c r="AJ89">
        <v>1580719</v>
      </c>
      <c r="AK89">
        <v>1911113</v>
      </c>
      <c r="AL89">
        <v>1025343</v>
      </c>
      <c r="AN89">
        <v>1075843</v>
      </c>
      <c r="AP89">
        <v>85247</v>
      </c>
      <c r="AQ89">
        <v>107053501</v>
      </c>
      <c r="AR89">
        <v>407121</v>
      </c>
      <c r="AS89">
        <v>2102446</v>
      </c>
      <c r="AT89">
        <v>13198260</v>
      </c>
      <c r="AU89">
        <v>708766</v>
      </c>
      <c r="AV89">
        <v>1224499</v>
      </c>
      <c r="AW89">
        <v>34001211</v>
      </c>
      <c r="AX89">
        <v>368532</v>
      </c>
      <c r="AY89">
        <v>6068333</v>
      </c>
      <c r="AZ89">
        <v>9979622</v>
      </c>
      <c r="BA89">
        <v>608519</v>
      </c>
      <c r="BB89">
        <v>333535</v>
      </c>
      <c r="BC89">
        <v>3981493</v>
      </c>
      <c r="BD89">
        <v>186932</v>
      </c>
      <c r="BE89">
        <v>15085054</v>
      </c>
      <c r="BF89">
        <v>2749338</v>
      </c>
      <c r="BG89">
        <v>869930</v>
      </c>
      <c r="BH89">
        <v>725940</v>
      </c>
      <c r="BI89">
        <v>1946730</v>
      </c>
      <c r="BJ89">
        <v>3384102</v>
      </c>
      <c r="BK89">
        <v>527559</v>
      </c>
      <c r="BL89">
        <v>2217394</v>
      </c>
      <c r="BM89">
        <v>1100335</v>
      </c>
      <c r="BN89">
        <v>11807014</v>
      </c>
      <c r="BO89">
        <v>9052742</v>
      </c>
      <c r="BP89">
        <v>149837645</v>
      </c>
      <c r="BQ89">
        <v>111867</v>
      </c>
      <c r="BR89">
        <v>377420</v>
      </c>
      <c r="BS89">
        <v>961784</v>
      </c>
      <c r="BU89">
        <v>2525379</v>
      </c>
      <c r="BV89">
        <v>7350608</v>
      </c>
      <c r="BW89">
        <v>13327612</v>
      </c>
      <c r="BX89">
        <v>3642089</v>
      </c>
      <c r="BY89">
        <v>13995489</v>
      </c>
      <c r="BZ89">
        <v>3683636</v>
      </c>
      <c r="CA89">
        <v>789840</v>
      </c>
      <c r="CB89">
        <v>6601299</v>
      </c>
      <c r="CC89">
        <v>966469</v>
      </c>
      <c r="CD89">
        <v>1138641</v>
      </c>
      <c r="CF89">
        <v>9815681</v>
      </c>
      <c r="CG89">
        <v>4828201</v>
      </c>
      <c r="CH89">
        <v>842491</v>
      </c>
      <c r="CI89">
        <v>4336932</v>
      </c>
      <c r="CK89">
        <v>83905</v>
      </c>
    </row>
    <row r="90" spans="1:89" x14ac:dyDescent="0.3">
      <c r="A90" s="155">
        <v>380</v>
      </c>
      <c r="B90" t="s">
        <v>113</v>
      </c>
      <c r="D90">
        <v>0</v>
      </c>
      <c r="E90">
        <v>4869</v>
      </c>
      <c r="F90">
        <v>6128</v>
      </c>
      <c r="G90">
        <v>2032</v>
      </c>
      <c r="I90">
        <v>61179</v>
      </c>
      <c r="J90">
        <v>8930</v>
      </c>
      <c r="K90">
        <v>255834</v>
      </c>
      <c r="L90">
        <v>5907</v>
      </c>
      <c r="M90">
        <v>1061108</v>
      </c>
      <c r="N90">
        <v>26837</v>
      </c>
      <c r="O90">
        <v>0</v>
      </c>
      <c r="P90">
        <v>288</v>
      </c>
      <c r="Q90">
        <v>5870</v>
      </c>
      <c r="R90">
        <v>3036</v>
      </c>
      <c r="S90">
        <v>28928</v>
      </c>
      <c r="T90">
        <v>19259</v>
      </c>
      <c r="U90">
        <v>113</v>
      </c>
      <c r="V90">
        <v>206</v>
      </c>
      <c r="W90">
        <v>57450</v>
      </c>
      <c r="X90">
        <v>554286</v>
      </c>
      <c r="Y90">
        <v>22470000</v>
      </c>
      <c r="Z90">
        <v>88237</v>
      </c>
      <c r="AA90">
        <v>3688</v>
      </c>
      <c r="AB90">
        <v>782141</v>
      </c>
      <c r="AD90">
        <v>2716</v>
      </c>
      <c r="AE90">
        <v>52718</v>
      </c>
      <c r="AF90">
        <v>803939</v>
      </c>
      <c r="AG90">
        <v>13515</v>
      </c>
      <c r="AH90">
        <v>67745</v>
      </c>
      <c r="AI90">
        <v>168236</v>
      </c>
      <c r="AJ90">
        <v>31675</v>
      </c>
      <c r="AK90">
        <v>8206</v>
      </c>
      <c r="AL90">
        <v>15146</v>
      </c>
      <c r="AN90">
        <v>25553</v>
      </c>
      <c r="AP90">
        <v>0</v>
      </c>
      <c r="AQ90">
        <v>1019621</v>
      </c>
      <c r="AR90">
        <v>3327</v>
      </c>
      <c r="AS90">
        <v>2002</v>
      </c>
      <c r="AT90">
        <v>56344</v>
      </c>
      <c r="AU90">
        <v>45053</v>
      </c>
      <c r="AV90">
        <v>17255</v>
      </c>
      <c r="AW90">
        <v>168486</v>
      </c>
      <c r="AX90">
        <v>3633</v>
      </c>
      <c r="AY90">
        <v>153449</v>
      </c>
      <c r="AZ90">
        <v>29395</v>
      </c>
      <c r="BA90">
        <v>11145</v>
      </c>
      <c r="BB90">
        <v>1299</v>
      </c>
      <c r="BC90">
        <v>21436</v>
      </c>
      <c r="BD90">
        <v>639</v>
      </c>
      <c r="BE90">
        <v>64710</v>
      </c>
      <c r="BF90">
        <v>59654</v>
      </c>
      <c r="BG90">
        <v>3145</v>
      </c>
      <c r="BH90">
        <v>47516</v>
      </c>
      <c r="BI90">
        <v>4184</v>
      </c>
      <c r="BJ90">
        <v>0</v>
      </c>
      <c r="BK90">
        <v>5221</v>
      </c>
      <c r="BL90">
        <v>13875</v>
      </c>
      <c r="BM90">
        <v>6991</v>
      </c>
      <c r="BN90">
        <v>3092</v>
      </c>
      <c r="BO90">
        <v>41553</v>
      </c>
      <c r="BP90">
        <v>458388</v>
      </c>
      <c r="BQ90">
        <v>876</v>
      </c>
      <c r="BR90">
        <v>8262</v>
      </c>
      <c r="BS90">
        <v>23120</v>
      </c>
      <c r="BU90">
        <v>139132</v>
      </c>
      <c r="BV90">
        <v>9549</v>
      </c>
      <c r="BW90">
        <v>121336</v>
      </c>
      <c r="BX90">
        <v>70781</v>
      </c>
      <c r="BY90">
        <v>755790</v>
      </c>
      <c r="BZ90">
        <v>840686</v>
      </c>
      <c r="CA90">
        <v>429</v>
      </c>
      <c r="CB90">
        <v>134663</v>
      </c>
      <c r="CC90">
        <v>10423</v>
      </c>
      <c r="CD90">
        <v>37743</v>
      </c>
      <c r="CF90">
        <v>6408</v>
      </c>
      <c r="CG90">
        <v>346528</v>
      </c>
      <c r="CH90">
        <v>132260</v>
      </c>
      <c r="CI90">
        <v>21997</v>
      </c>
      <c r="CK90">
        <v>9244</v>
      </c>
    </row>
    <row r="91" spans="1:89" x14ac:dyDescent="0.3">
      <c r="A91" s="155">
        <v>381</v>
      </c>
      <c r="B91" t="s">
        <v>105</v>
      </c>
      <c r="D91">
        <v>3088463</v>
      </c>
      <c r="E91">
        <v>0</v>
      </c>
      <c r="F91">
        <v>4396813</v>
      </c>
      <c r="G91">
        <v>803503</v>
      </c>
      <c r="I91">
        <v>17333177</v>
      </c>
      <c r="J91">
        <v>0</v>
      </c>
      <c r="K91">
        <v>54499184</v>
      </c>
      <c r="L91">
        <v>0</v>
      </c>
      <c r="M91">
        <v>0</v>
      </c>
      <c r="N91">
        <v>18804802</v>
      </c>
      <c r="O91">
        <v>1192709784</v>
      </c>
      <c r="P91">
        <v>0</v>
      </c>
      <c r="Q91">
        <v>0</v>
      </c>
      <c r="R91">
        <v>0</v>
      </c>
      <c r="S91">
        <v>0</v>
      </c>
      <c r="T91">
        <v>0</v>
      </c>
      <c r="U91">
        <v>0</v>
      </c>
      <c r="V91">
        <v>2291944</v>
      </c>
      <c r="W91">
        <v>13668544</v>
      </c>
      <c r="X91">
        <v>0</v>
      </c>
      <c r="Y91">
        <v>5005160000</v>
      </c>
      <c r="Z91">
        <v>19752466</v>
      </c>
      <c r="AA91">
        <v>3725325</v>
      </c>
      <c r="AB91">
        <v>0</v>
      </c>
      <c r="AD91">
        <v>10019325</v>
      </c>
      <c r="AE91">
        <v>5359317</v>
      </c>
      <c r="AF91">
        <v>145986910</v>
      </c>
      <c r="AG91">
        <v>0</v>
      </c>
      <c r="AH91">
        <v>6406783</v>
      </c>
      <c r="AI91">
        <v>30658093</v>
      </c>
      <c r="AJ91">
        <v>4322201</v>
      </c>
      <c r="AK91">
        <v>1203736</v>
      </c>
      <c r="AL91">
        <v>2386079</v>
      </c>
      <c r="AN91">
        <v>13699534</v>
      </c>
      <c r="AP91">
        <v>0</v>
      </c>
      <c r="AQ91">
        <v>302918405</v>
      </c>
      <c r="AR91">
        <v>0</v>
      </c>
      <c r="AS91">
        <v>2035443</v>
      </c>
      <c r="AT91">
        <v>39634371</v>
      </c>
      <c r="AU91">
        <v>4574162</v>
      </c>
      <c r="AV91">
        <v>0</v>
      </c>
      <c r="AW91">
        <v>0</v>
      </c>
      <c r="AX91">
        <v>5249906</v>
      </c>
      <c r="AY91">
        <v>0</v>
      </c>
      <c r="AZ91">
        <v>0</v>
      </c>
      <c r="BA91">
        <v>5509408</v>
      </c>
      <c r="BB91">
        <v>1134636</v>
      </c>
      <c r="BC91">
        <v>11848539</v>
      </c>
      <c r="BD91">
        <v>0</v>
      </c>
      <c r="BE91">
        <v>0</v>
      </c>
      <c r="BF91">
        <v>11497134</v>
      </c>
      <c r="BG91">
        <v>0</v>
      </c>
      <c r="BH91">
        <v>0</v>
      </c>
      <c r="BI91">
        <v>13462182</v>
      </c>
      <c r="BJ91">
        <v>0</v>
      </c>
      <c r="BK91">
        <v>8099962</v>
      </c>
      <c r="BL91">
        <v>3395693</v>
      </c>
      <c r="BM91">
        <v>2363971</v>
      </c>
      <c r="BN91">
        <v>0</v>
      </c>
      <c r="BO91">
        <v>36837876</v>
      </c>
      <c r="BP91">
        <v>1308536796</v>
      </c>
      <c r="BQ91">
        <v>0</v>
      </c>
      <c r="BR91">
        <v>327218</v>
      </c>
      <c r="BS91">
        <v>1139197</v>
      </c>
      <c r="BU91">
        <v>4220688</v>
      </c>
      <c r="BV91">
        <v>0</v>
      </c>
      <c r="BW91">
        <v>82038175</v>
      </c>
      <c r="BX91">
        <v>13306267</v>
      </c>
      <c r="BY91">
        <v>62653985</v>
      </c>
      <c r="BZ91">
        <v>17326124</v>
      </c>
      <c r="CA91">
        <v>2291041</v>
      </c>
      <c r="CB91">
        <v>8882246</v>
      </c>
      <c r="CC91">
        <v>4479124</v>
      </c>
      <c r="CD91">
        <v>6174704</v>
      </c>
      <c r="CF91">
        <v>12514239</v>
      </c>
      <c r="CG91">
        <v>0</v>
      </c>
      <c r="CH91">
        <v>7711748</v>
      </c>
      <c r="CI91">
        <v>0</v>
      </c>
      <c r="CK91">
        <v>1702392</v>
      </c>
    </row>
    <row r="92" spans="1:89" x14ac:dyDescent="0.3">
      <c r="A92" s="155">
        <v>382</v>
      </c>
      <c r="B92" t="s">
        <v>106</v>
      </c>
      <c r="D92">
        <v>0</v>
      </c>
      <c r="E92">
        <v>0</v>
      </c>
      <c r="F92">
        <v>0</v>
      </c>
      <c r="G92">
        <v>0</v>
      </c>
      <c r="I92">
        <v>0</v>
      </c>
      <c r="J92">
        <v>0</v>
      </c>
      <c r="K92">
        <v>0</v>
      </c>
      <c r="L92">
        <v>0</v>
      </c>
      <c r="M92">
        <v>0</v>
      </c>
      <c r="N92">
        <v>0</v>
      </c>
      <c r="O92">
        <v>0</v>
      </c>
      <c r="P92">
        <v>0</v>
      </c>
      <c r="Q92">
        <v>0</v>
      </c>
      <c r="R92">
        <v>0</v>
      </c>
      <c r="S92">
        <v>0</v>
      </c>
      <c r="T92">
        <v>0</v>
      </c>
      <c r="U92">
        <v>0</v>
      </c>
      <c r="V92">
        <v>0</v>
      </c>
      <c r="W92">
        <v>0</v>
      </c>
      <c r="X92">
        <v>0</v>
      </c>
      <c r="Y92">
        <v>0</v>
      </c>
      <c r="Z92">
        <v>7149600</v>
      </c>
      <c r="AA92">
        <v>0</v>
      </c>
      <c r="AB92">
        <v>0</v>
      </c>
      <c r="AD92">
        <v>0</v>
      </c>
      <c r="AE92">
        <v>0</v>
      </c>
      <c r="AF92">
        <v>25847094</v>
      </c>
      <c r="AG92">
        <v>0</v>
      </c>
      <c r="AH92">
        <v>0</v>
      </c>
      <c r="AI92">
        <v>0</v>
      </c>
      <c r="AJ92">
        <v>0</v>
      </c>
      <c r="AK92">
        <v>0</v>
      </c>
      <c r="AL92">
        <v>0</v>
      </c>
      <c r="AN92">
        <v>0</v>
      </c>
      <c r="AP92">
        <v>0</v>
      </c>
      <c r="AQ92">
        <v>211869499</v>
      </c>
      <c r="AR92">
        <v>0</v>
      </c>
      <c r="AS92">
        <v>0</v>
      </c>
      <c r="AT92">
        <v>0</v>
      </c>
      <c r="AU92">
        <v>0</v>
      </c>
      <c r="AV92">
        <v>0</v>
      </c>
      <c r="AW92">
        <v>11589168</v>
      </c>
      <c r="AX92">
        <v>0</v>
      </c>
      <c r="AY92">
        <v>0</v>
      </c>
      <c r="AZ92">
        <v>0</v>
      </c>
      <c r="BA92">
        <v>0</v>
      </c>
      <c r="BB92">
        <v>0</v>
      </c>
      <c r="BC92">
        <v>11428476</v>
      </c>
      <c r="BD92">
        <v>0</v>
      </c>
      <c r="BE92">
        <v>0</v>
      </c>
      <c r="BF92">
        <v>0</v>
      </c>
      <c r="BG92">
        <v>0</v>
      </c>
      <c r="BH92">
        <v>0</v>
      </c>
      <c r="BI92">
        <v>0</v>
      </c>
      <c r="BJ92">
        <v>0</v>
      </c>
      <c r="BK92">
        <v>0</v>
      </c>
      <c r="BL92">
        <v>4604134</v>
      </c>
      <c r="BM92">
        <v>0</v>
      </c>
      <c r="BN92">
        <v>0</v>
      </c>
      <c r="BO92">
        <v>0</v>
      </c>
      <c r="BP92">
        <v>0</v>
      </c>
      <c r="BQ92">
        <v>0</v>
      </c>
      <c r="BR92">
        <v>0</v>
      </c>
      <c r="BS92">
        <v>0</v>
      </c>
      <c r="BU92">
        <v>0</v>
      </c>
      <c r="BV92">
        <v>0</v>
      </c>
      <c r="BW92">
        <v>0</v>
      </c>
      <c r="BX92">
        <v>6718328</v>
      </c>
      <c r="BY92">
        <v>37075312</v>
      </c>
      <c r="BZ92">
        <v>0</v>
      </c>
      <c r="CA92">
        <v>0</v>
      </c>
      <c r="CB92">
        <v>0</v>
      </c>
      <c r="CC92">
        <v>0</v>
      </c>
      <c r="CD92">
        <v>0</v>
      </c>
      <c r="CF92">
        <v>0</v>
      </c>
      <c r="CG92">
        <v>0</v>
      </c>
      <c r="CH92">
        <v>8504725</v>
      </c>
      <c r="CI92">
        <v>0</v>
      </c>
      <c r="CK92">
        <v>0</v>
      </c>
    </row>
    <row r="93" spans="1:89" x14ac:dyDescent="0.3">
      <c r="A93" s="155">
        <v>383</v>
      </c>
      <c r="B93" t="s">
        <v>212</v>
      </c>
      <c r="D93">
        <v>0</v>
      </c>
      <c r="E93">
        <v>0</v>
      </c>
      <c r="F93">
        <v>0</v>
      </c>
      <c r="G93">
        <v>0</v>
      </c>
      <c r="I93">
        <v>0</v>
      </c>
      <c r="J93">
        <v>0</v>
      </c>
      <c r="K93">
        <v>0</v>
      </c>
      <c r="L93">
        <v>0</v>
      </c>
      <c r="M93">
        <v>0</v>
      </c>
      <c r="N93">
        <v>0</v>
      </c>
      <c r="O93">
        <v>0</v>
      </c>
      <c r="P93">
        <v>0</v>
      </c>
      <c r="Q93">
        <v>0</v>
      </c>
      <c r="R93">
        <v>0</v>
      </c>
      <c r="S93">
        <v>0</v>
      </c>
      <c r="T93">
        <v>0</v>
      </c>
      <c r="U93">
        <v>0</v>
      </c>
      <c r="V93">
        <v>0</v>
      </c>
      <c r="W93">
        <v>0</v>
      </c>
      <c r="X93">
        <v>0</v>
      </c>
      <c r="Y93">
        <v>0</v>
      </c>
      <c r="Z93">
        <v>0</v>
      </c>
      <c r="AA93">
        <v>0</v>
      </c>
      <c r="AB93">
        <v>0</v>
      </c>
      <c r="AD93">
        <v>0</v>
      </c>
      <c r="AE93">
        <v>0</v>
      </c>
      <c r="AF93">
        <v>0</v>
      </c>
      <c r="AG93">
        <v>0</v>
      </c>
      <c r="AH93">
        <v>0</v>
      </c>
      <c r="AI93">
        <v>0</v>
      </c>
      <c r="AJ93">
        <v>11238</v>
      </c>
      <c r="AK93">
        <v>0</v>
      </c>
      <c r="AL93">
        <v>0</v>
      </c>
      <c r="AN93">
        <v>0</v>
      </c>
      <c r="AP93">
        <v>0</v>
      </c>
      <c r="AQ93">
        <v>0</v>
      </c>
      <c r="AR93">
        <v>0</v>
      </c>
      <c r="AS93">
        <v>0</v>
      </c>
      <c r="AT93">
        <v>140380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U93">
        <v>0</v>
      </c>
      <c r="BV93">
        <v>0</v>
      </c>
      <c r="BW93">
        <v>0</v>
      </c>
      <c r="BX93">
        <v>0</v>
      </c>
      <c r="BY93">
        <v>7679</v>
      </c>
      <c r="BZ93">
        <v>0</v>
      </c>
      <c r="CA93">
        <v>0</v>
      </c>
      <c r="CB93">
        <v>8005</v>
      </c>
      <c r="CC93">
        <v>0</v>
      </c>
      <c r="CD93">
        <v>0</v>
      </c>
      <c r="CF93">
        <v>0</v>
      </c>
      <c r="CG93">
        <v>0</v>
      </c>
      <c r="CH93">
        <v>0</v>
      </c>
      <c r="CI93">
        <v>0</v>
      </c>
      <c r="CK93">
        <v>0</v>
      </c>
    </row>
    <row r="94" spans="1:89" x14ac:dyDescent="0.3">
      <c r="A94" s="155">
        <v>384</v>
      </c>
      <c r="B94" t="s">
        <v>116</v>
      </c>
      <c r="D94">
        <v>0</v>
      </c>
      <c r="E94">
        <v>0</v>
      </c>
      <c r="F94">
        <v>0</v>
      </c>
      <c r="G94">
        <v>0</v>
      </c>
      <c r="I94">
        <v>0</v>
      </c>
      <c r="J94">
        <v>0</v>
      </c>
      <c r="K94">
        <v>0</v>
      </c>
      <c r="L94">
        <v>0</v>
      </c>
      <c r="M94">
        <v>0</v>
      </c>
      <c r="N94">
        <v>0</v>
      </c>
      <c r="O94">
        <v>0</v>
      </c>
      <c r="P94">
        <v>0</v>
      </c>
      <c r="Q94">
        <v>0</v>
      </c>
      <c r="R94">
        <v>0</v>
      </c>
      <c r="S94">
        <v>0</v>
      </c>
      <c r="T94">
        <v>0</v>
      </c>
      <c r="U94">
        <v>0</v>
      </c>
      <c r="V94">
        <v>0</v>
      </c>
      <c r="W94">
        <v>0</v>
      </c>
      <c r="X94">
        <v>0</v>
      </c>
      <c r="Y94">
        <v>0</v>
      </c>
      <c r="Z94">
        <v>0</v>
      </c>
      <c r="AA94">
        <v>0</v>
      </c>
      <c r="AB94">
        <v>0</v>
      </c>
      <c r="AD94">
        <v>0</v>
      </c>
      <c r="AE94">
        <v>0</v>
      </c>
      <c r="AF94">
        <v>0</v>
      </c>
      <c r="AG94">
        <v>0</v>
      </c>
      <c r="AH94">
        <v>0</v>
      </c>
      <c r="AI94">
        <v>0</v>
      </c>
      <c r="AJ94">
        <v>0</v>
      </c>
      <c r="AK94">
        <v>0</v>
      </c>
      <c r="AL94">
        <v>0</v>
      </c>
      <c r="AN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U94">
        <v>0</v>
      </c>
      <c r="BV94">
        <v>0</v>
      </c>
      <c r="BW94">
        <v>0</v>
      </c>
      <c r="BX94">
        <v>0</v>
      </c>
      <c r="BY94">
        <v>0</v>
      </c>
      <c r="BZ94">
        <v>0</v>
      </c>
      <c r="CA94">
        <v>0</v>
      </c>
      <c r="CB94">
        <v>0</v>
      </c>
      <c r="CC94">
        <v>0</v>
      </c>
      <c r="CD94">
        <v>0</v>
      </c>
      <c r="CF94">
        <v>0</v>
      </c>
      <c r="CG94">
        <v>0</v>
      </c>
      <c r="CH94">
        <v>0</v>
      </c>
      <c r="CI94">
        <v>0</v>
      </c>
      <c r="CK94">
        <v>0</v>
      </c>
    </row>
    <row r="95" spans="1:89" x14ac:dyDescent="0.3">
      <c r="A95" s="155">
        <v>385</v>
      </c>
      <c r="B95" t="s">
        <v>107</v>
      </c>
      <c r="D95">
        <v>4100909</v>
      </c>
      <c r="E95">
        <v>4807550</v>
      </c>
      <c r="F95">
        <v>1183722</v>
      </c>
      <c r="G95">
        <v>1048113</v>
      </c>
      <c r="I95">
        <v>18286100</v>
      </c>
      <c r="J95">
        <v>5673073</v>
      </c>
      <c r="K95">
        <v>51520364</v>
      </c>
      <c r="L95">
        <v>9495058</v>
      </c>
      <c r="M95">
        <v>90485874</v>
      </c>
      <c r="N95">
        <v>7228368</v>
      </c>
      <c r="O95">
        <v>1506205992</v>
      </c>
      <c r="P95">
        <v>162718</v>
      </c>
      <c r="Q95">
        <v>949621</v>
      </c>
      <c r="R95">
        <v>10257646</v>
      </c>
      <c r="S95">
        <v>2871883</v>
      </c>
      <c r="T95">
        <v>5073076</v>
      </c>
      <c r="U95">
        <v>740202</v>
      </c>
      <c r="V95">
        <v>1248288</v>
      </c>
      <c r="W95">
        <v>5380606</v>
      </c>
      <c r="X95">
        <v>258822992</v>
      </c>
      <c r="Y95">
        <v>8786001000</v>
      </c>
      <c r="Z95">
        <v>15035061</v>
      </c>
      <c r="AA95">
        <v>2386148</v>
      </c>
      <c r="AB95">
        <v>10027349</v>
      </c>
      <c r="AD95">
        <v>14557427</v>
      </c>
      <c r="AE95">
        <v>3696891</v>
      </c>
      <c r="AF95">
        <v>120795888</v>
      </c>
      <c r="AG95">
        <v>59733473</v>
      </c>
      <c r="AH95">
        <v>6081224</v>
      </c>
      <c r="AI95">
        <v>24743901</v>
      </c>
      <c r="AJ95">
        <v>2875093</v>
      </c>
      <c r="AK95">
        <v>3632296</v>
      </c>
      <c r="AL95">
        <v>2075027</v>
      </c>
      <c r="AN95">
        <v>1766830</v>
      </c>
      <c r="AP95">
        <v>120498</v>
      </c>
      <c r="AQ95">
        <v>681227846</v>
      </c>
      <c r="AR95">
        <v>502148</v>
      </c>
      <c r="AS95">
        <v>3776790</v>
      </c>
      <c r="AT95">
        <v>66512297</v>
      </c>
      <c r="AU95">
        <v>1305697</v>
      </c>
      <c r="AV95">
        <v>2164677</v>
      </c>
      <c r="AW95">
        <v>138771667</v>
      </c>
      <c r="AX95">
        <v>764530</v>
      </c>
      <c r="AY95">
        <v>19565004</v>
      </c>
      <c r="AZ95">
        <v>36022308</v>
      </c>
      <c r="BA95">
        <v>672831</v>
      </c>
      <c r="BB95">
        <v>466226</v>
      </c>
      <c r="BC95">
        <v>14410558</v>
      </c>
      <c r="BD95">
        <v>353916</v>
      </c>
      <c r="BE95">
        <v>67689044</v>
      </c>
      <c r="BF95">
        <v>4603304</v>
      </c>
      <c r="BG95">
        <v>1850563</v>
      </c>
      <c r="BH95">
        <v>985694</v>
      </c>
      <c r="BI95">
        <v>4712603</v>
      </c>
      <c r="BJ95">
        <v>3796290</v>
      </c>
      <c r="BK95">
        <v>991184</v>
      </c>
      <c r="BL95">
        <v>4286683</v>
      </c>
      <c r="BM95">
        <v>1786259</v>
      </c>
      <c r="BN95">
        <v>37906638</v>
      </c>
      <c r="BO95">
        <v>31249737</v>
      </c>
      <c r="BP95">
        <v>1337595858</v>
      </c>
      <c r="BQ95">
        <v>166672</v>
      </c>
      <c r="BR95">
        <v>441556</v>
      </c>
      <c r="BS95">
        <v>1989925</v>
      </c>
      <c r="BU95">
        <v>4362694</v>
      </c>
      <c r="BV95">
        <v>11198415</v>
      </c>
      <c r="BW95">
        <v>48919679</v>
      </c>
      <c r="BX95">
        <v>14324375</v>
      </c>
      <c r="BY95">
        <v>50664754</v>
      </c>
      <c r="BZ95">
        <v>27676679</v>
      </c>
      <c r="CA95">
        <v>1475161</v>
      </c>
      <c r="CB95">
        <v>15492437</v>
      </c>
      <c r="CC95">
        <v>1251891</v>
      </c>
      <c r="CD95">
        <v>2251057</v>
      </c>
      <c r="CF95">
        <v>22017361</v>
      </c>
      <c r="CG95">
        <v>39950333</v>
      </c>
      <c r="CH95">
        <v>9662390</v>
      </c>
      <c r="CI95">
        <v>12687775</v>
      </c>
      <c r="CK95">
        <v>129283</v>
      </c>
    </row>
    <row r="96" spans="1:89" x14ac:dyDescent="0.3">
      <c r="A96" s="155">
        <v>386</v>
      </c>
      <c r="B96" t="s">
        <v>185</v>
      </c>
      <c r="D96">
        <v>0</v>
      </c>
      <c r="E96">
        <v>0</v>
      </c>
      <c r="F96">
        <v>0</v>
      </c>
      <c r="G96">
        <v>0</v>
      </c>
      <c r="I96">
        <v>0</v>
      </c>
      <c r="J96">
        <v>0</v>
      </c>
      <c r="K96">
        <v>400000</v>
      </c>
      <c r="L96">
        <v>0</v>
      </c>
      <c r="M96">
        <v>0</v>
      </c>
      <c r="N96">
        <v>0</v>
      </c>
      <c r="O96">
        <v>1000000</v>
      </c>
      <c r="P96">
        <v>0</v>
      </c>
      <c r="Q96">
        <v>0</v>
      </c>
      <c r="R96">
        <v>0</v>
      </c>
      <c r="S96">
        <v>0</v>
      </c>
      <c r="T96">
        <v>0</v>
      </c>
      <c r="U96">
        <v>0</v>
      </c>
      <c r="V96">
        <v>0</v>
      </c>
      <c r="W96">
        <v>0</v>
      </c>
      <c r="X96">
        <v>1130530</v>
      </c>
      <c r="Y96">
        <v>0</v>
      </c>
      <c r="Z96">
        <v>0</v>
      </c>
      <c r="AA96">
        <v>0</v>
      </c>
      <c r="AB96">
        <v>0</v>
      </c>
      <c r="AD96">
        <v>22000</v>
      </c>
      <c r="AE96">
        <v>0</v>
      </c>
      <c r="AF96">
        <v>0</v>
      </c>
      <c r="AG96">
        <v>0</v>
      </c>
      <c r="AH96">
        <v>0</v>
      </c>
      <c r="AI96">
        <v>0</v>
      </c>
      <c r="AJ96">
        <v>0</v>
      </c>
      <c r="AK96">
        <v>0</v>
      </c>
      <c r="AL96">
        <v>0</v>
      </c>
      <c r="AN96">
        <v>0</v>
      </c>
      <c r="AP96">
        <v>0</v>
      </c>
      <c r="AQ96">
        <v>4391825</v>
      </c>
      <c r="AR96">
        <v>0</v>
      </c>
      <c r="AS96">
        <v>0</v>
      </c>
      <c r="AT96">
        <v>200000</v>
      </c>
      <c r="AU96">
        <v>0</v>
      </c>
      <c r="AV96">
        <v>0</v>
      </c>
      <c r="AW96">
        <v>0</v>
      </c>
      <c r="AX96">
        <v>61827</v>
      </c>
      <c r="AY96">
        <v>0</v>
      </c>
      <c r="AZ96">
        <v>0</v>
      </c>
      <c r="BA96">
        <v>0</v>
      </c>
      <c r="BB96">
        <v>0</v>
      </c>
      <c r="BC96">
        <v>1427275</v>
      </c>
      <c r="BD96">
        <v>0</v>
      </c>
      <c r="BE96">
        <v>0</v>
      </c>
      <c r="BF96">
        <v>0</v>
      </c>
      <c r="BG96">
        <v>0</v>
      </c>
      <c r="BH96">
        <v>0</v>
      </c>
      <c r="BI96">
        <v>0</v>
      </c>
      <c r="BJ96">
        <v>0</v>
      </c>
      <c r="BK96">
        <v>0</v>
      </c>
      <c r="BL96">
        <v>0</v>
      </c>
      <c r="BM96">
        <v>0</v>
      </c>
      <c r="BN96">
        <v>0</v>
      </c>
      <c r="BO96">
        <v>0</v>
      </c>
      <c r="BP96">
        <v>0</v>
      </c>
      <c r="BQ96">
        <v>0</v>
      </c>
      <c r="BR96">
        <v>0</v>
      </c>
      <c r="BS96">
        <v>0</v>
      </c>
      <c r="BU96">
        <v>0</v>
      </c>
      <c r="BV96">
        <v>0</v>
      </c>
      <c r="BW96">
        <v>0</v>
      </c>
      <c r="BX96">
        <v>332293</v>
      </c>
      <c r="BY96">
        <v>925000</v>
      </c>
      <c r="BZ96">
        <v>0</v>
      </c>
      <c r="CA96">
        <v>0</v>
      </c>
      <c r="CB96">
        <v>0</v>
      </c>
      <c r="CC96">
        <v>0</v>
      </c>
      <c r="CD96">
        <v>0</v>
      </c>
      <c r="CF96">
        <v>0</v>
      </c>
      <c r="CG96">
        <v>0</v>
      </c>
      <c r="CH96">
        <v>0</v>
      </c>
      <c r="CI96">
        <v>0</v>
      </c>
      <c r="CK96">
        <v>22628</v>
      </c>
    </row>
    <row r="97" spans="1:89" x14ac:dyDescent="0.3">
      <c r="A97" s="155">
        <v>387</v>
      </c>
      <c r="B97" t="s">
        <v>186</v>
      </c>
      <c r="D97">
        <v>0</v>
      </c>
      <c r="E97">
        <v>0</v>
      </c>
      <c r="F97">
        <v>0</v>
      </c>
      <c r="G97">
        <v>0</v>
      </c>
      <c r="I97">
        <v>0</v>
      </c>
      <c r="J97">
        <v>0</v>
      </c>
      <c r="K97">
        <v>0</v>
      </c>
      <c r="L97">
        <v>0</v>
      </c>
      <c r="M97">
        <v>6036</v>
      </c>
      <c r="N97">
        <v>0</v>
      </c>
      <c r="O97">
        <v>70000</v>
      </c>
      <c r="P97">
        <v>0</v>
      </c>
      <c r="Q97">
        <v>0</v>
      </c>
      <c r="R97">
        <v>0</v>
      </c>
      <c r="S97">
        <v>0</v>
      </c>
      <c r="T97">
        <v>0</v>
      </c>
      <c r="U97">
        <v>0</v>
      </c>
      <c r="V97">
        <v>69550</v>
      </c>
      <c r="W97">
        <v>0</v>
      </c>
      <c r="X97">
        <v>0</v>
      </c>
      <c r="Y97">
        <v>160625000</v>
      </c>
      <c r="Z97">
        <v>0</v>
      </c>
      <c r="AA97">
        <v>0</v>
      </c>
      <c r="AB97">
        <v>0</v>
      </c>
      <c r="AD97">
        <v>0</v>
      </c>
      <c r="AE97">
        <v>0</v>
      </c>
      <c r="AF97">
        <v>0</v>
      </c>
      <c r="AG97">
        <v>305517</v>
      </c>
      <c r="AH97">
        <v>0</v>
      </c>
      <c r="AI97">
        <v>952332</v>
      </c>
      <c r="AJ97">
        <v>0</v>
      </c>
      <c r="AK97">
        <v>0</v>
      </c>
      <c r="AL97">
        <v>0</v>
      </c>
      <c r="AN97">
        <v>0</v>
      </c>
      <c r="AP97">
        <v>0</v>
      </c>
      <c r="AQ97">
        <v>0</v>
      </c>
      <c r="AR97">
        <v>0</v>
      </c>
      <c r="AS97">
        <v>0</v>
      </c>
      <c r="AT97">
        <v>0</v>
      </c>
      <c r="AU97">
        <v>0</v>
      </c>
      <c r="AV97">
        <v>0</v>
      </c>
      <c r="AW97">
        <v>0</v>
      </c>
      <c r="AX97">
        <v>0</v>
      </c>
      <c r="AY97">
        <v>0</v>
      </c>
      <c r="AZ97">
        <v>0</v>
      </c>
      <c r="BA97">
        <v>0</v>
      </c>
      <c r="BB97">
        <v>19067</v>
      </c>
      <c r="BC97">
        <v>0</v>
      </c>
      <c r="BD97">
        <v>0</v>
      </c>
      <c r="BE97">
        <v>116170</v>
      </c>
      <c r="BF97">
        <v>0</v>
      </c>
      <c r="BG97">
        <v>0</v>
      </c>
      <c r="BH97">
        <v>0</v>
      </c>
      <c r="BI97">
        <v>0</v>
      </c>
      <c r="BJ97">
        <v>0</v>
      </c>
      <c r="BK97">
        <v>0</v>
      </c>
      <c r="BL97">
        <v>0</v>
      </c>
      <c r="BM97">
        <v>0</v>
      </c>
      <c r="BN97">
        <v>0</v>
      </c>
      <c r="BO97">
        <v>0</v>
      </c>
      <c r="BP97">
        <v>13281314</v>
      </c>
      <c r="BQ97">
        <v>0</v>
      </c>
      <c r="BR97">
        <v>0</v>
      </c>
      <c r="BS97">
        <v>0</v>
      </c>
      <c r="BU97">
        <v>0</v>
      </c>
      <c r="BV97">
        <v>0</v>
      </c>
      <c r="BW97">
        <v>134371</v>
      </c>
      <c r="BX97">
        <v>0</v>
      </c>
      <c r="BY97">
        <v>0</v>
      </c>
      <c r="BZ97">
        <v>0</v>
      </c>
      <c r="CA97">
        <v>35375</v>
      </c>
      <c r="CB97">
        <v>0</v>
      </c>
      <c r="CC97">
        <v>0</v>
      </c>
      <c r="CD97">
        <v>0</v>
      </c>
      <c r="CF97">
        <v>0</v>
      </c>
      <c r="CG97">
        <v>0</v>
      </c>
      <c r="CH97">
        <v>0</v>
      </c>
      <c r="CI97">
        <v>0</v>
      </c>
      <c r="CK97">
        <v>0</v>
      </c>
    </row>
    <row r="98" spans="1:89" x14ac:dyDescent="0.3">
      <c r="A98" s="155">
        <v>388</v>
      </c>
      <c r="B98" t="s">
        <v>180</v>
      </c>
      <c r="D98">
        <v>578664</v>
      </c>
      <c r="E98">
        <v>1568812</v>
      </c>
      <c r="F98">
        <v>464454</v>
      </c>
      <c r="G98">
        <v>201171</v>
      </c>
      <c r="I98">
        <v>7050495</v>
      </c>
      <c r="J98">
        <v>1929329</v>
      </c>
      <c r="K98">
        <v>16650682</v>
      </c>
      <c r="L98">
        <v>3684001</v>
      </c>
      <c r="M98">
        <v>24783525</v>
      </c>
      <c r="N98">
        <v>3183302</v>
      </c>
      <c r="O98">
        <v>246832246</v>
      </c>
      <c r="P98">
        <v>43205</v>
      </c>
      <c r="Q98">
        <v>182586</v>
      </c>
      <c r="R98">
        <v>1271047</v>
      </c>
      <c r="S98">
        <v>781406</v>
      </c>
      <c r="T98">
        <v>915736</v>
      </c>
      <c r="U98">
        <v>167833</v>
      </c>
      <c r="V98">
        <v>160074</v>
      </c>
      <c r="W98">
        <v>1717941</v>
      </c>
      <c r="X98">
        <v>80628330</v>
      </c>
      <c r="Y98">
        <v>1019221000</v>
      </c>
      <c r="Z98">
        <v>5529283</v>
      </c>
      <c r="AA98">
        <v>221863</v>
      </c>
      <c r="AB98">
        <v>4061849</v>
      </c>
      <c r="AD98">
        <v>3834383</v>
      </c>
      <c r="AE98">
        <v>706271</v>
      </c>
      <c r="AF98">
        <v>26752704</v>
      </c>
      <c r="AG98">
        <v>7408830</v>
      </c>
      <c r="AH98">
        <v>1246267</v>
      </c>
      <c r="AI98">
        <v>10719797</v>
      </c>
      <c r="AJ98">
        <v>1088381</v>
      </c>
      <c r="AK98">
        <v>1566835</v>
      </c>
      <c r="AL98">
        <v>452150</v>
      </c>
      <c r="AN98">
        <v>704830</v>
      </c>
      <c r="AP98">
        <v>26595</v>
      </c>
      <c r="AQ98">
        <v>123426865</v>
      </c>
      <c r="AR98">
        <v>137198</v>
      </c>
      <c r="AS98">
        <v>535010</v>
      </c>
      <c r="AT98">
        <v>12362708</v>
      </c>
      <c r="AU98">
        <v>757595</v>
      </c>
      <c r="AV98">
        <v>430142</v>
      </c>
      <c r="AW98">
        <v>24612613</v>
      </c>
      <c r="AX98">
        <v>405667</v>
      </c>
      <c r="AY98">
        <v>5928842</v>
      </c>
      <c r="AZ98">
        <v>5122644</v>
      </c>
      <c r="BA98">
        <v>151975</v>
      </c>
      <c r="BB98">
        <v>125910</v>
      </c>
      <c r="BC98">
        <v>4446758</v>
      </c>
      <c r="BD98">
        <v>60820</v>
      </c>
      <c r="BE98">
        <v>13805341</v>
      </c>
      <c r="BF98">
        <v>1567269</v>
      </c>
      <c r="BG98">
        <v>284519</v>
      </c>
      <c r="BH98">
        <v>374171</v>
      </c>
      <c r="BI98">
        <v>1965849</v>
      </c>
      <c r="BJ98">
        <v>249121</v>
      </c>
      <c r="BK98">
        <v>407819</v>
      </c>
      <c r="BL98">
        <v>1143262</v>
      </c>
      <c r="BM98">
        <v>415725</v>
      </c>
      <c r="BN98">
        <v>9421609</v>
      </c>
      <c r="BO98">
        <v>12570229</v>
      </c>
      <c r="BP98">
        <v>308986539</v>
      </c>
      <c r="BQ98">
        <v>58969</v>
      </c>
      <c r="BR98">
        <v>83910</v>
      </c>
      <c r="BS98">
        <v>390722</v>
      </c>
      <c r="BU98">
        <v>2087448</v>
      </c>
      <c r="BV98">
        <v>1143227</v>
      </c>
      <c r="BW98">
        <v>17290386</v>
      </c>
      <c r="BX98">
        <v>6465375</v>
      </c>
      <c r="BY98">
        <v>22615720</v>
      </c>
      <c r="BZ98">
        <v>6598866</v>
      </c>
      <c r="CA98">
        <v>273098</v>
      </c>
      <c r="CB98">
        <v>5936679</v>
      </c>
      <c r="CC98">
        <v>190454</v>
      </c>
      <c r="CD98">
        <v>845447</v>
      </c>
      <c r="CF98">
        <v>7508509</v>
      </c>
      <c r="CG98">
        <v>12502073</v>
      </c>
      <c r="CH98">
        <v>2153838</v>
      </c>
      <c r="CI98">
        <v>3217044</v>
      </c>
      <c r="CK98">
        <v>65937</v>
      </c>
    </row>
    <row r="99" spans="1:89" x14ac:dyDescent="0.3">
      <c r="A99" s="155">
        <v>389</v>
      </c>
      <c r="B99" t="s">
        <v>187</v>
      </c>
      <c r="D99">
        <v>0</v>
      </c>
      <c r="E99">
        <v>0</v>
      </c>
      <c r="F99">
        <v>0</v>
      </c>
      <c r="G99">
        <v>0</v>
      </c>
      <c r="I99">
        <v>-1945991</v>
      </c>
      <c r="J99">
        <v>0</v>
      </c>
      <c r="K99">
        <v>0</v>
      </c>
      <c r="L99">
        <v>0</v>
      </c>
      <c r="M99">
        <v>0</v>
      </c>
      <c r="N99">
        <v>0</v>
      </c>
      <c r="O99">
        <v>0</v>
      </c>
      <c r="P99">
        <v>0</v>
      </c>
      <c r="Q99">
        <v>0</v>
      </c>
      <c r="R99">
        <v>0</v>
      </c>
      <c r="S99">
        <v>0</v>
      </c>
      <c r="T99">
        <v>0</v>
      </c>
      <c r="U99">
        <v>0</v>
      </c>
      <c r="V99">
        <v>0</v>
      </c>
      <c r="W99">
        <v>0</v>
      </c>
      <c r="X99">
        <v>0</v>
      </c>
      <c r="Y99">
        <v>0</v>
      </c>
      <c r="Z99">
        <v>0</v>
      </c>
      <c r="AA99">
        <v>0</v>
      </c>
      <c r="AB99">
        <v>0</v>
      </c>
      <c r="AD99">
        <v>0</v>
      </c>
      <c r="AE99">
        <v>0</v>
      </c>
      <c r="AF99">
        <v>0</v>
      </c>
      <c r="AG99">
        <v>0</v>
      </c>
      <c r="AH99">
        <v>0</v>
      </c>
      <c r="AI99">
        <v>0</v>
      </c>
      <c r="AJ99">
        <v>-117866</v>
      </c>
      <c r="AK99">
        <v>0</v>
      </c>
      <c r="AL99">
        <v>0</v>
      </c>
      <c r="AN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U99">
        <v>0</v>
      </c>
      <c r="BV99">
        <v>0</v>
      </c>
      <c r="BW99">
        <v>0</v>
      </c>
      <c r="BX99">
        <v>0</v>
      </c>
      <c r="BY99">
        <v>0</v>
      </c>
      <c r="BZ99">
        <v>0</v>
      </c>
      <c r="CA99">
        <v>0</v>
      </c>
      <c r="CB99">
        <v>0</v>
      </c>
      <c r="CC99">
        <v>0</v>
      </c>
      <c r="CD99">
        <v>0</v>
      </c>
      <c r="CF99">
        <v>0</v>
      </c>
      <c r="CG99">
        <v>0</v>
      </c>
      <c r="CH99">
        <v>0</v>
      </c>
      <c r="CI99">
        <v>0</v>
      </c>
      <c r="CK99">
        <v>0</v>
      </c>
    </row>
    <row r="100" spans="1:89" x14ac:dyDescent="0.3">
      <c r="A100" s="155">
        <v>391</v>
      </c>
      <c r="B100" t="s">
        <v>192</v>
      </c>
      <c r="D100">
        <v>148484</v>
      </c>
      <c r="E100">
        <v>239683</v>
      </c>
      <c r="F100">
        <v>31769</v>
      </c>
      <c r="G100">
        <v>21904</v>
      </c>
      <c r="I100">
        <v>1400848</v>
      </c>
      <c r="J100">
        <v>171735</v>
      </c>
      <c r="K100">
        <v>2078740</v>
      </c>
      <c r="L100">
        <v>329701</v>
      </c>
      <c r="M100">
        <v>3334758</v>
      </c>
      <c r="N100">
        <v>304111</v>
      </c>
      <c r="O100">
        <v>33139193</v>
      </c>
      <c r="P100">
        <v>4570</v>
      </c>
      <c r="Q100">
        <v>24392</v>
      </c>
      <c r="R100">
        <v>50181</v>
      </c>
      <c r="S100">
        <v>133813</v>
      </c>
      <c r="T100">
        <v>51770</v>
      </c>
      <c r="U100">
        <v>25651</v>
      </c>
      <c r="V100">
        <v>18178</v>
      </c>
      <c r="W100">
        <v>193007</v>
      </c>
      <c r="X100">
        <v>10293382</v>
      </c>
      <c r="Y100">
        <v>73364000</v>
      </c>
      <c r="Z100">
        <v>922501</v>
      </c>
      <c r="AA100">
        <v>21719</v>
      </c>
      <c r="AB100">
        <v>628076</v>
      </c>
      <c r="AD100">
        <v>365983</v>
      </c>
      <c r="AE100">
        <v>105563</v>
      </c>
      <c r="AF100">
        <v>2006511</v>
      </c>
      <c r="AG100">
        <v>1447223</v>
      </c>
      <c r="AH100">
        <v>112341</v>
      </c>
      <c r="AI100">
        <v>3204295</v>
      </c>
      <c r="AJ100">
        <v>199069</v>
      </c>
      <c r="AK100">
        <v>95741</v>
      </c>
      <c r="AL100">
        <v>76464</v>
      </c>
      <c r="AN100">
        <v>54842</v>
      </c>
      <c r="AP100">
        <v>2065</v>
      </c>
      <c r="AQ100">
        <v>24540108</v>
      </c>
      <c r="AR100">
        <v>10693</v>
      </c>
      <c r="AS100">
        <v>96048</v>
      </c>
      <c r="AT100">
        <v>2285428</v>
      </c>
      <c r="AU100">
        <v>47663</v>
      </c>
      <c r="AV100">
        <v>38268</v>
      </c>
      <c r="AW100">
        <v>7267031</v>
      </c>
      <c r="AX100">
        <v>67035</v>
      </c>
      <c r="AY100">
        <v>594730</v>
      </c>
      <c r="AZ100">
        <v>436786</v>
      </c>
      <c r="BA100">
        <v>25110</v>
      </c>
      <c r="BB100">
        <v>23838</v>
      </c>
      <c r="BC100">
        <v>370674</v>
      </c>
      <c r="BD100">
        <v>4150</v>
      </c>
      <c r="BE100">
        <v>1357144</v>
      </c>
      <c r="BF100">
        <v>172479</v>
      </c>
      <c r="BG100">
        <v>14442</v>
      </c>
      <c r="BH100">
        <v>23049</v>
      </c>
      <c r="BI100">
        <v>216145</v>
      </c>
      <c r="BJ100">
        <v>67142</v>
      </c>
      <c r="BK100">
        <v>304396</v>
      </c>
      <c r="BL100">
        <v>133298</v>
      </c>
      <c r="BM100">
        <v>91492</v>
      </c>
      <c r="BN100">
        <v>1354316</v>
      </c>
      <c r="BO100">
        <v>1564109</v>
      </c>
      <c r="BP100">
        <v>47170686</v>
      </c>
      <c r="BQ100">
        <v>2285</v>
      </c>
      <c r="BR100">
        <v>75265</v>
      </c>
      <c r="BS100">
        <v>53970</v>
      </c>
      <c r="BU100">
        <v>967875</v>
      </c>
      <c r="BV100">
        <v>196272</v>
      </c>
      <c r="BW100">
        <v>2076888</v>
      </c>
      <c r="BX100">
        <v>727209</v>
      </c>
      <c r="BY100">
        <v>4258637</v>
      </c>
      <c r="BZ100">
        <v>648699</v>
      </c>
      <c r="CA100">
        <v>76899</v>
      </c>
      <c r="CB100">
        <v>865708</v>
      </c>
      <c r="CC100">
        <v>17676</v>
      </c>
      <c r="CD100">
        <v>80418</v>
      </c>
      <c r="CF100">
        <v>865517</v>
      </c>
      <c r="CG100">
        <v>1376271</v>
      </c>
      <c r="CH100">
        <v>320350</v>
      </c>
      <c r="CI100">
        <v>410786</v>
      </c>
      <c r="CK100">
        <v>4082</v>
      </c>
    </row>
    <row r="101" spans="1:89" x14ac:dyDescent="0.3">
      <c r="A101" s="155">
        <v>500</v>
      </c>
      <c r="B101" t="s">
        <v>175</v>
      </c>
      <c r="D101">
        <v>73084</v>
      </c>
      <c r="E101">
        <v>375340</v>
      </c>
      <c r="F101">
        <v>68605</v>
      </c>
      <c r="G101">
        <v>42965</v>
      </c>
      <c r="I101">
        <v>134001</v>
      </c>
      <c r="J101">
        <v>855969</v>
      </c>
      <c r="K101">
        <v>3946076</v>
      </c>
      <c r="L101">
        <v>124607</v>
      </c>
      <c r="M101">
        <v>12885045</v>
      </c>
      <c r="N101">
        <v>2318649</v>
      </c>
      <c r="O101">
        <v>114715821</v>
      </c>
      <c r="P101">
        <v>14583</v>
      </c>
      <c r="Q101">
        <v>22764</v>
      </c>
      <c r="R101">
        <v>657</v>
      </c>
      <c r="S101">
        <v>310262</v>
      </c>
      <c r="T101">
        <v>293947</v>
      </c>
      <c r="U101">
        <v>152503</v>
      </c>
      <c r="V101">
        <v>147027</v>
      </c>
      <c r="W101">
        <v>476390</v>
      </c>
      <c r="X101">
        <v>53019519</v>
      </c>
      <c r="Y101">
        <v>107759000</v>
      </c>
      <c r="Z101">
        <v>3349128</v>
      </c>
      <c r="AA101">
        <v>0</v>
      </c>
      <c r="AB101">
        <v>1190665</v>
      </c>
      <c r="AD101">
        <v>520261</v>
      </c>
      <c r="AE101">
        <v>176435</v>
      </c>
      <c r="AF101">
        <v>18741527</v>
      </c>
      <c r="AG101">
        <v>2556079</v>
      </c>
      <c r="AH101">
        <v>181221</v>
      </c>
      <c r="AI101">
        <v>133634</v>
      </c>
      <c r="AJ101">
        <v>42921</v>
      </c>
      <c r="AK101">
        <v>547562</v>
      </c>
      <c r="AL101">
        <v>251094</v>
      </c>
      <c r="AN101">
        <v>0</v>
      </c>
      <c r="AP101">
        <v>0</v>
      </c>
      <c r="AQ101">
        <v>42369538</v>
      </c>
      <c r="AR101">
        <v>82005</v>
      </c>
      <c r="AS101">
        <v>293329</v>
      </c>
      <c r="AT101">
        <v>2531809</v>
      </c>
      <c r="AU101">
        <v>98686</v>
      </c>
      <c r="AV101">
        <v>221227</v>
      </c>
      <c r="AW101">
        <v>22823019</v>
      </c>
      <c r="AX101">
        <v>67032</v>
      </c>
      <c r="AY101">
        <v>339133</v>
      </c>
      <c r="AZ101">
        <v>813384</v>
      </c>
      <c r="BA101">
        <v>84084</v>
      </c>
      <c r="BB101">
        <v>23776</v>
      </c>
      <c r="BC101">
        <v>996880</v>
      </c>
      <c r="BD101">
        <v>44701</v>
      </c>
      <c r="BE101">
        <v>12712645</v>
      </c>
      <c r="BF101">
        <v>156188</v>
      </c>
      <c r="BG101">
        <v>50523</v>
      </c>
      <c r="BH101">
        <v>119503</v>
      </c>
      <c r="BI101">
        <v>328972</v>
      </c>
      <c r="BJ101">
        <v>51972</v>
      </c>
      <c r="BK101">
        <v>356025</v>
      </c>
      <c r="BL101">
        <v>75428</v>
      </c>
      <c r="BM101">
        <v>144530</v>
      </c>
      <c r="BN101">
        <v>7963526</v>
      </c>
      <c r="BO101">
        <v>1180041</v>
      </c>
      <c r="BP101">
        <v>34281684</v>
      </c>
      <c r="BQ101">
        <v>85148</v>
      </c>
      <c r="BR101">
        <v>115862</v>
      </c>
      <c r="BS101">
        <v>154043</v>
      </c>
      <c r="BU101">
        <v>174611</v>
      </c>
      <c r="BV101">
        <v>1748776</v>
      </c>
      <c r="BW101">
        <v>1866398</v>
      </c>
      <c r="BX101">
        <v>802315</v>
      </c>
      <c r="BY101">
        <v>3150863</v>
      </c>
      <c r="BZ101">
        <v>915643</v>
      </c>
      <c r="CA101">
        <v>12150</v>
      </c>
      <c r="CB101">
        <v>177342</v>
      </c>
      <c r="CC101">
        <v>229903</v>
      </c>
      <c r="CD101">
        <v>709224</v>
      </c>
      <c r="CF101">
        <v>2543150</v>
      </c>
      <c r="CG101">
        <v>11617</v>
      </c>
      <c r="CH101">
        <v>329807</v>
      </c>
      <c r="CI101">
        <v>897359</v>
      </c>
      <c r="CK101">
        <v>6736</v>
      </c>
    </row>
    <row r="102" spans="1:89" x14ac:dyDescent="0.3">
      <c r="A102" s="155">
        <v>502</v>
      </c>
      <c r="B102" t="s">
        <v>177</v>
      </c>
      <c r="D102">
        <v>161294</v>
      </c>
      <c r="E102">
        <v>0</v>
      </c>
      <c r="F102">
        <v>1157953</v>
      </c>
      <c r="G102">
        <v>331558</v>
      </c>
      <c r="I102">
        <v>4981669</v>
      </c>
      <c r="J102">
        <v>0</v>
      </c>
      <c r="K102">
        <v>4380702</v>
      </c>
      <c r="L102">
        <v>0</v>
      </c>
      <c r="M102">
        <v>1591613</v>
      </c>
      <c r="N102">
        <v>495907</v>
      </c>
      <c r="O102">
        <v>265035470</v>
      </c>
      <c r="P102">
        <v>0</v>
      </c>
      <c r="Q102">
        <v>0</v>
      </c>
      <c r="R102">
        <v>0</v>
      </c>
      <c r="S102">
        <v>0</v>
      </c>
      <c r="T102">
        <v>0</v>
      </c>
      <c r="U102">
        <v>0</v>
      </c>
      <c r="V102">
        <v>179341</v>
      </c>
      <c r="W102">
        <v>2275853</v>
      </c>
      <c r="X102">
        <v>47517746</v>
      </c>
      <c r="Y102">
        <v>1168470000</v>
      </c>
      <c r="Z102">
        <v>4989320</v>
      </c>
      <c r="AA102">
        <v>258904</v>
      </c>
      <c r="AB102">
        <v>0</v>
      </c>
      <c r="AD102">
        <v>3978237</v>
      </c>
      <c r="AE102">
        <v>585746</v>
      </c>
      <c r="AF102">
        <v>15139628</v>
      </c>
      <c r="AG102">
        <v>1665415</v>
      </c>
      <c r="AH102">
        <v>2874463</v>
      </c>
      <c r="AI102">
        <v>6282547</v>
      </c>
      <c r="AJ102">
        <v>1055729</v>
      </c>
      <c r="AK102">
        <v>854839</v>
      </c>
      <c r="AL102">
        <v>505566</v>
      </c>
      <c r="AN102">
        <v>2814250</v>
      </c>
      <c r="AP102">
        <v>0</v>
      </c>
      <c r="AQ102">
        <v>213965787</v>
      </c>
      <c r="AR102">
        <v>0</v>
      </c>
      <c r="AS102">
        <v>65726</v>
      </c>
      <c r="AT102">
        <v>8817984</v>
      </c>
      <c r="AU102">
        <v>1100163</v>
      </c>
      <c r="AV102">
        <v>0</v>
      </c>
      <c r="AW102">
        <v>5629038</v>
      </c>
      <c r="AX102">
        <v>92297</v>
      </c>
      <c r="AY102">
        <v>0</v>
      </c>
      <c r="AZ102">
        <v>673596</v>
      </c>
      <c r="BA102">
        <v>303661</v>
      </c>
      <c r="BB102">
        <v>43252</v>
      </c>
      <c r="BC102">
        <v>6676459</v>
      </c>
      <c r="BD102">
        <v>0</v>
      </c>
      <c r="BE102">
        <v>0</v>
      </c>
      <c r="BF102">
        <v>711619</v>
      </c>
      <c r="BG102">
        <v>0</v>
      </c>
      <c r="BH102">
        <v>0</v>
      </c>
      <c r="BI102">
        <v>690279</v>
      </c>
      <c r="BJ102">
        <v>0</v>
      </c>
      <c r="BK102">
        <v>74831</v>
      </c>
      <c r="BL102">
        <v>6717847</v>
      </c>
      <c r="BM102">
        <v>373151</v>
      </c>
      <c r="BN102">
        <v>0</v>
      </c>
      <c r="BO102">
        <v>0</v>
      </c>
      <c r="BP102">
        <v>179781922</v>
      </c>
      <c r="BQ102">
        <v>0</v>
      </c>
      <c r="BR102">
        <v>115027</v>
      </c>
      <c r="BS102">
        <v>464790</v>
      </c>
      <c r="BU102">
        <v>-22499</v>
      </c>
      <c r="BV102">
        <v>0</v>
      </c>
      <c r="BW102">
        <v>4060901</v>
      </c>
      <c r="BX102">
        <v>2653709</v>
      </c>
      <c r="BY102">
        <v>15241803</v>
      </c>
      <c r="BZ102">
        <v>3101983</v>
      </c>
      <c r="CA102">
        <v>167876</v>
      </c>
      <c r="CB102">
        <v>2558243</v>
      </c>
      <c r="CC102">
        <v>1110141</v>
      </c>
      <c r="CD102">
        <v>2755</v>
      </c>
      <c r="CF102">
        <v>13733698</v>
      </c>
      <c r="CG102">
        <v>0</v>
      </c>
      <c r="CH102">
        <v>7584987</v>
      </c>
      <c r="CI102">
        <v>0</v>
      </c>
      <c r="CK102">
        <v>5440</v>
      </c>
    </row>
    <row r="103" spans="1:89" x14ac:dyDescent="0.3">
      <c r="A103" s="155">
        <v>503</v>
      </c>
      <c r="B103" t="s">
        <v>178</v>
      </c>
      <c r="D103">
        <v>0</v>
      </c>
      <c r="E103">
        <v>0</v>
      </c>
      <c r="F103">
        <v>28830</v>
      </c>
      <c r="G103">
        <v>3464</v>
      </c>
      <c r="I103">
        <v>6335</v>
      </c>
      <c r="J103">
        <v>0</v>
      </c>
      <c r="K103">
        <v>3459705</v>
      </c>
      <c r="L103">
        <v>0</v>
      </c>
      <c r="M103">
        <v>0</v>
      </c>
      <c r="N103">
        <v>1564619</v>
      </c>
      <c r="O103">
        <v>2079846</v>
      </c>
      <c r="P103">
        <v>0</v>
      </c>
      <c r="Q103">
        <v>0</v>
      </c>
      <c r="R103">
        <v>0</v>
      </c>
      <c r="S103">
        <v>0</v>
      </c>
      <c r="T103">
        <v>0</v>
      </c>
      <c r="U103">
        <v>0</v>
      </c>
      <c r="V103">
        <v>3480</v>
      </c>
      <c r="W103">
        <v>85054</v>
      </c>
      <c r="X103">
        <v>110631</v>
      </c>
      <c r="Y103">
        <v>734585000</v>
      </c>
      <c r="Z103">
        <v>2914144</v>
      </c>
      <c r="AA103">
        <v>0</v>
      </c>
      <c r="AB103">
        <v>0</v>
      </c>
      <c r="AD103">
        <v>298754</v>
      </c>
      <c r="AE103">
        <v>52806</v>
      </c>
      <c r="AF103">
        <v>10235468</v>
      </c>
      <c r="AG103">
        <v>0</v>
      </c>
      <c r="AH103">
        <v>12550</v>
      </c>
      <c r="AI103">
        <v>258728</v>
      </c>
      <c r="AJ103">
        <v>249821</v>
      </c>
      <c r="AK103">
        <v>62876</v>
      </c>
      <c r="AL103">
        <v>3350</v>
      </c>
      <c r="AN103">
        <v>112881</v>
      </c>
      <c r="AP103">
        <v>0</v>
      </c>
      <c r="AQ103">
        <v>8279724</v>
      </c>
      <c r="AR103">
        <v>0</v>
      </c>
      <c r="AS103">
        <v>0</v>
      </c>
      <c r="AT103">
        <v>140380</v>
      </c>
      <c r="AU103">
        <v>33432</v>
      </c>
      <c r="AV103">
        <v>0</v>
      </c>
      <c r="AW103">
        <v>160454</v>
      </c>
      <c r="AX103">
        <v>17749</v>
      </c>
      <c r="AY103">
        <v>0</v>
      </c>
      <c r="AZ103">
        <v>0</v>
      </c>
      <c r="BA103">
        <v>44188</v>
      </c>
      <c r="BB103">
        <v>4750</v>
      </c>
      <c r="BC103">
        <v>286444</v>
      </c>
      <c r="BD103">
        <v>0</v>
      </c>
      <c r="BE103">
        <v>0</v>
      </c>
      <c r="BF103">
        <v>98930</v>
      </c>
      <c r="BG103">
        <v>0</v>
      </c>
      <c r="BH103">
        <v>0</v>
      </c>
      <c r="BI103">
        <v>41067</v>
      </c>
      <c r="BJ103">
        <v>0</v>
      </c>
      <c r="BK103">
        <v>20837</v>
      </c>
      <c r="BL103">
        <v>0</v>
      </c>
      <c r="BM103">
        <v>22800</v>
      </c>
      <c r="BN103">
        <v>0</v>
      </c>
      <c r="BO103">
        <v>0</v>
      </c>
      <c r="BP103">
        <v>41480093</v>
      </c>
      <c r="BQ103">
        <v>0</v>
      </c>
      <c r="BR103">
        <v>3457</v>
      </c>
      <c r="BS103">
        <v>11640</v>
      </c>
      <c r="BU103">
        <v>52500</v>
      </c>
      <c r="BV103">
        <v>0</v>
      </c>
      <c r="BW103">
        <v>366045</v>
      </c>
      <c r="BX103">
        <v>283082</v>
      </c>
      <c r="BY103">
        <v>1514413</v>
      </c>
      <c r="BZ103">
        <v>195290</v>
      </c>
      <c r="CA103">
        <v>26515</v>
      </c>
      <c r="CB103">
        <v>41605</v>
      </c>
      <c r="CC103">
        <v>186057</v>
      </c>
      <c r="CD103">
        <v>44036</v>
      </c>
      <c r="CF103">
        <v>2835958</v>
      </c>
      <c r="CG103">
        <v>0</v>
      </c>
      <c r="CH103">
        <v>145790</v>
      </c>
      <c r="CI103">
        <v>0</v>
      </c>
      <c r="CK103">
        <v>8186</v>
      </c>
    </row>
    <row r="104" spans="1:89" x14ac:dyDescent="0.3">
      <c r="A104" s="155">
        <v>504</v>
      </c>
      <c r="B104" t="s">
        <v>182</v>
      </c>
      <c r="D104">
        <v>0</v>
      </c>
      <c r="E104">
        <v>85641</v>
      </c>
      <c r="F104">
        <v>96711</v>
      </c>
      <c r="G104">
        <v>9371</v>
      </c>
      <c r="I104">
        <v>2406439</v>
      </c>
      <c r="J104">
        <v>342803</v>
      </c>
      <c r="K104">
        <v>213420</v>
      </c>
      <c r="L104">
        <v>1514091</v>
      </c>
      <c r="M104">
        <v>1489331</v>
      </c>
      <c r="N104">
        <v>101935</v>
      </c>
      <c r="O104">
        <v>14777725</v>
      </c>
      <c r="P104">
        <v>15412</v>
      </c>
      <c r="Q104">
        <v>52181</v>
      </c>
      <c r="R104">
        <v>9487</v>
      </c>
      <c r="S104">
        <v>183206</v>
      </c>
      <c r="T104">
        <v>45566</v>
      </c>
      <c r="U104">
        <v>45748</v>
      </c>
      <c r="V104">
        <v>6229</v>
      </c>
      <c r="W104">
        <v>159860</v>
      </c>
      <c r="X104">
        <v>5079061</v>
      </c>
      <c r="Y104">
        <v>99943000</v>
      </c>
      <c r="Z104">
        <v>1621116</v>
      </c>
      <c r="AA104">
        <v>0</v>
      </c>
      <c r="AB104">
        <v>417888</v>
      </c>
      <c r="AD104">
        <v>602368</v>
      </c>
      <c r="AE104">
        <v>31275</v>
      </c>
      <c r="AF104">
        <v>3923294</v>
      </c>
      <c r="AG104">
        <v>1181516</v>
      </c>
      <c r="AH104">
        <v>169919</v>
      </c>
      <c r="AI104">
        <v>3222215</v>
      </c>
      <c r="AJ104">
        <v>168747</v>
      </c>
      <c r="AK104">
        <v>72464</v>
      </c>
      <c r="AL104">
        <v>11949</v>
      </c>
      <c r="AN104">
        <v>89054</v>
      </c>
      <c r="AP104">
        <v>0</v>
      </c>
      <c r="AQ104">
        <v>12327509</v>
      </c>
      <c r="AR104">
        <v>8394</v>
      </c>
      <c r="AS104">
        <v>36911</v>
      </c>
      <c r="AT104">
        <v>1900300</v>
      </c>
      <c r="AU104">
        <v>67776</v>
      </c>
      <c r="AV104">
        <v>30455</v>
      </c>
      <c r="AW104">
        <v>2829059</v>
      </c>
      <c r="AX104">
        <v>160123</v>
      </c>
      <c r="AY104">
        <v>297010</v>
      </c>
      <c r="AZ104">
        <v>889772</v>
      </c>
      <c r="BA104">
        <v>8237</v>
      </c>
      <c r="BB104">
        <v>38084</v>
      </c>
      <c r="BC104">
        <v>169778</v>
      </c>
      <c r="BD104">
        <v>7036</v>
      </c>
      <c r="BE104">
        <v>1088622</v>
      </c>
      <c r="BF104">
        <v>741914</v>
      </c>
      <c r="BG104">
        <v>11383</v>
      </c>
      <c r="BH104">
        <v>160559</v>
      </c>
      <c r="BI104">
        <v>47765</v>
      </c>
      <c r="BJ104">
        <v>65537</v>
      </c>
      <c r="BK104">
        <v>213781</v>
      </c>
      <c r="BL104">
        <v>67811</v>
      </c>
      <c r="BM104">
        <v>13568</v>
      </c>
      <c r="BN104">
        <v>28504</v>
      </c>
      <c r="BO104">
        <v>1092174</v>
      </c>
      <c r="BP104">
        <v>27666538</v>
      </c>
      <c r="BQ104">
        <v>10313</v>
      </c>
      <c r="BR104">
        <v>12811</v>
      </c>
      <c r="BS104">
        <v>25063</v>
      </c>
      <c r="BU104">
        <v>381174</v>
      </c>
      <c r="BV104">
        <v>83633</v>
      </c>
      <c r="BW104">
        <v>974493</v>
      </c>
      <c r="BX104">
        <v>1016977</v>
      </c>
      <c r="BY104">
        <v>3174197</v>
      </c>
      <c r="BZ104">
        <v>952036</v>
      </c>
      <c r="CA104">
        <v>87032</v>
      </c>
      <c r="CB104">
        <v>1021613</v>
      </c>
      <c r="CC104">
        <v>25219</v>
      </c>
      <c r="CD104">
        <v>143182</v>
      </c>
      <c r="CF104">
        <v>440388</v>
      </c>
      <c r="CG104">
        <v>889778</v>
      </c>
      <c r="CH104">
        <v>272262</v>
      </c>
      <c r="CI104">
        <v>437124</v>
      </c>
      <c r="CK104">
        <v>5720</v>
      </c>
    </row>
    <row r="105" spans="1:89" x14ac:dyDescent="0.3">
      <c r="A105" s="155">
        <v>505</v>
      </c>
      <c r="B105" t="s">
        <v>183</v>
      </c>
      <c r="D105">
        <v>0</v>
      </c>
      <c r="E105">
        <v>204041</v>
      </c>
      <c r="F105">
        <v>162741</v>
      </c>
      <c r="G105">
        <v>0</v>
      </c>
      <c r="I105">
        <v>100000</v>
      </c>
      <c r="J105">
        <v>79828</v>
      </c>
      <c r="K105">
        <v>37627</v>
      </c>
      <c r="L105">
        <v>0</v>
      </c>
      <c r="M105">
        <v>100689</v>
      </c>
      <c r="N105">
        <v>0</v>
      </c>
      <c r="O105">
        <v>41963970</v>
      </c>
      <c r="P105">
        <v>0</v>
      </c>
      <c r="Q105">
        <v>0</v>
      </c>
      <c r="R105">
        <v>47168</v>
      </c>
      <c r="S105">
        <v>0</v>
      </c>
      <c r="T105">
        <v>1011756</v>
      </c>
      <c r="U105">
        <v>0</v>
      </c>
      <c r="V105">
        <v>46153</v>
      </c>
      <c r="W105">
        <v>0</v>
      </c>
      <c r="X105">
        <v>3339114</v>
      </c>
      <c r="Y105">
        <v>37969000</v>
      </c>
      <c r="Z105">
        <v>0</v>
      </c>
      <c r="AA105">
        <v>26590</v>
      </c>
      <c r="AB105">
        <v>0</v>
      </c>
      <c r="AD105">
        <v>34057</v>
      </c>
      <c r="AE105">
        <v>0</v>
      </c>
      <c r="AF105">
        <v>1054584</v>
      </c>
      <c r="AG105">
        <v>751663</v>
      </c>
      <c r="AH105">
        <v>0</v>
      </c>
      <c r="AI105">
        <v>0</v>
      </c>
      <c r="AJ105">
        <v>15000</v>
      </c>
      <c r="AK105">
        <v>0</v>
      </c>
      <c r="AL105">
        <v>0</v>
      </c>
      <c r="AN105">
        <v>0</v>
      </c>
      <c r="AP105">
        <v>0</v>
      </c>
      <c r="AQ105">
        <v>46271355</v>
      </c>
      <c r="AR105">
        <v>0</v>
      </c>
      <c r="AS105">
        <v>0</v>
      </c>
      <c r="AT105">
        <v>9505708</v>
      </c>
      <c r="AU105">
        <v>0</v>
      </c>
      <c r="AV105">
        <v>20783</v>
      </c>
      <c r="AW105">
        <v>2548530</v>
      </c>
      <c r="AX105">
        <v>94374</v>
      </c>
      <c r="AY105">
        <v>711632</v>
      </c>
      <c r="AZ105">
        <v>210860</v>
      </c>
      <c r="BA105">
        <v>0</v>
      </c>
      <c r="BB105">
        <v>13559</v>
      </c>
      <c r="BC105">
        <v>91140</v>
      </c>
      <c r="BD105">
        <v>0</v>
      </c>
      <c r="BE105">
        <v>0</v>
      </c>
      <c r="BF105">
        <v>0</v>
      </c>
      <c r="BG105">
        <v>0</v>
      </c>
      <c r="BH105">
        <v>0</v>
      </c>
      <c r="BI105">
        <v>5559</v>
      </c>
      <c r="BJ105">
        <v>0</v>
      </c>
      <c r="BK105">
        <v>65257</v>
      </c>
      <c r="BL105">
        <v>0</v>
      </c>
      <c r="BM105">
        <v>15792</v>
      </c>
      <c r="BN105">
        <v>193807</v>
      </c>
      <c r="BO105">
        <v>312538</v>
      </c>
      <c r="BP105">
        <v>15238656</v>
      </c>
      <c r="BQ105">
        <v>0</v>
      </c>
      <c r="BR105">
        <v>0</v>
      </c>
      <c r="BS105">
        <v>0</v>
      </c>
      <c r="BU105">
        <v>22574</v>
      </c>
      <c r="BV105">
        <v>0</v>
      </c>
      <c r="BW105">
        <v>594843</v>
      </c>
      <c r="BX105">
        <v>224000</v>
      </c>
      <c r="BY105">
        <v>0</v>
      </c>
      <c r="BZ105">
        <v>2638884</v>
      </c>
      <c r="CA105">
        <v>17691</v>
      </c>
      <c r="CB105">
        <v>375133</v>
      </c>
      <c r="CC105">
        <v>0</v>
      </c>
      <c r="CD105">
        <v>646642</v>
      </c>
      <c r="CF105">
        <v>106000</v>
      </c>
      <c r="CG105">
        <v>299322</v>
      </c>
      <c r="CH105">
        <v>2582696</v>
      </c>
      <c r="CI105">
        <v>6882</v>
      </c>
      <c r="CK105">
        <v>0</v>
      </c>
    </row>
    <row r="106" spans="1:89" x14ac:dyDescent="0.3">
      <c r="A106" s="155">
        <v>506</v>
      </c>
      <c r="B106" t="s">
        <v>189</v>
      </c>
      <c r="D106">
        <v>3249834</v>
      </c>
      <c r="E106">
        <v>2124187</v>
      </c>
      <c r="F106">
        <v>925174</v>
      </c>
      <c r="G106">
        <v>640195</v>
      </c>
      <c r="I106">
        <v>2890110</v>
      </c>
      <c r="J106">
        <v>2074307</v>
      </c>
      <c r="K106">
        <v>7920550</v>
      </c>
      <c r="L106">
        <v>4859966</v>
      </c>
      <c r="M106">
        <v>13122962</v>
      </c>
      <c r="N106">
        <v>2034129</v>
      </c>
      <c r="O106">
        <v>126662084</v>
      </c>
      <c r="P106">
        <v>85491</v>
      </c>
      <c r="Q106">
        <v>284666</v>
      </c>
      <c r="R106">
        <v>1130102</v>
      </c>
      <c r="S106">
        <v>1166752</v>
      </c>
      <c r="T106">
        <v>1253976</v>
      </c>
      <c r="U106">
        <v>304071</v>
      </c>
      <c r="V106">
        <v>289159</v>
      </c>
      <c r="W106">
        <v>2127626</v>
      </c>
      <c r="X106">
        <v>32017646</v>
      </c>
      <c r="Y106">
        <v>197323000</v>
      </c>
      <c r="Z106">
        <v>1686445</v>
      </c>
      <c r="AA106">
        <v>523431</v>
      </c>
      <c r="AB106">
        <v>2640661</v>
      </c>
      <c r="AD106">
        <v>4338841</v>
      </c>
      <c r="AE106">
        <v>2575988</v>
      </c>
      <c r="AF106">
        <v>25088221</v>
      </c>
      <c r="AG106">
        <v>8719757</v>
      </c>
      <c r="AH106">
        <v>3220743</v>
      </c>
      <c r="AI106">
        <v>5650506</v>
      </c>
      <c r="AJ106">
        <v>1307069</v>
      </c>
      <c r="AK106">
        <v>1657976</v>
      </c>
      <c r="AL106">
        <v>740379</v>
      </c>
      <c r="AN106">
        <v>995448</v>
      </c>
      <c r="AP106">
        <v>82586</v>
      </c>
      <c r="AQ106">
        <v>81331981</v>
      </c>
      <c r="AR106">
        <v>311096</v>
      </c>
      <c r="AS106">
        <v>1713069</v>
      </c>
      <c r="AT106">
        <v>10822728</v>
      </c>
      <c r="AU106">
        <v>517362</v>
      </c>
      <c r="AV106">
        <v>1104389</v>
      </c>
      <c r="AW106">
        <v>24316756</v>
      </c>
      <c r="AX106">
        <v>230832</v>
      </c>
      <c r="AY106">
        <v>3497428</v>
      </c>
      <c r="AZ106">
        <v>9034899</v>
      </c>
      <c r="BA106">
        <v>488180</v>
      </c>
      <c r="BB106">
        <v>284291</v>
      </c>
      <c r="BC106">
        <v>3456587</v>
      </c>
      <c r="BD106">
        <v>166638</v>
      </c>
      <c r="BE106">
        <v>13854604</v>
      </c>
      <c r="BF106">
        <v>2361018</v>
      </c>
      <c r="BG106">
        <v>841338</v>
      </c>
      <c r="BH106">
        <v>535872</v>
      </c>
      <c r="BI106">
        <v>1620872</v>
      </c>
      <c r="BJ106">
        <v>3316960</v>
      </c>
      <c r="BK106">
        <v>96094</v>
      </c>
      <c r="BL106">
        <v>2008668</v>
      </c>
      <c r="BM106">
        <v>907817</v>
      </c>
      <c r="BN106">
        <v>8264375</v>
      </c>
      <c r="BO106">
        <v>6102138</v>
      </c>
      <c r="BP106">
        <v>112237272</v>
      </c>
      <c r="BQ106">
        <v>60484</v>
      </c>
      <c r="BR106">
        <v>178031</v>
      </c>
      <c r="BS106">
        <v>882570</v>
      </c>
      <c r="BU106">
        <v>1218760</v>
      </c>
      <c r="BV106">
        <v>6441626</v>
      </c>
      <c r="BW106">
        <v>10661659</v>
      </c>
      <c r="BX106">
        <v>2753249</v>
      </c>
      <c r="BY106">
        <v>5741312</v>
      </c>
      <c r="BZ106">
        <v>1429064</v>
      </c>
      <c r="CA106">
        <v>700362</v>
      </c>
      <c r="CB106">
        <v>5676104</v>
      </c>
      <c r="CC106">
        <v>829345</v>
      </c>
      <c r="CD106">
        <v>301453</v>
      </c>
      <c r="CF106">
        <v>8350662</v>
      </c>
      <c r="CG106">
        <v>3167538</v>
      </c>
      <c r="CH106">
        <v>221684</v>
      </c>
      <c r="CI106">
        <v>3693809</v>
      </c>
      <c r="CK106">
        <v>61439</v>
      </c>
    </row>
    <row r="107" spans="1:89" x14ac:dyDescent="0.3">
      <c r="A107" s="155">
        <v>507</v>
      </c>
      <c r="B107" t="s">
        <v>886</v>
      </c>
      <c r="D107">
        <v>0</v>
      </c>
      <c r="E107">
        <v>0</v>
      </c>
      <c r="F107">
        <v>0</v>
      </c>
      <c r="G107">
        <v>5</v>
      </c>
      <c r="I107">
        <v>0</v>
      </c>
      <c r="J107">
        <v>0</v>
      </c>
      <c r="K107">
        <v>0</v>
      </c>
      <c r="L107">
        <v>0</v>
      </c>
      <c r="M107">
        <v>0</v>
      </c>
      <c r="N107">
        <v>0</v>
      </c>
      <c r="O107">
        <v>1</v>
      </c>
      <c r="P107">
        <v>0</v>
      </c>
      <c r="Q107">
        <v>20256</v>
      </c>
      <c r="R107">
        <v>0</v>
      </c>
      <c r="S107">
        <v>0</v>
      </c>
      <c r="T107">
        <v>0</v>
      </c>
      <c r="U107">
        <v>0</v>
      </c>
      <c r="V107">
        <v>0</v>
      </c>
      <c r="W107">
        <v>0</v>
      </c>
      <c r="X107">
        <v>0</v>
      </c>
      <c r="Y107">
        <v>0</v>
      </c>
      <c r="Z107">
        <v>0</v>
      </c>
      <c r="AA107">
        <v>0</v>
      </c>
      <c r="AB107">
        <v>0</v>
      </c>
      <c r="AD107">
        <v>0</v>
      </c>
      <c r="AE107">
        <v>0</v>
      </c>
      <c r="AF107">
        <v>0</v>
      </c>
      <c r="AG107">
        <v>886</v>
      </c>
      <c r="AH107">
        <v>138953</v>
      </c>
      <c r="AI107">
        <v>0</v>
      </c>
      <c r="AJ107">
        <v>0</v>
      </c>
      <c r="AK107">
        <v>0</v>
      </c>
      <c r="AL107">
        <v>0</v>
      </c>
      <c r="AN107">
        <v>0</v>
      </c>
      <c r="AP107">
        <v>0</v>
      </c>
      <c r="AQ107">
        <v>0</v>
      </c>
      <c r="AR107">
        <v>0</v>
      </c>
      <c r="AS107">
        <v>0</v>
      </c>
      <c r="AT107">
        <v>0</v>
      </c>
      <c r="AU107">
        <v>0</v>
      </c>
      <c r="AV107">
        <v>0</v>
      </c>
      <c r="AW107">
        <v>0</v>
      </c>
      <c r="AX107">
        <v>0</v>
      </c>
      <c r="AY107">
        <v>0</v>
      </c>
      <c r="AZ107">
        <v>0</v>
      </c>
      <c r="BA107">
        <v>0</v>
      </c>
      <c r="BB107">
        <v>0</v>
      </c>
      <c r="BC107">
        <v>-1</v>
      </c>
      <c r="BD107">
        <v>0</v>
      </c>
      <c r="BE107">
        <v>0</v>
      </c>
      <c r="BF107">
        <v>0</v>
      </c>
      <c r="BG107">
        <v>0</v>
      </c>
      <c r="BH107">
        <v>0</v>
      </c>
      <c r="BI107">
        <v>0</v>
      </c>
      <c r="BJ107">
        <v>0</v>
      </c>
      <c r="BK107">
        <v>0</v>
      </c>
      <c r="BL107">
        <v>0</v>
      </c>
      <c r="BM107">
        <v>0</v>
      </c>
      <c r="BN107">
        <v>0</v>
      </c>
      <c r="BO107">
        <v>0</v>
      </c>
      <c r="BP107">
        <v>0</v>
      </c>
      <c r="BQ107">
        <v>0</v>
      </c>
      <c r="BR107">
        <v>-1</v>
      </c>
      <c r="BS107">
        <v>0</v>
      </c>
      <c r="BU107">
        <v>1</v>
      </c>
      <c r="BV107">
        <v>0</v>
      </c>
      <c r="BW107">
        <v>2</v>
      </c>
      <c r="BX107">
        <v>0</v>
      </c>
      <c r="BY107">
        <v>0</v>
      </c>
      <c r="BZ107">
        <v>0</v>
      </c>
      <c r="CA107">
        <v>0</v>
      </c>
      <c r="CB107">
        <v>0</v>
      </c>
      <c r="CC107">
        <v>0</v>
      </c>
      <c r="CD107">
        <v>0</v>
      </c>
      <c r="CF107">
        <v>0</v>
      </c>
      <c r="CG107">
        <v>0</v>
      </c>
      <c r="CH107">
        <v>0</v>
      </c>
      <c r="CI107">
        <v>0</v>
      </c>
      <c r="CK107">
        <v>0</v>
      </c>
    </row>
    <row r="108" spans="1:89" x14ac:dyDescent="0.3">
      <c r="A108" s="155">
        <v>508</v>
      </c>
      <c r="B108" t="s">
        <v>204</v>
      </c>
      <c r="D108">
        <v>0</v>
      </c>
      <c r="E108">
        <v>0</v>
      </c>
      <c r="F108">
        <v>0</v>
      </c>
      <c r="G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D108">
        <v>0</v>
      </c>
      <c r="AE108">
        <v>0</v>
      </c>
      <c r="AF108">
        <v>0</v>
      </c>
      <c r="AG108">
        <v>0</v>
      </c>
      <c r="AH108">
        <v>0</v>
      </c>
      <c r="AI108">
        <v>0</v>
      </c>
      <c r="AJ108">
        <v>0</v>
      </c>
      <c r="AK108">
        <v>0</v>
      </c>
      <c r="AL108">
        <v>0</v>
      </c>
      <c r="AN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U108">
        <v>0</v>
      </c>
      <c r="BV108">
        <v>0</v>
      </c>
      <c r="BW108">
        <v>0</v>
      </c>
      <c r="BX108">
        <v>0</v>
      </c>
      <c r="BY108">
        <v>0</v>
      </c>
      <c r="BZ108">
        <v>0</v>
      </c>
      <c r="CA108">
        <v>0</v>
      </c>
      <c r="CB108">
        <v>0</v>
      </c>
      <c r="CC108">
        <v>0</v>
      </c>
      <c r="CD108">
        <v>0</v>
      </c>
      <c r="CF108">
        <v>0</v>
      </c>
      <c r="CG108">
        <v>0</v>
      </c>
      <c r="CH108">
        <v>0</v>
      </c>
      <c r="CI108">
        <v>0</v>
      </c>
      <c r="CK108">
        <v>0</v>
      </c>
    </row>
    <row r="109" spans="1:89" x14ac:dyDescent="0.3">
      <c r="A109" s="155">
        <v>509</v>
      </c>
      <c r="B109" t="s">
        <v>205</v>
      </c>
      <c r="D109">
        <v>0</v>
      </c>
      <c r="E109">
        <v>0</v>
      </c>
      <c r="F109">
        <v>0</v>
      </c>
      <c r="G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D109">
        <v>0</v>
      </c>
      <c r="AE109">
        <v>0</v>
      </c>
      <c r="AF109">
        <v>0</v>
      </c>
      <c r="AG109">
        <v>0</v>
      </c>
      <c r="AH109">
        <v>0</v>
      </c>
      <c r="AI109">
        <v>0</v>
      </c>
      <c r="AJ109">
        <v>0</v>
      </c>
      <c r="AK109">
        <v>0</v>
      </c>
      <c r="AL109">
        <v>0</v>
      </c>
      <c r="AN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U109">
        <v>0</v>
      </c>
      <c r="BV109">
        <v>0</v>
      </c>
      <c r="BW109">
        <v>0</v>
      </c>
      <c r="BX109">
        <v>0</v>
      </c>
      <c r="BY109">
        <v>0</v>
      </c>
      <c r="BZ109">
        <v>0</v>
      </c>
      <c r="CA109">
        <v>0</v>
      </c>
      <c r="CB109">
        <v>0</v>
      </c>
      <c r="CC109">
        <v>0</v>
      </c>
      <c r="CD109">
        <v>0</v>
      </c>
      <c r="CF109">
        <v>0</v>
      </c>
      <c r="CG109">
        <v>0</v>
      </c>
      <c r="CH109">
        <v>0</v>
      </c>
      <c r="CI109">
        <v>0</v>
      </c>
      <c r="CK109">
        <v>0</v>
      </c>
    </row>
    <row r="110" spans="1:89" x14ac:dyDescent="0.3">
      <c r="A110" s="155">
        <v>510</v>
      </c>
      <c r="B110" t="s">
        <v>211</v>
      </c>
      <c r="D110">
        <v>0</v>
      </c>
      <c r="E110">
        <v>0</v>
      </c>
      <c r="F110">
        <v>0</v>
      </c>
      <c r="G110">
        <v>0</v>
      </c>
      <c r="I110">
        <v>0</v>
      </c>
      <c r="J110">
        <v>0</v>
      </c>
      <c r="K110">
        <v>0</v>
      </c>
      <c r="L110">
        <v>0</v>
      </c>
      <c r="M110">
        <v>0</v>
      </c>
      <c r="N110">
        <v>0</v>
      </c>
      <c r="O110">
        <v>0</v>
      </c>
      <c r="P110">
        <v>0</v>
      </c>
      <c r="Q110">
        <v>0</v>
      </c>
      <c r="R110">
        <v>0</v>
      </c>
      <c r="S110">
        <v>0</v>
      </c>
      <c r="T110">
        <v>0</v>
      </c>
      <c r="U110">
        <v>0</v>
      </c>
      <c r="V110">
        <v>0</v>
      </c>
      <c r="W110">
        <v>0</v>
      </c>
      <c r="X110">
        <v>0</v>
      </c>
      <c r="Y110">
        <v>2297000</v>
      </c>
      <c r="Z110">
        <v>63441</v>
      </c>
      <c r="AA110">
        <v>0</v>
      </c>
      <c r="AB110">
        <v>0</v>
      </c>
      <c r="AD110">
        <v>117796</v>
      </c>
      <c r="AE110">
        <v>0</v>
      </c>
      <c r="AF110">
        <v>259614</v>
      </c>
      <c r="AG110">
        <v>0</v>
      </c>
      <c r="AH110">
        <v>0</v>
      </c>
      <c r="AI110">
        <v>46435</v>
      </c>
      <c r="AJ110">
        <v>0</v>
      </c>
      <c r="AK110">
        <v>23643</v>
      </c>
      <c r="AL110">
        <v>0</v>
      </c>
      <c r="AN110">
        <v>0</v>
      </c>
      <c r="AP110">
        <v>0</v>
      </c>
      <c r="AQ110">
        <v>964967</v>
      </c>
      <c r="AR110">
        <v>0</v>
      </c>
      <c r="AS110">
        <v>0</v>
      </c>
      <c r="AT110">
        <v>25869</v>
      </c>
      <c r="AU110">
        <v>0</v>
      </c>
      <c r="AV110">
        <v>0</v>
      </c>
      <c r="AW110">
        <v>0</v>
      </c>
      <c r="AX110">
        <v>332</v>
      </c>
      <c r="AY110">
        <v>0</v>
      </c>
      <c r="AZ110">
        <v>0</v>
      </c>
      <c r="BA110">
        <v>12886</v>
      </c>
      <c r="BB110">
        <v>2400</v>
      </c>
      <c r="BC110">
        <v>242775</v>
      </c>
      <c r="BD110">
        <v>0</v>
      </c>
      <c r="BE110">
        <v>0</v>
      </c>
      <c r="BF110">
        <v>86110</v>
      </c>
      <c r="BG110">
        <v>0</v>
      </c>
      <c r="BH110">
        <v>0</v>
      </c>
      <c r="BI110">
        <v>155373</v>
      </c>
      <c r="BJ110">
        <v>0</v>
      </c>
      <c r="BK110">
        <v>0</v>
      </c>
      <c r="BL110">
        <v>80934</v>
      </c>
      <c r="BM110">
        <v>3382</v>
      </c>
      <c r="BN110">
        <v>0</v>
      </c>
      <c r="BO110">
        <v>41471</v>
      </c>
      <c r="BP110">
        <v>4151675</v>
      </c>
      <c r="BQ110">
        <v>0</v>
      </c>
      <c r="BR110">
        <v>0</v>
      </c>
      <c r="BS110">
        <v>0</v>
      </c>
      <c r="BU110">
        <v>0</v>
      </c>
      <c r="BV110">
        <v>0</v>
      </c>
      <c r="BW110">
        <v>394230</v>
      </c>
      <c r="BX110">
        <v>135685</v>
      </c>
      <c r="BY110">
        <v>301202</v>
      </c>
      <c r="BZ110">
        <v>27735</v>
      </c>
      <c r="CA110">
        <v>0</v>
      </c>
      <c r="CB110">
        <v>145323</v>
      </c>
      <c r="CC110">
        <v>0</v>
      </c>
      <c r="CD110">
        <v>15250</v>
      </c>
      <c r="CF110">
        <v>0</v>
      </c>
      <c r="CG110">
        <v>0</v>
      </c>
      <c r="CH110">
        <v>0</v>
      </c>
      <c r="CI110">
        <v>0</v>
      </c>
      <c r="CK110">
        <v>0</v>
      </c>
    </row>
    <row r="111" spans="1:89" x14ac:dyDescent="0.3">
      <c r="A111" s="155">
        <v>511</v>
      </c>
      <c r="B111" t="s">
        <v>216</v>
      </c>
      <c r="D111">
        <v>0</v>
      </c>
      <c r="E111">
        <v>0</v>
      </c>
      <c r="F111">
        <v>0</v>
      </c>
      <c r="G111">
        <v>0</v>
      </c>
      <c r="I111">
        <v>0</v>
      </c>
      <c r="J111">
        <v>0</v>
      </c>
      <c r="K111">
        <v>0</v>
      </c>
      <c r="L111">
        <v>0</v>
      </c>
      <c r="M111">
        <v>0</v>
      </c>
      <c r="N111">
        <v>0</v>
      </c>
      <c r="O111">
        <v>0</v>
      </c>
      <c r="P111">
        <v>0</v>
      </c>
      <c r="Q111">
        <v>0</v>
      </c>
      <c r="R111">
        <v>0</v>
      </c>
      <c r="S111">
        <v>0</v>
      </c>
      <c r="T111">
        <v>0</v>
      </c>
      <c r="U111">
        <v>0</v>
      </c>
      <c r="V111">
        <v>0</v>
      </c>
      <c r="W111">
        <v>0</v>
      </c>
      <c r="X111">
        <v>0</v>
      </c>
      <c r="Y111">
        <v>0</v>
      </c>
      <c r="Z111">
        <v>535547</v>
      </c>
      <c r="AA111">
        <v>0</v>
      </c>
      <c r="AB111">
        <v>0</v>
      </c>
      <c r="AD111">
        <v>0</v>
      </c>
      <c r="AE111">
        <v>0</v>
      </c>
      <c r="AF111">
        <v>1660593</v>
      </c>
      <c r="AG111">
        <v>0</v>
      </c>
      <c r="AH111">
        <v>0</v>
      </c>
      <c r="AI111">
        <v>0</v>
      </c>
      <c r="AJ111">
        <v>0</v>
      </c>
      <c r="AK111">
        <v>0</v>
      </c>
      <c r="AL111">
        <v>0</v>
      </c>
      <c r="AN111">
        <v>0</v>
      </c>
      <c r="AP111">
        <v>0</v>
      </c>
      <c r="AQ111">
        <v>6122622</v>
      </c>
      <c r="AR111">
        <v>0</v>
      </c>
      <c r="AS111">
        <v>0</v>
      </c>
      <c r="AT111">
        <v>0</v>
      </c>
      <c r="AU111">
        <v>0</v>
      </c>
      <c r="AV111">
        <v>0</v>
      </c>
      <c r="AW111">
        <v>112229</v>
      </c>
      <c r="AX111">
        <v>0</v>
      </c>
      <c r="AY111">
        <v>0</v>
      </c>
      <c r="AZ111">
        <v>0</v>
      </c>
      <c r="BA111">
        <v>0</v>
      </c>
      <c r="BB111">
        <v>0</v>
      </c>
      <c r="BC111">
        <v>470005</v>
      </c>
      <c r="BD111">
        <v>0</v>
      </c>
      <c r="BE111">
        <v>0</v>
      </c>
      <c r="BF111">
        <v>0</v>
      </c>
      <c r="BG111">
        <v>0</v>
      </c>
      <c r="BH111">
        <v>0</v>
      </c>
      <c r="BI111">
        <v>0</v>
      </c>
      <c r="BJ111">
        <v>0</v>
      </c>
      <c r="BK111">
        <v>0</v>
      </c>
      <c r="BL111">
        <v>86432</v>
      </c>
      <c r="BM111">
        <v>0</v>
      </c>
      <c r="BN111">
        <v>0</v>
      </c>
      <c r="BO111">
        <v>0</v>
      </c>
      <c r="BP111">
        <v>0</v>
      </c>
      <c r="BQ111">
        <v>0</v>
      </c>
      <c r="BR111">
        <v>0</v>
      </c>
      <c r="BS111">
        <v>0</v>
      </c>
      <c r="BU111">
        <v>0</v>
      </c>
      <c r="BV111">
        <v>0</v>
      </c>
      <c r="BW111">
        <v>0</v>
      </c>
      <c r="BX111">
        <v>625636</v>
      </c>
      <c r="BY111">
        <v>2013602</v>
      </c>
      <c r="BZ111">
        <v>0</v>
      </c>
      <c r="CA111">
        <v>0</v>
      </c>
      <c r="CB111">
        <v>0</v>
      </c>
      <c r="CC111">
        <v>0</v>
      </c>
      <c r="CD111">
        <v>0</v>
      </c>
      <c r="CF111">
        <v>0</v>
      </c>
      <c r="CG111">
        <v>0</v>
      </c>
      <c r="CH111">
        <v>33176</v>
      </c>
      <c r="CI111">
        <v>0</v>
      </c>
      <c r="CK111">
        <v>0</v>
      </c>
    </row>
    <row r="112" spans="1:89" x14ac:dyDescent="0.3">
      <c r="A112" s="155">
        <v>512</v>
      </c>
      <c r="B112" t="s">
        <v>243</v>
      </c>
      <c r="D112">
        <v>0</v>
      </c>
      <c r="E112">
        <v>0</v>
      </c>
      <c r="F112">
        <v>0</v>
      </c>
      <c r="G112">
        <v>0</v>
      </c>
      <c r="I112">
        <v>10827</v>
      </c>
      <c r="J112">
        <v>0</v>
      </c>
      <c r="K112">
        <v>0</v>
      </c>
      <c r="L112">
        <v>0</v>
      </c>
      <c r="M112">
        <v>0</v>
      </c>
      <c r="N112">
        <v>0</v>
      </c>
      <c r="O112">
        <v>0</v>
      </c>
      <c r="P112">
        <v>0</v>
      </c>
      <c r="Q112">
        <v>0</v>
      </c>
      <c r="R112">
        <v>0</v>
      </c>
      <c r="S112">
        <v>0</v>
      </c>
      <c r="T112">
        <v>0</v>
      </c>
      <c r="U112">
        <v>0</v>
      </c>
      <c r="V112">
        <v>0</v>
      </c>
      <c r="W112">
        <v>0</v>
      </c>
      <c r="X112">
        <v>7029969</v>
      </c>
      <c r="Y112">
        <v>704661000</v>
      </c>
      <c r="Z112">
        <v>0</v>
      </c>
      <c r="AA112">
        <v>0</v>
      </c>
      <c r="AB112">
        <v>0</v>
      </c>
      <c r="AD112">
        <v>0</v>
      </c>
      <c r="AE112">
        <v>0</v>
      </c>
      <c r="AF112">
        <v>2897</v>
      </c>
      <c r="AG112">
        <v>0</v>
      </c>
      <c r="AH112">
        <v>0</v>
      </c>
      <c r="AI112">
        <v>0</v>
      </c>
      <c r="AJ112">
        <v>0</v>
      </c>
      <c r="AK112">
        <v>0</v>
      </c>
      <c r="AL112">
        <v>0</v>
      </c>
      <c r="AN112">
        <v>0</v>
      </c>
      <c r="AP112">
        <v>0</v>
      </c>
      <c r="AQ112">
        <v>15159753</v>
      </c>
      <c r="AR112">
        <v>0</v>
      </c>
      <c r="AS112">
        <v>0</v>
      </c>
      <c r="AT112">
        <v>0</v>
      </c>
      <c r="AU112">
        <v>0</v>
      </c>
      <c r="AV112">
        <v>0</v>
      </c>
      <c r="AW112">
        <v>920827</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U112">
        <v>0</v>
      </c>
      <c r="BV112">
        <v>0</v>
      </c>
      <c r="BW112">
        <v>0</v>
      </c>
      <c r="BX112">
        <v>0</v>
      </c>
      <c r="BY112">
        <v>0</v>
      </c>
      <c r="BZ112">
        <v>0</v>
      </c>
      <c r="CA112">
        <v>0</v>
      </c>
      <c r="CB112">
        <v>36388</v>
      </c>
      <c r="CC112">
        <v>0</v>
      </c>
      <c r="CD112">
        <v>0</v>
      </c>
      <c r="CF112">
        <v>0</v>
      </c>
      <c r="CG112">
        <v>0</v>
      </c>
      <c r="CH112">
        <v>0</v>
      </c>
      <c r="CI112">
        <v>0</v>
      </c>
      <c r="CK112">
        <v>0</v>
      </c>
    </row>
    <row r="113" spans="1:89" x14ac:dyDescent="0.3">
      <c r="A113" s="155">
        <v>513</v>
      </c>
      <c r="B113" t="s">
        <v>249</v>
      </c>
      <c r="D113">
        <v>0</v>
      </c>
      <c r="E113">
        <v>0</v>
      </c>
      <c r="F113">
        <v>0</v>
      </c>
      <c r="G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D113">
        <v>0</v>
      </c>
      <c r="AE113">
        <v>0</v>
      </c>
      <c r="AF113">
        <v>0</v>
      </c>
      <c r="AG113">
        <v>0</v>
      </c>
      <c r="AH113">
        <v>0</v>
      </c>
      <c r="AI113">
        <v>0</v>
      </c>
      <c r="AJ113">
        <v>0</v>
      </c>
      <c r="AK113">
        <v>0</v>
      </c>
      <c r="AL113">
        <v>0</v>
      </c>
      <c r="AN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U113">
        <v>0</v>
      </c>
      <c r="BV113">
        <v>0</v>
      </c>
      <c r="BW113">
        <v>0</v>
      </c>
      <c r="BX113">
        <v>0</v>
      </c>
      <c r="BY113">
        <v>0</v>
      </c>
      <c r="BZ113">
        <v>0</v>
      </c>
      <c r="CA113">
        <v>0</v>
      </c>
      <c r="CB113">
        <v>0</v>
      </c>
      <c r="CC113">
        <v>0</v>
      </c>
      <c r="CD113">
        <v>0</v>
      </c>
      <c r="CF113">
        <v>0</v>
      </c>
      <c r="CG113">
        <v>0</v>
      </c>
      <c r="CH113">
        <v>0</v>
      </c>
      <c r="CI113">
        <v>0</v>
      </c>
      <c r="CK113">
        <v>0</v>
      </c>
    </row>
    <row r="114" spans="1:89" x14ac:dyDescent="0.3">
      <c r="A114" s="155">
        <v>514</v>
      </c>
      <c r="B114" t="s">
        <v>250</v>
      </c>
      <c r="D114">
        <v>0</v>
      </c>
      <c r="E114">
        <v>0</v>
      </c>
      <c r="F114">
        <v>0</v>
      </c>
      <c r="G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D114">
        <v>0</v>
      </c>
      <c r="AE114">
        <v>0</v>
      </c>
      <c r="AF114">
        <v>0</v>
      </c>
      <c r="AG114">
        <v>0</v>
      </c>
      <c r="AH114">
        <v>0</v>
      </c>
      <c r="AI114">
        <v>0</v>
      </c>
      <c r="AJ114">
        <v>0</v>
      </c>
      <c r="AK114">
        <v>0</v>
      </c>
      <c r="AL114">
        <v>0</v>
      </c>
      <c r="AN114">
        <v>0</v>
      </c>
      <c r="AP114">
        <v>0</v>
      </c>
      <c r="AQ114">
        <v>627765</v>
      </c>
      <c r="AR114">
        <v>0</v>
      </c>
      <c r="AS114">
        <v>0</v>
      </c>
      <c r="AT114">
        <v>0</v>
      </c>
      <c r="AU114">
        <v>0</v>
      </c>
      <c r="AV114">
        <v>0</v>
      </c>
      <c r="AW114">
        <v>0</v>
      </c>
      <c r="AX114">
        <v>0</v>
      </c>
      <c r="AY114">
        <v>0</v>
      </c>
      <c r="AZ114">
        <v>0</v>
      </c>
      <c r="BA114">
        <v>0</v>
      </c>
      <c r="BB114">
        <v>0</v>
      </c>
      <c r="BC114">
        <v>895733</v>
      </c>
      <c r="BD114">
        <v>0</v>
      </c>
      <c r="BE114">
        <v>0</v>
      </c>
      <c r="BF114">
        <v>0</v>
      </c>
      <c r="BG114">
        <v>0</v>
      </c>
      <c r="BH114">
        <v>0</v>
      </c>
      <c r="BI114">
        <v>0</v>
      </c>
      <c r="BJ114">
        <v>0</v>
      </c>
      <c r="BK114">
        <v>0</v>
      </c>
      <c r="BL114">
        <v>0</v>
      </c>
      <c r="BM114">
        <v>0</v>
      </c>
      <c r="BN114">
        <v>0</v>
      </c>
      <c r="BO114">
        <v>0</v>
      </c>
      <c r="BP114">
        <v>0</v>
      </c>
      <c r="BQ114">
        <v>0</v>
      </c>
      <c r="BR114">
        <v>0</v>
      </c>
      <c r="BS114">
        <v>0</v>
      </c>
      <c r="BU114">
        <v>0</v>
      </c>
      <c r="BV114">
        <v>0</v>
      </c>
      <c r="BW114">
        <v>0</v>
      </c>
      <c r="BX114">
        <v>332293</v>
      </c>
      <c r="BY114">
        <v>925000</v>
      </c>
      <c r="BZ114">
        <v>0</v>
      </c>
      <c r="CA114">
        <v>0</v>
      </c>
      <c r="CB114">
        <v>0</v>
      </c>
      <c r="CC114">
        <v>0</v>
      </c>
      <c r="CD114">
        <v>0</v>
      </c>
      <c r="CF114">
        <v>0</v>
      </c>
      <c r="CG114">
        <v>0</v>
      </c>
      <c r="CH114">
        <v>0</v>
      </c>
      <c r="CI114">
        <v>0</v>
      </c>
      <c r="CK114">
        <v>0</v>
      </c>
    </row>
    <row r="115" spans="1:89" x14ac:dyDescent="0.3">
      <c r="A115" s="1049">
        <v>515</v>
      </c>
      <c r="B115" s="1050" t="s">
        <v>262</v>
      </c>
      <c r="D115">
        <v>0</v>
      </c>
      <c r="E115">
        <v>0</v>
      </c>
      <c r="F115">
        <v>0</v>
      </c>
      <c r="G115">
        <v>0</v>
      </c>
      <c r="I115">
        <v>0</v>
      </c>
      <c r="J115">
        <v>0</v>
      </c>
      <c r="K115">
        <v>0</v>
      </c>
      <c r="L115">
        <v>0</v>
      </c>
      <c r="M115">
        <v>0</v>
      </c>
      <c r="N115">
        <v>2095691</v>
      </c>
      <c r="O115">
        <v>173147129</v>
      </c>
      <c r="P115">
        <v>0</v>
      </c>
      <c r="Q115">
        <v>0</v>
      </c>
      <c r="R115">
        <v>0</v>
      </c>
      <c r="S115">
        <v>0</v>
      </c>
      <c r="T115">
        <v>0</v>
      </c>
      <c r="U115">
        <v>0</v>
      </c>
      <c r="V115">
        <v>0</v>
      </c>
      <c r="W115">
        <v>0</v>
      </c>
      <c r="X115">
        <v>0</v>
      </c>
      <c r="Y115">
        <v>51938000</v>
      </c>
      <c r="Z115">
        <v>0</v>
      </c>
      <c r="AA115">
        <v>0</v>
      </c>
      <c r="AB115">
        <v>0</v>
      </c>
      <c r="AD115">
        <v>0</v>
      </c>
      <c r="AE115">
        <v>726257</v>
      </c>
      <c r="AF115">
        <v>2478745</v>
      </c>
      <c r="AG115">
        <v>0</v>
      </c>
      <c r="AH115">
        <v>0</v>
      </c>
      <c r="AI115">
        <v>7428395</v>
      </c>
      <c r="AJ115">
        <v>0</v>
      </c>
      <c r="AK115">
        <v>0</v>
      </c>
      <c r="AL115">
        <v>0</v>
      </c>
      <c r="AN115">
        <v>0</v>
      </c>
      <c r="AP115">
        <v>0</v>
      </c>
      <c r="AQ115">
        <v>17169373</v>
      </c>
      <c r="AR115">
        <v>0</v>
      </c>
      <c r="AS115">
        <v>0</v>
      </c>
      <c r="AT115">
        <v>8403984</v>
      </c>
      <c r="AU115">
        <v>0</v>
      </c>
      <c r="AV115">
        <v>0</v>
      </c>
      <c r="AW115">
        <v>0</v>
      </c>
      <c r="AX115">
        <v>0</v>
      </c>
      <c r="AY115">
        <v>0</v>
      </c>
      <c r="AZ115">
        <v>0</v>
      </c>
      <c r="BA115">
        <v>70354</v>
      </c>
      <c r="BB115">
        <v>0</v>
      </c>
      <c r="BC115">
        <v>300869</v>
      </c>
      <c r="BD115">
        <v>0</v>
      </c>
      <c r="BE115">
        <v>0</v>
      </c>
      <c r="BF115">
        <v>0</v>
      </c>
      <c r="BG115">
        <v>0</v>
      </c>
      <c r="BH115">
        <v>0</v>
      </c>
      <c r="BI115">
        <v>0</v>
      </c>
      <c r="BJ115">
        <v>0</v>
      </c>
      <c r="BK115">
        <v>0</v>
      </c>
      <c r="BL115">
        <v>0</v>
      </c>
      <c r="BM115">
        <v>77024</v>
      </c>
      <c r="BN115">
        <v>0</v>
      </c>
      <c r="BO115">
        <v>876488</v>
      </c>
      <c r="BP115">
        <v>219480526</v>
      </c>
      <c r="BQ115">
        <v>0</v>
      </c>
      <c r="BR115">
        <v>0</v>
      </c>
      <c r="BS115">
        <v>109282</v>
      </c>
      <c r="BU115">
        <v>0</v>
      </c>
      <c r="BV115">
        <v>0</v>
      </c>
      <c r="BW115">
        <v>0</v>
      </c>
      <c r="BX115">
        <v>0</v>
      </c>
      <c r="BY115">
        <v>41006</v>
      </c>
      <c r="BZ115">
        <v>197832</v>
      </c>
      <c r="CA115">
        <v>75439</v>
      </c>
      <c r="CB115">
        <v>9532811</v>
      </c>
      <c r="CC115">
        <v>0</v>
      </c>
      <c r="CD115">
        <v>455326</v>
      </c>
      <c r="CF115">
        <v>0</v>
      </c>
      <c r="CG115">
        <v>0</v>
      </c>
      <c r="CH115">
        <v>8560</v>
      </c>
      <c r="CI115">
        <v>0</v>
      </c>
      <c r="CK115">
        <v>0</v>
      </c>
    </row>
    <row r="116" spans="1:89" x14ac:dyDescent="0.3">
      <c r="A116" s="1049">
        <v>516</v>
      </c>
      <c r="B116" s="1050" t="s">
        <v>263</v>
      </c>
      <c r="D116">
        <v>4493376</v>
      </c>
      <c r="E116">
        <v>0</v>
      </c>
      <c r="F116">
        <v>4715492</v>
      </c>
      <c r="G116">
        <v>1258700</v>
      </c>
      <c r="I116">
        <v>16539352</v>
      </c>
      <c r="J116">
        <v>0</v>
      </c>
      <c r="K116">
        <v>59212619</v>
      </c>
      <c r="L116">
        <v>0</v>
      </c>
      <c r="M116">
        <v>0</v>
      </c>
      <c r="N116">
        <v>11481574</v>
      </c>
      <c r="O116">
        <v>750140159</v>
      </c>
      <c r="P116">
        <v>0</v>
      </c>
      <c r="Q116">
        <v>0</v>
      </c>
      <c r="R116">
        <v>0</v>
      </c>
      <c r="S116">
        <v>0</v>
      </c>
      <c r="T116">
        <v>0</v>
      </c>
      <c r="U116">
        <v>0</v>
      </c>
      <c r="V116">
        <v>3251691</v>
      </c>
      <c r="W116">
        <v>0</v>
      </c>
      <c r="X116">
        <v>0</v>
      </c>
      <c r="Y116">
        <v>6442203000</v>
      </c>
      <c r="Z116">
        <v>21502127</v>
      </c>
      <c r="AA116">
        <v>4768578</v>
      </c>
      <c r="AB116">
        <v>0</v>
      </c>
      <c r="AD116">
        <v>9163874</v>
      </c>
      <c r="AE116">
        <v>6060758</v>
      </c>
      <c r="AF116">
        <v>88674114</v>
      </c>
      <c r="AG116">
        <v>0</v>
      </c>
      <c r="AH116">
        <v>7312592</v>
      </c>
      <c r="AI116">
        <v>14478227</v>
      </c>
      <c r="AJ116">
        <v>4390266</v>
      </c>
      <c r="AK116">
        <v>867037</v>
      </c>
      <c r="AL116">
        <v>3530524</v>
      </c>
      <c r="AN116">
        <v>15958615</v>
      </c>
      <c r="AP116">
        <v>0</v>
      </c>
      <c r="AQ116">
        <v>309804753</v>
      </c>
      <c r="AR116">
        <v>0</v>
      </c>
      <c r="AS116">
        <v>4050098</v>
      </c>
      <c r="AT116">
        <v>0</v>
      </c>
      <c r="AU116">
        <v>5658504</v>
      </c>
      <c r="AV116">
        <v>0</v>
      </c>
      <c r="AW116">
        <v>0</v>
      </c>
      <c r="AX116">
        <v>7100841</v>
      </c>
      <c r="AY116">
        <v>0</v>
      </c>
      <c r="AZ116">
        <v>0</v>
      </c>
      <c r="BA116">
        <v>8027131</v>
      </c>
      <c r="BB116">
        <v>1585335</v>
      </c>
      <c r="BC116">
        <v>15150178</v>
      </c>
      <c r="BD116">
        <v>0</v>
      </c>
      <c r="BE116">
        <v>0</v>
      </c>
      <c r="BF116">
        <v>17630111</v>
      </c>
      <c r="BG116">
        <v>0</v>
      </c>
      <c r="BH116">
        <v>0</v>
      </c>
      <c r="BI116">
        <v>16879614</v>
      </c>
      <c r="BJ116">
        <v>0</v>
      </c>
      <c r="BK116">
        <v>10487851</v>
      </c>
      <c r="BL116">
        <v>4737731</v>
      </c>
      <c r="BM116">
        <v>2999055</v>
      </c>
      <c r="BN116">
        <v>0</v>
      </c>
      <c r="BO116">
        <v>49915084</v>
      </c>
      <c r="BP116">
        <v>31801720</v>
      </c>
      <c r="BQ116">
        <v>0</v>
      </c>
      <c r="BR116">
        <v>700081</v>
      </c>
      <c r="BS116">
        <v>1453231</v>
      </c>
      <c r="BU116">
        <v>5760501</v>
      </c>
      <c r="BV116">
        <v>0</v>
      </c>
      <c r="BW116">
        <v>91422743</v>
      </c>
      <c r="BX116">
        <v>14944366</v>
      </c>
      <c r="BY116">
        <v>87274949</v>
      </c>
      <c r="BZ116">
        <v>23831460</v>
      </c>
      <c r="CA116">
        <v>4183045</v>
      </c>
      <c r="CB116">
        <v>0</v>
      </c>
      <c r="CC116">
        <v>5259921</v>
      </c>
      <c r="CD116">
        <v>5636934</v>
      </c>
      <c r="CF116">
        <v>11450615</v>
      </c>
      <c r="CG116">
        <v>0</v>
      </c>
      <c r="CH116">
        <v>13021392</v>
      </c>
      <c r="CI116">
        <v>0</v>
      </c>
      <c r="CK116">
        <v>2913202</v>
      </c>
    </row>
    <row r="117" spans="1:89" x14ac:dyDescent="0.3">
      <c r="A117" s="1049">
        <v>517</v>
      </c>
      <c r="B117" s="1050" t="s">
        <v>264</v>
      </c>
      <c r="D117">
        <v>0</v>
      </c>
      <c r="E117">
        <v>0</v>
      </c>
      <c r="F117">
        <v>0</v>
      </c>
      <c r="G117">
        <v>0</v>
      </c>
      <c r="I117">
        <v>0</v>
      </c>
      <c r="J117">
        <v>0</v>
      </c>
      <c r="K117">
        <v>0</v>
      </c>
      <c r="L117">
        <v>0</v>
      </c>
      <c r="M117">
        <v>0</v>
      </c>
      <c r="N117">
        <v>0</v>
      </c>
      <c r="O117">
        <v>0</v>
      </c>
      <c r="P117">
        <v>0</v>
      </c>
      <c r="Q117">
        <v>0</v>
      </c>
      <c r="R117">
        <v>0</v>
      </c>
      <c r="S117">
        <v>0</v>
      </c>
      <c r="T117">
        <v>0</v>
      </c>
      <c r="U117">
        <v>0</v>
      </c>
      <c r="V117">
        <v>0</v>
      </c>
      <c r="W117">
        <v>16016753</v>
      </c>
      <c r="X117">
        <v>0</v>
      </c>
      <c r="Y117">
        <v>0</v>
      </c>
      <c r="Z117">
        <v>0</v>
      </c>
      <c r="AA117">
        <v>0</v>
      </c>
      <c r="AB117">
        <v>0</v>
      </c>
      <c r="AD117">
        <v>0</v>
      </c>
      <c r="AE117">
        <v>0</v>
      </c>
      <c r="AF117">
        <v>0</v>
      </c>
      <c r="AG117">
        <v>0</v>
      </c>
      <c r="AH117">
        <v>0</v>
      </c>
      <c r="AI117">
        <v>26606332</v>
      </c>
      <c r="AJ117">
        <v>0</v>
      </c>
      <c r="AK117">
        <v>0</v>
      </c>
      <c r="AL117">
        <v>0</v>
      </c>
      <c r="AN117">
        <v>0</v>
      </c>
      <c r="AP117">
        <v>0</v>
      </c>
      <c r="AQ117">
        <v>0</v>
      </c>
      <c r="AR117">
        <v>0</v>
      </c>
      <c r="AS117">
        <v>0</v>
      </c>
      <c r="AT117">
        <v>38383376</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975847002</v>
      </c>
      <c r="BQ117">
        <v>0</v>
      </c>
      <c r="BR117">
        <v>0</v>
      </c>
      <c r="BS117">
        <v>0</v>
      </c>
      <c r="BU117">
        <v>0</v>
      </c>
      <c r="BV117">
        <v>0</v>
      </c>
      <c r="BW117">
        <v>0</v>
      </c>
      <c r="BX117">
        <v>0</v>
      </c>
      <c r="BY117">
        <v>0</v>
      </c>
      <c r="BZ117">
        <v>0</v>
      </c>
      <c r="CA117">
        <v>0</v>
      </c>
      <c r="CB117">
        <v>0</v>
      </c>
      <c r="CC117">
        <v>0</v>
      </c>
      <c r="CD117">
        <v>0</v>
      </c>
      <c r="CF117">
        <v>0</v>
      </c>
      <c r="CG117">
        <v>0</v>
      </c>
      <c r="CH117">
        <v>0</v>
      </c>
      <c r="CI117">
        <v>0</v>
      </c>
      <c r="CK117">
        <v>0</v>
      </c>
    </row>
    <row r="118" spans="1:89" x14ac:dyDescent="0.3">
      <c r="A118" s="1049">
        <v>518</v>
      </c>
      <c r="B118" s="1050" t="s">
        <v>265</v>
      </c>
      <c r="D118">
        <v>354000</v>
      </c>
      <c r="E118">
        <v>0</v>
      </c>
      <c r="F118">
        <v>58451</v>
      </c>
      <c r="G118">
        <v>21172</v>
      </c>
      <c r="I118">
        <v>286477</v>
      </c>
      <c r="J118">
        <v>0</v>
      </c>
      <c r="K118">
        <v>5600716</v>
      </c>
      <c r="L118">
        <v>0</v>
      </c>
      <c r="M118">
        <v>0</v>
      </c>
      <c r="N118">
        <v>2631151</v>
      </c>
      <c r="O118">
        <v>23655392</v>
      </c>
      <c r="P118">
        <v>0</v>
      </c>
      <c r="Q118">
        <v>0</v>
      </c>
      <c r="R118">
        <v>0</v>
      </c>
      <c r="S118">
        <v>0</v>
      </c>
      <c r="T118">
        <v>0</v>
      </c>
      <c r="U118">
        <v>0</v>
      </c>
      <c r="V118">
        <v>14473</v>
      </c>
      <c r="W118">
        <v>576623</v>
      </c>
      <c r="X118">
        <v>0</v>
      </c>
      <c r="Y118">
        <v>109583000</v>
      </c>
      <c r="Z118">
        <v>1016853</v>
      </c>
      <c r="AA118">
        <v>0</v>
      </c>
      <c r="AB118">
        <v>0</v>
      </c>
      <c r="AD118">
        <v>726591</v>
      </c>
      <c r="AE118">
        <v>415142</v>
      </c>
      <c r="AF118">
        <v>12105899</v>
      </c>
      <c r="AG118">
        <v>0</v>
      </c>
      <c r="AH118">
        <v>84141</v>
      </c>
      <c r="AI118">
        <v>4163037</v>
      </c>
      <c r="AJ118">
        <v>373040</v>
      </c>
      <c r="AK118">
        <v>186902</v>
      </c>
      <c r="AL118">
        <v>0</v>
      </c>
      <c r="AN118">
        <v>211920</v>
      </c>
      <c r="AP118">
        <v>0</v>
      </c>
      <c r="AQ118">
        <v>9000009</v>
      </c>
      <c r="AR118">
        <v>0</v>
      </c>
      <c r="AS118">
        <v>66519</v>
      </c>
      <c r="AT118">
        <v>4544223</v>
      </c>
      <c r="AU118">
        <v>376664</v>
      </c>
      <c r="AV118">
        <v>0</v>
      </c>
      <c r="AW118">
        <v>0</v>
      </c>
      <c r="AX118">
        <v>31366</v>
      </c>
      <c r="AY118">
        <v>0</v>
      </c>
      <c r="AZ118">
        <v>0</v>
      </c>
      <c r="BA118">
        <v>163947</v>
      </c>
      <c r="BB118">
        <v>85035</v>
      </c>
      <c r="BC118">
        <v>1085574</v>
      </c>
      <c r="BD118">
        <v>0</v>
      </c>
      <c r="BE118">
        <v>0</v>
      </c>
      <c r="BF118">
        <v>1454334</v>
      </c>
      <c r="BG118">
        <v>0</v>
      </c>
      <c r="BH118">
        <v>0</v>
      </c>
      <c r="BI118">
        <v>1407327</v>
      </c>
      <c r="BJ118">
        <v>0</v>
      </c>
      <c r="BK118">
        <v>26408</v>
      </c>
      <c r="BL118">
        <v>240820</v>
      </c>
      <c r="BM118">
        <v>173006</v>
      </c>
      <c r="BN118">
        <v>0</v>
      </c>
      <c r="BO118">
        <v>4329629</v>
      </c>
      <c r="BP118">
        <v>3255734</v>
      </c>
      <c r="BQ118">
        <v>0</v>
      </c>
      <c r="BR118">
        <v>8475</v>
      </c>
      <c r="BS118">
        <v>95583</v>
      </c>
      <c r="BU118">
        <v>46433</v>
      </c>
      <c r="BV118">
        <v>0</v>
      </c>
      <c r="BW118">
        <v>17082327</v>
      </c>
      <c r="BX118">
        <v>1015253</v>
      </c>
      <c r="BY118">
        <v>3639824</v>
      </c>
      <c r="BZ118">
        <v>1124487</v>
      </c>
      <c r="CA118">
        <v>175335</v>
      </c>
      <c r="CB118">
        <v>0</v>
      </c>
      <c r="CC118">
        <v>13293</v>
      </c>
      <c r="CD118">
        <v>201831</v>
      </c>
      <c r="CF118">
        <v>777567</v>
      </c>
      <c r="CG118">
        <v>0</v>
      </c>
      <c r="CH118">
        <v>441593</v>
      </c>
      <c r="CI118">
        <v>0</v>
      </c>
      <c r="CK118">
        <v>0</v>
      </c>
    </row>
    <row r="119" spans="1:89" x14ac:dyDescent="0.3">
      <c r="A119" s="155">
        <v>519</v>
      </c>
      <c r="B119" t="s">
        <v>266</v>
      </c>
      <c r="D119">
        <v>0</v>
      </c>
      <c r="E119">
        <v>0</v>
      </c>
      <c r="F119">
        <v>0</v>
      </c>
      <c r="G119">
        <v>0</v>
      </c>
      <c r="I119">
        <v>0</v>
      </c>
      <c r="J119">
        <v>0</v>
      </c>
      <c r="K119">
        <v>0</v>
      </c>
      <c r="L119">
        <v>0</v>
      </c>
      <c r="M119">
        <v>0</v>
      </c>
      <c r="N119">
        <v>50109</v>
      </c>
      <c r="O119">
        <v>3463376</v>
      </c>
      <c r="P119">
        <v>0</v>
      </c>
      <c r="Q119">
        <v>0</v>
      </c>
      <c r="R119">
        <v>0</v>
      </c>
      <c r="S119">
        <v>0</v>
      </c>
      <c r="T119">
        <v>0</v>
      </c>
      <c r="U119">
        <v>0</v>
      </c>
      <c r="V119">
        <v>0</v>
      </c>
      <c r="W119">
        <v>0</v>
      </c>
      <c r="X119">
        <v>0</v>
      </c>
      <c r="Y119">
        <v>1236000</v>
      </c>
      <c r="Z119">
        <v>0</v>
      </c>
      <c r="AA119">
        <v>0</v>
      </c>
      <c r="AB119">
        <v>0</v>
      </c>
      <c r="AD119">
        <v>0</v>
      </c>
      <c r="AE119">
        <v>17488</v>
      </c>
      <c r="AF119">
        <v>53782</v>
      </c>
      <c r="AG119">
        <v>0</v>
      </c>
      <c r="AH119">
        <v>0</v>
      </c>
      <c r="AI119">
        <v>12442</v>
      </c>
      <c r="AJ119">
        <v>0</v>
      </c>
      <c r="AK119">
        <v>0</v>
      </c>
      <c r="AL119">
        <v>0</v>
      </c>
      <c r="AN119">
        <v>0</v>
      </c>
      <c r="AP119">
        <v>0</v>
      </c>
      <c r="AQ119">
        <v>546839</v>
      </c>
      <c r="AR119">
        <v>0</v>
      </c>
      <c r="AS119">
        <v>0</v>
      </c>
      <c r="AT119">
        <v>171196</v>
      </c>
      <c r="AU119">
        <v>0</v>
      </c>
      <c r="AV119">
        <v>0</v>
      </c>
      <c r="AW119">
        <v>0</v>
      </c>
      <c r="AX119">
        <v>0</v>
      </c>
      <c r="AY119">
        <v>0</v>
      </c>
      <c r="AZ119">
        <v>0</v>
      </c>
      <c r="BA119">
        <v>7113</v>
      </c>
      <c r="BB119">
        <v>0</v>
      </c>
      <c r="BC119">
        <v>8427</v>
      </c>
      <c r="BD119">
        <v>0</v>
      </c>
      <c r="BE119">
        <v>0</v>
      </c>
      <c r="BF119">
        <v>0</v>
      </c>
      <c r="BG119">
        <v>0</v>
      </c>
      <c r="BH119">
        <v>0</v>
      </c>
      <c r="BI119">
        <v>0</v>
      </c>
      <c r="BJ119">
        <v>0</v>
      </c>
      <c r="BK119">
        <v>0</v>
      </c>
      <c r="BL119">
        <v>0</v>
      </c>
      <c r="BM119">
        <v>1525</v>
      </c>
      <c r="BN119">
        <v>0</v>
      </c>
      <c r="BO119">
        <v>7026</v>
      </c>
      <c r="BP119">
        <v>4758333</v>
      </c>
      <c r="BQ119">
        <v>0</v>
      </c>
      <c r="BR119">
        <v>0</v>
      </c>
      <c r="BS119">
        <v>1347</v>
      </c>
      <c r="BU119">
        <v>0</v>
      </c>
      <c r="BV119">
        <v>0</v>
      </c>
      <c r="BW119">
        <v>0</v>
      </c>
      <c r="BX119">
        <v>0</v>
      </c>
      <c r="BY119">
        <v>788</v>
      </c>
      <c r="BZ119">
        <v>0</v>
      </c>
      <c r="CA119">
        <v>1966</v>
      </c>
      <c r="CB119">
        <v>208233</v>
      </c>
      <c r="CC119">
        <v>0</v>
      </c>
      <c r="CD119">
        <v>0</v>
      </c>
      <c r="CF119">
        <v>0</v>
      </c>
      <c r="CG119">
        <v>0</v>
      </c>
      <c r="CH119">
        <v>0</v>
      </c>
      <c r="CI119">
        <v>0</v>
      </c>
      <c r="CK119">
        <v>0</v>
      </c>
    </row>
    <row r="120" spans="1:89" x14ac:dyDescent="0.3">
      <c r="A120" s="155">
        <v>520</v>
      </c>
      <c r="B120" t="s">
        <v>267</v>
      </c>
      <c r="D120">
        <v>123118</v>
      </c>
      <c r="E120">
        <v>0</v>
      </c>
      <c r="F120">
        <v>94310</v>
      </c>
      <c r="G120">
        <v>30161</v>
      </c>
      <c r="I120">
        <v>364897</v>
      </c>
      <c r="J120">
        <v>0</v>
      </c>
      <c r="K120">
        <v>1525165</v>
      </c>
      <c r="L120">
        <v>0</v>
      </c>
      <c r="M120">
        <v>0</v>
      </c>
      <c r="N120">
        <v>152589</v>
      </c>
      <c r="O120">
        <v>15271882</v>
      </c>
      <c r="P120">
        <v>0</v>
      </c>
      <c r="Q120">
        <v>0</v>
      </c>
      <c r="R120">
        <v>0</v>
      </c>
      <c r="S120">
        <v>0</v>
      </c>
      <c r="T120">
        <v>0</v>
      </c>
      <c r="U120">
        <v>0</v>
      </c>
      <c r="V120">
        <v>78473</v>
      </c>
      <c r="W120">
        <v>0</v>
      </c>
      <c r="X120">
        <v>0</v>
      </c>
      <c r="Y120">
        <v>148363000</v>
      </c>
      <c r="Z120">
        <v>459216</v>
      </c>
      <c r="AA120">
        <v>93037</v>
      </c>
      <c r="AB120">
        <v>0</v>
      </c>
      <c r="AD120">
        <v>207564</v>
      </c>
      <c r="AE120">
        <v>125720</v>
      </c>
      <c r="AF120">
        <v>2720392</v>
      </c>
      <c r="AG120">
        <v>0</v>
      </c>
      <c r="AH120">
        <v>187235</v>
      </c>
      <c r="AI120">
        <v>421431</v>
      </c>
      <c r="AJ120">
        <v>80086</v>
      </c>
      <c r="AK120">
        <v>14495</v>
      </c>
      <c r="AL120">
        <v>99135</v>
      </c>
      <c r="AN120">
        <v>378388</v>
      </c>
      <c r="AP120">
        <v>0</v>
      </c>
      <c r="AQ120">
        <v>7159467</v>
      </c>
      <c r="AR120">
        <v>0</v>
      </c>
      <c r="AS120">
        <v>101538</v>
      </c>
      <c r="AT120">
        <v>0</v>
      </c>
      <c r="AU120">
        <v>121422</v>
      </c>
      <c r="AV120">
        <v>0</v>
      </c>
      <c r="AW120">
        <v>0</v>
      </c>
      <c r="AX120">
        <v>176855</v>
      </c>
      <c r="AY120">
        <v>0</v>
      </c>
      <c r="AZ120">
        <v>0</v>
      </c>
      <c r="BA120">
        <v>180730</v>
      </c>
      <c r="BB120">
        <v>33117</v>
      </c>
      <c r="BC120">
        <v>348794</v>
      </c>
      <c r="BD120">
        <v>0</v>
      </c>
      <c r="BE120">
        <v>0</v>
      </c>
      <c r="BF120">
        <v>269220</v>
      </c>
      <c r="BG120">
        <v>0</v>
      </c>
      <c r="BH120">
        <v>0</v>
      </c>
      <c r="BI120">
        <v>381957</v>
      </c>
      <c r="BJ120">
        <v>0</v>
      </c>
      <c r="BK120">
        <v>256766</v>
      </c>
      <c r="BL120">
        <v>34458</v>
      </c>
      <c r="BM120">
        <v>54761</v>
      </c>
      <c r="BN120">
        <v>0</v>
      </c>
      <c r="BO120">
        <v>940205</v>
      </c>
      <c r="BP120">
        <v>2533713</v>
      </c>
      <c r="BQ120">
        <v>0</v>
      </c>
      <c r="BR120">
        <v>13257</v>
      </c>
      <c r="BS120">
        <v>43853</v>
      </c>
      <c r="BU120">
        <v>130282</v>
      </c>
      <c r="BV120">
        <v>0</v>
      </c>
      <c r="BW120">
        <v>1722013</v>
      </c>
      <c r="BX120">
        <v>278936</v>
      </c>
      <c r="BY120">
        <v>1809329</v>
      </c>
      <c r="BZ120">
        <v>553075</v>
      </c>
      <c r="CA120">
        <v>103076</v>
      </c>
      <c r="CB120">
        <v>0</v>
      </c>
      <c r="CC120">
        <v>105198</v>
      </c>
      <c r="CD120">
        <v>138284</v>
      </c>
      <c r="CF120">
        <v>208106</v>
      </c>
      <c r="CG120">
        <v>0</v>
      </c>
      <c r="CH120">
        <v>261902</v>
      </c>
      <c r="CI120">
        <v>0</v>
      </c>
      <c r="CK120">
        <v>55289</v>
      </c>
    </row>
    <row r="121" spans="1:89" x14ac:dyDescent="0.3">
      <c r="A121" s="155">
        <v>521</v>
      </c>
      <c r="B121" t="s">
        <v>268</v>
      </c>
      <c r="D121">
        <v>0</v>
      </c>
      <c r="E121">
        <v>0</v>
      </c>
      <c r="F121">
        <v>0</v>
      </c>
      <c r="G121">
        <v>0</v>
      </c>
      <c r="I121">
        <v>0</v>
      </c>
      <c r="J121">
        <v>0</v>
      </c>
      <c r="K121">
        <v>0</v>
      </c>
      <c r="L121">
        <v>0</v>
      </c>
      <c r="M121">
        <v>0</v>
      </c>
      <c r="N121">
        <v>0</v>
      </c>
      <c r="O121">
        <v>0</v>
      </c>
      <c r="P121">
        <v>0</v>
      </c>
      <c r="Q121">
        <v>0</v>
      </c>
      <c r="R121">
        <v>0</v>
      </c>
      <c r="S121">
        <v>0</v>
      </c>
      <c r="T121">
        <v>0</v>
      </c>
      <c r="U121">
        <v>0</v>
      </c>
      <c r="V121">
        <v>0</v>
      </c>
      <c r="W121">
        <v>320335</v>
      </c>
      <c r="X121">
        <v>0</v>
      </c>
      <c r="Y121">
        <v>0</v>
      </c>
      <c r="Z121">
        <v>0</v>
      </c>
      <c r="AA121">
        <v>0</v>
      </c>
      <c r="AB121">
        <v>0</v>
      </c>
      <c r="AD121">
        <v>0</v>
      </c>
      <c r="AE121">
        <v>0</v>
      </c>
      <c r="AF121">
        <v>0</v>
      </c>
      <c r="AG121">
        <v>0</v>
      </c>
      <c r="AH121">
        <v>0</v>
      </c>
      <c r="AI121">
        <v>697056</v>
      </c>
      <c r="AJ121">
        <v>0</v>
      </c>
      <c r="AK121">
        <v>0</v>
      </c>
      <c r="AL121">
        <v>0</v>
      </c>
      <c r="AN121">
        <v>0</v>
      </c>
      <c r="AP121">
        <v>0</v>
      </c>
      <c r="AQ121">
        <v>0</v>
      </c>
      <c r="AR121">
        <v>0</v>
      </c>
      <c r="AS121">
        <v>0</v>
      </c>
      <c r="AT121">
        <v>851510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18972804</v>
      </c>
      <c r="BQ121">
        <v>0</v>
      </c>
      <c r="BR121">
        <v>0</v>
      </c>
      <c r="BS121">
        <v>0</v>
      </c>
      <c r="BU121">
        <v>0</v>
      </c>
      <c r="BV121">
        <v>0</v>
      </c>
      <c r="BW121">
        <v>0</v>
      </c>
      <c r="BX121">
        <v>0</v>
      </c>
      <c r="BY121">
        <v>370832</v>
      </c>
      <c r="BZ121">
        <v>0</v>
      </c>
      <c r="CA121">
        <v>0</v>
      </c>
      <c r="CB121">
        <v>0</v>
      </c>
      <c r="CC121">
        <v>0</v>
      </c>
      <c r="CD121">
        <v>0</v>
      </c>
      <c r="CF121">
        <v>0</v>
      </c>
      <c r="CG121">
        <v>0</v>
      </c>
      <c r="CH121">
        <v>0</v>
      </c>
      <c r="CI121">
        <v>0</v>
      </c>
      <c r="CK121">
        <v>0</v>
      </c>
    </row>
    <row r="122" spans="1:89" x14ac:dyDescent="0.3">
      <c r="A122" s="155">
        <v>522</v>
      </c>
      <c r="B122" t="s">
        <v>269</v>
      </c>
      <c r="D122">
        <v>7080</v>
      </c>
      <c r="E122">
        <v>0</v>
      </c>
      <c r="F122">
        <v>3740</v>
      </c>
      <c r="G122">
        <v>1100</v>
      </c>
      <c r="I122">
        <v>25272</v>
      </c>
      <c r="J122">
        <v>0</v>
      </c>
      <c r="K122">
        <v>545530</v>
      </c>
      <c r="L122">
        <v>0</v>
      </c>
      <c r="M122">
        <v>0</v>
      </c>
      <c r="N122">
        <v>101653</v>
      </c>
      <c r="O122">
        <v>1532645</v>
      </c>
      <c r="P122">
        <v>0</v>
      </c>
      <c r="Q122">
        <v>0</v>
      </c>
      <c r="R122">
        <v>0</v>
      </c>
      <c r="S122">
        <v>0</v>
      </c>
      <c r="T122">
        <v>0</v>
      </c>
      <c r="U122">
        <v>0</v>
      </c>
      <c r="V122">
        <v>756</v>
      </c>
      <c r="W122">
        <v>57526</v>
      </c>
      <c r="X122">
        <v>0</v>
      </c>
      <c r="Y122">
        <v>9113000</v>
      </c>
      <c r="Z122">
        <v>122923</v>
      </c>
      <c r="AA122">
        <v>0</v>
      </c>
      <c r="AB122">
        <v>0</v>
      </c>
      <c r="AD122">
        <v>44506</v>
      </c>
      <c r="AE122">
        <v>25105</v>
      </c>
      <c r="AF122">
        <v>1170765</v>
      </c>
      <c r="AG122">
        <v>0</v>
      </c>
      <c r="AH122">
        <v>0</v>
      </c>
      <c r="AI122">
        <v>204495</v>
      </c>
      <c r="AJ122">
        <v>28712</v>
      </c>
      <c r="AK122">
        <v>6600</v>
      </c>
      <c r="AL122">
        <v>0</v>
      </c>
      <c r="AN122">
        <v>8095</v>
      </c>
      <c r="AP122">
        <v>0</v>
      </c>
      <c r="AQ122">
        <v>782436</v>
      </c>
      <c r="AR122">
        <v>0</v>
      </c>
      <c r="AS122">
        <v>0</v>
      </c>
      <c r="AT122">
        <v>143731</v>
      </c>
      <c r="AU122">
        <v>11258</v>
      </c>
      <c r="AV122">
        <v>0</v>
      </c>
      <c r="AW122">
        <v>0</v>
      </c>
      <c r="AX122">
        <v>1896</v>
      </c>
      <c r="AY122">
        <v>0</v>
      </c>
      <c r="AZ122">
        <v>0</v>
      </c>
      <c r="BA122">
        <v>3552</v>
      </c>
      <c r="BB122">
        <v>4688</v>
      </c>
      <c r="BC122">
        <v>40771</v>
      </c>
      <c r="BD122">
        <v>0</v>
      </c>
      <c r="BE122">
        <v>0</v>
      </c>
      <c r="BF122">
        <v>50516</v>
      </c>
      <c r="BG122">
        <v>0</v>
      </c>
      <c r="BH122">
        <v>0</v>
      </c>
      <c r="BI122">
        <v>66178</v>
      </c>
      <c r="BJ122">
        <v>0</v>
      </c>
      <c r="BK122">
        <v>1085</v>
      </c>
      <c r="BL122">
        <v>10516</v>
      </c>
      <c r="BM122">
        <v>3952</v>
      </c>
      <c r="BN122">
        <v>0</v>
      </c>
      <c r="BO122">
        <v>287690</v>
      </c>
      <c r="BP122">
        <v>162787</v>
      </c>
      <c r="BQ122">
        <v>0</v>
      </c>
      <c r="BR122">
        <v>414</v>
      </c>
      <c r="BS122">
        <v>2444</v>
      </c>
      <c r="BU122">
        <v>0</v>
      </c>
      <c r="BV122">
        <v>0</v>
      </c>
      <c r="BW122">
        <v>601312</v>
      </c>
      <c r="BX122">
        <v>46050</v>
      </c>
      <c r="BY122">
        <v>0</v>
      </c>
      <c r="BZ122">
        <v>87875</v>
      </c>
      <c r="CA122">
        <v>9678</v>
      </c>
      <c r="CB122">
        <v>0</v>
      </c>
      <c r="CC122">
        <v>0</v>
      </c>
      <c r="CD122">
        <v>8608</v>
      </c>
      <c r="CF122">
        <v>45723</v>
      </c>
      <c r="CG122">
        <v>0</v>
      </c>
      <c r="CH122">
        <v>13064</v>
      </c>
      <c r="CI122">
        <v>0</v>
      </c>
      <c r="CK122">
        <v>0</v>
      </c>
    </row>
    <row r="123" spans="1:89" x14ac:dyDescent="0.3">
      <c r="A123" s="553">
        <v>523</v>
      </c>
      <c r="B123" s="554" t="s">
        <v>270</v>
      </c>
      <c r="D123">
        <v>0</v>
      </c>
      <c r="E123">
        <v>0</v>
      </c>
      <c r="F123">
        <v>0</v>
      </c>
      <c r="G123">
        <v>0</v>
      </c>
      <c r="I123">
        <v>0</v>
      </c>
      <c r="J123">
        <v>0</v>
      </c>
      <c r="K123">
        <v>0</v>
      </c>
      <c r="L123">
        <v>0</v>
      </c>
      <c r="M123">
        <v>0</v>
      </c>
      <c r="N123">
        <v>1102288</v>
      </c>
      <c r="O123">
        <v>51888567</v>
      </c>
      <c r="P123">
        <v>0</v>
      </c>
      <c r="Q123">
        <v>0</v>
      </c>
      <c r="R123">
        <v>0</v>
      </c>
      <c r="S123">
        <v>0</v>
      </c>
      <c r="T123">
        <v>0</v>
      </c>
      <c r="U123">
        <v>0</v>
      </c>
      <c r="V123">
        <v>0</v>
      </c>
      <c r="W123">
        <v>0</v>
      </c>
      <c r="X123">
        <v>0</v>
      </c>
      <c r="Y123">
        <v>15310000</v>
      </c>
      <c r="Z123">
        <v>0</v>
      </c>
      <c r="AA123">
        <v>0</v>
      </c>
      <c r="AB123">
        <v>0</v>
      </c>
      <c r="AD123">
        <v>0</v>
      </c>
      <c r="AE123">
        <v>118248</v>
      </c>
      <c r="AF123">
        <v>789328</v>
      </c>
      <c r="AG123">
        <v>0</v>
      </c>
      <c r="AH123">
        <v>0</v>
      </c>
      <c r="AI123">
        <v>7384980</v>
      </c>
      <c r="AJ123">
        <v>0</v>
      </c>
      <c r="AK123">
        <v>0</v>
      </c>
      <c r="AL123">
        <v>0</v>
      </c>
      <c r="AN123">
        <v>0</v>
      </c>
      <c r="AP123">
        <v>0</v>
      </c>
      <c r="AQ123">
        <v>8815520</v>
      </c>
      <c r="AR123">
        <v>0</v>
      </c>
      <c r="AS123">
        <v>0</v>
      </c>
      <c r="AT123">
        <v>3647820</v>
      </c>
      <c r="AU123">
        <v>0</v>
      </c>
      <c r="AV123">
        <v>0</v>
      </c>
      <c r="AW123">
        <v>0</v>
      </c>
      <c r="AX123">
        <v>0</v>
      </c>
      <c r="AY123">
        <v>0</v>
      </c>
      <c r="AZ123">
        <v>0</v>
      </c>
      <c r="BA123">
        <v>56472</v>
      </c>
      <c r="BB123">
        <v>0</v>
      </c>
      <c r="BC123">
        <v>147249</v>
      </c>
      <c r="BD123">
        <v>0</v>
      </c>
      <c r="BE123">
        <v>0</v>
      </c>
      <c r="BF123">
        <v>0</v>
      </c>
      <c r="BG123">
        <v>0</v>
      </c>
      <c r="BH123">
        <v>0</v>
      </c>
      <c r="BI123">
        <v>0</v>
      </c>
      <c r="BJ123">
        <v>0</v>
      </c>
      <c r="BK123">
        <v>0</v>
      </c>
      <c r="BL123">
        <v>0</v>
      </c>
      <c r="BM123">
        <v>55578</v>
      </c>
      <c r="BN123">
        <v>0</v>
      </c>
      <c r="BO123">
        <v>758160</v>
      </c>
      <c r="BP123">
        <v>150686911</v>
      </c>
      <c r="BQ123">
        <v>0</v>
      </c>
      <c r="BR123">
        <v>0</v>
      </c>
      <c r="BS123">
        <v>92850</v>
      </c>
      <c r="BU123">
        <v>0</v>
      </c>
      <c r="BV123">
        <v>0</v>
      </c>
      <c r="BW123">
        <v>0</v>
      </c>
      <c r="BX123">
        <v>0</v>
      </c>
      <c r="BY123">
        <v>18554</v>
      </c>
      <c r="BZ123">
        <v>197832</v>
      </c>
      <c r="CA123">
        <v>26689</v>
      </c>
      <c r="CB123">
        <v>4445997</v>
      </c>
      <c r="CC123">
        <v>0</v>
      </c>
      <c r="CD123">
        <v>455326</v>
      </c>
      <c r="CF123">
        <v>0</v>
      </c>
      <c r="CG123">
        <v>0</v>
      </c>
      <c r="CH123">
        <v>5980</v>
      </c>
      <c r="CI123">
        <v>0</v>
      </c>
      <c r="CK123">
        <v>0</v>
      </c>
    </row>
    <row r="124" spans="1:89" x14ac:dyDescent="0.3">
      <c r="A124" s="553">
        <v>524</v>
      </c>
      <c r="B124" s="554" t="s">
        <v>271</v>
      </c>
      <c r="D124">
        <v>1755338</v>
      </c>
      <c r="E124">
        <v>0</v>
      </c>
      <c r="F124">
        <v>1592437</v>
      </c>
      <c r="G124">
        <v>918316</v>
      </c>
      <c r="I124">
        <v>5637785</v>
      </c>
      <c r="J124">
        <v>0</v>
      </c>
      <c r="K124">
        <v>19745373</v>
      </c>
      <c r="L124">
        <v>0</v>
      </c>
      <c r="M124">
        <v>0</v>
      </c>
      <c r="N124">
        <v>3974716</v>
      </c>
      <c r="O124">
        <v>236869616</v>
      </c>
      <c r="P124">
        <v>0</v>
      </c>
      <c r="Q124">
        <v>0</v>
      </c>
      <c r="R124">
        <v>0</v>
      </c>
      <c r="S124">
        <v>0</v>
      </c>
      <c r="T124">
        <v>0</v>
      </c>
      <c r="U124">
        <v>0</v>
      </c>
      <c r="V124">
        <v>1170127</v>
      </c>
      <c r="W124">
        <v>0</v>
      </c>
      <c r="X124">
        <v>0</v>
      </c>
      <c r="Y124">
        <v>2200292000</v>
      </c>
      <c r="Z124">
        <v>11591163</v>
      </c>
      <c r="AA124">
        <v>1326496</v>
      </c>
      <c r="AB124">
        <v>0</v>
      </c>
      <c r="AD124">
        <v>5631095</v>
      </c>
      <c r="AE124">
        <v>2538904</v>
      </c>
      <c r="AF124">
        <v>19232312</v>
      </c>
      <c r="AG124">
        <v>0</v>
      </c>
      <c r="AH124">
        <v>3919801</v>
      </c>
      <c r="AI124">
        <v>9611767</v>
      </c>
      <c r="AJ124">
        <v>1548211</v>
      </c>
      <c r="AK124">
        <v>706618</v>
      </c>
      <c r="AL124">
        <v>1705519</v>
      </c>
      <c r="AN124">
        <v>5447987</v>
      </c>
      <c r="AP124">
        <v>0</v>
      </c>
      <c r="AQ124">
        <v>139116326</v>
      </c>
      <c r="AR124">
        <v>0</v>
      </c>
      <c r="AS124">
        <v>2084101</v>
      </c>
      <c r="AT124">
        <v>0</v>
      </c>
      <c r="AU124">
        <v>2547140</v>
      </c>
      <c r="AV124">
        <v>0</v>
      </c>
      <c r="AW124">
        <v>0</v>
      </c>
      <c r="AX124">
        <v>2145758</v>
      </c>
      <c r="AY124">
        <v>0</v>
      </c>
      <c r="AZ124">
        <v>0</v>
      </c>
      <c r="BA124">
        <v>3037134</v>
      </c>
      <c r="BB124">
        <v>658696</v>
      </c>
      <c r="BC124">
        <v>7679213</v>
      </c>
      <c r="BD124">
        <v>0</v>
      </c>
      <c r="BE124">
        <v>0</v>
      </c>
      <c r="BF124">
        <v>7826211</v>
      </c>
      <c r="BG124">
        <v>0</v>
      </c>
      <c r="BH124">
        <v>0</v>
      </c>
      <c r="BI124">
        <v>5420273</v>
      </c>
      <c r="BJ124">
        <v>0</v>
      </c>
      <c r="BK124">
        <v>2699670</v>
      </c>
      <c r="BL124">
        <v>4253886</v>
      </c>
      <c r="BM124">
        <v>1172115</v>
      </c>
      <c r="BN124">
        <v>0</v>
      </c>
      <c r="BO124">
        <v>23377189</v>
      </c>
      <c r="BP124">
        <v>15194173</v>
      </c>
      <c r="BQ124">
        <v>0</v>
      </c>
      <c r="BR124">
        <v>514548</v>
      </c>
      <c r="BS124">
        <v>914941</v>
      </c>
      <c r="BU124">
        <v>2232302</v>
      </c>
      <c r="BV124">
        <v>0</v>
      </c>
      <c r="BW124">
        <v>42573854</v>
      </c>
      <c r="BX124">
        <v>10402229</v>
      </c>
      <c r="BY124">
        <v>39481877</v>
      </c>
      <c r="BZ124">
        <v>12300024</v>
      </c>
      <c r="CA124">
        <v>2365456</v>
      </c>
      <c r="CB124">
        <v>0</v>
      </c>
      <c r="CC124">
        <v>2163651</v>
      </c>
      <c r="CD124">
        <v>1161971</v>
      </c>
      <c r="CF124">
        <v>5549754</v>
      </c>
      <c r="CG124">
        <v>0</v>
      </c>
      <c r="CH124">
        <v>7188593</v>
      </c>
      <c r="CI124">
        <v>0</v>
      </c>
      <c r="CK124">
        <v>1261341</v>
      </c>
    </row>
    <row r="125" spans="1:89" x14ac:dyDescent="0.3">
      <c r="A125" s="553">
        <v>525</v>
      </c>
      <c r="B125" s="554" t="s">
        <v>272</v>
      </c>
      <c r="D125">
        <v>0</v>
      </c>
      <c r="E125">
        <v>0</v>
      </c>
      <c r="F125">
        <v>0</v>
      </c>
      <c r="G125">
        <v>0</v>
      </c>
      <c r="I125">
        <v>0</v>
      </c>
      <c r="J125">
        <v>0</v>
      </c>
      <c r="K125">
        <v>0</v>
      </c>
      <c r="L125">
        <v>0</v>
      </c>
      <c r="M125">
        <v>0</v>
      </c>
      <c r="N125">
        <v>0</v>
      </c>
      <c r="O125">
        <v>0</v>
      </c>
      <c r="P125">
        <v>0</v>
      </c>
      <c r="Q125">
        <v>0</v>
      </c>
      <c r="R125">
        <v>0</v>
      </c>
      <c r="S125">
        <v>0</v>
      </c>
      <c r="T125">
        <v>0</v>
      </c>
      <c r="U125">
        <v>0</v>
      </c>
      <c r="V125">
        <v>0</v>
      </c>
      <c r="W125">
        <v>4869935</v>
      </c>
      <c r="X125">
        <v>0</v>
      </c>
      <c r="Y125">
        <v>0</v>
      </c>
      <c r="Z125">
        <v>0</v>
      </c>
      <c r="AA125">
        <v>0</v>
      </c>
      <c r="AB125">
        <v>0</v>
      </c>
      <c r="AD125">
        <v>0</v>
      </c>
      <c r="AE125">
        <v>0</v>
      </c>
      <c r="AF125">
        <v>6774892</v>
      </c>
      <c r="AG125">
        <v>0</v>
      </c>
      <c r="AH125">
        <v>0</v>
      </c>
      <c r="AI125">
        <v>10970549</v>
      </c>
      <c r="AJ125">
        <v>0</v>
      </c>
      <c r="AK125">
        <v>0</v>
      </c>
      <c r="AL125">
        <v>0</v>
      </c>
      <c r="AN125">
        <v>0</v>
      </c>
      <c r="AP125">
        <v>0</v>
      </c>
      <c r="AQ125">
        <v>0</v>
      </c>
      <c r="AR125">
        <v>0</v>
      </c>
      <c r="AS125">
        <v>0</v>
      </c>
      <c r="AT125">
        <v>16291789</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397587743</v>
      </c>
      <c r="BQ125">
        <v>0</v>
      </c>
      <c r="BR125">
        <v>0</v>
      </c>
      <c r="BS125">
        <v>0</v>
      </c>
      <c r="BU125">
        <v>0</v>
      </c>
      <c r="BV125">
        <v>0</v>
      </c>
      <c r="BW125">
        <v>0</v>
      </c>
      <c r="BX125">
        <v>0</v>
      </c>
      <c r="BY125">
        <v>2004523</v>
      </c>
      <c r="BZ125">
        <v>0</v>
      </c>
      <c r="CA125">
        <v>0</v>
      </c>
      <c r="CB125">
        <v>0</v>
      </c>
      <c r="CC125">
        <v>0</v>
      </c>
      <c r="CD125">
        <v>0</v>
      </c>
      <c r="CF125">
        <v>0</v>
      </c>
      <c r="CG125">
        <v>0</v>
      </c>
      <c r="CH125">
        <v>0</v>
      </c>
      <c r="CI125">
        <v>0</v>
      </c>
      <c r="CK125">
        <v>0</v>
      </c>
    </row>
    <row r="126" spans="1:89" x14ac:dyDescent="0.3">
      <c r="A126" s="553">
        <v>526</v>
      </c>
      <c r="B126" s="554" t="s">
        <v>273</v>
      </c>
      <c r="D126">
        <v>177000</v>
      </c>
      <c r="E126">
        <v>0</v>
      </c>
      <c r="F126">
        <v>43653</v>
      </c>
      <c r="G126">
        <v>5408</v>
      </c>
      <c r="I126">
        <v>234863</v>
      </c>
      <c r="J126">
        <v>0</v>
      </c>
      <c r="K126">
        <v>3717212</v>
      </c>
      <c r="L126">
        <v>0</v>
      </c>
      <c r="M126">
        <v>0</v>
      </c>
      <c r="N126">
        <v>1667195</v>
      </c>
      <c r="O126">
        <v>15936707</v>
      </c>
      <c r="P126">
        <v>0</v>
      </c>
      <c r="Q126">
        <v>0</v>
      </c>
      <c r="R126">
        <v>0</v>
      </c>
      <c r="S126">
        <v>0</v>
      </c>
      <c r="T126">
        <v>0</v>
      </c>
      <c r="U126">
        <v>0</v>
      </c>
      <c r="V126">
        <v>3175</v>
      </c>
      <c r="W126">
        <v>390575</v>
      </c>
      <c r="X126">
        <v>0</v>
      </c>
      <c r="Y126">
        <v>72809000</v>
      </c>
      <c r="Z126">
        <v>674789</v>
      </c>
      <c r="AA126">
        <v>0</v>
      </c>
      <c r="AB126">
        <v>0</v>
      </c>
      <c r="AD126">
        <v>383606</v>
      </c>
      <c r="AE126">
        <v>342754</v>
      </c>
      <c r="AF126">
        <v>0</v>
      </c>
      <c r="AG126">
        <v>0</v>
      </c>
      <c r="AH126">
        <v>75176</v>
      </c>
      <c r="AI126">
        <v>2768476</v>
      </c>
      <c r="AJ126">
        <v>288530</v>
      </c>
      <c r="AK126">
        <v>178747</v>
      </c>
      <c r="AL126">
        <v>0</v>
      </c>
      <c r="AN126">
        <v>187065</v>
      </c>
      <c r="AP126">
        <v>0</v>
      </c>
      <c r="AQ126">
        <v>6410579</v>
      </c>
      <c r="AR126">
        <v>0</v>
      </c>
      <c r="AS126">
        <v>66519</v>
      </c>
      <c r="AT126">
        <v>3630395</v>
      </c>
      <c r="AU126">
        <v>283534</v>
      </c>
      <c r="AV126">
        <v>0</v>
      </c>
      <c r="AW126">
        <v>0</v>
      </c>
      <c r="AX126">
        <v>24198</v>
      </c>
      <c r="AY126">
        <v>0</v>
      </c>
      <c r="AZ126">
        <v>0</v>
      </c>
      <c r="BA126">
        <v>111323</v>
      </c>
      <c r="BB126">
        <v>66315</v>
      </c>
      <c r="BC126">
        <v>930299</v>
      </c>
      <c r="BD126">
        <v>0</v>
      </c>
      <c r="BE126">
        <v>0</v>
      </c>
      <c r="BF126">
        <v>1215014</v>
      </c>
      <c r="BG126">
        <v>0</v>
      </c>
      <c r="BH126">
        <v>0</v>
      </c>
      <c r="BI126">
        <v>980539</v>
      </c>
      <c r="BJ126">
        <v>0</v>
      </c>
      <c r="BK126">
        <v>21072</v>
      </c>
      <c r="BL126">
        <v>193058</v>
      </c>
      <c r="BM126">
        <v>173006</v>
      </c>
      <c r="BN126">
        <v>0</v>
      </c>
      <c r="BO126">
        <v>1841341</v>
      </c>
      <c r="BP126">
        <v>966307</v>
      </c>
      <c r="BQ126">
        <v>0</v>
      </c>
      <c r="BR126">
        <v>6293</v>
      </c>
      <c r="BS126">
        <v>79044</v>
      </c>
      <c r="BU126">
        <v>59978</v>
      </c>
      <c r="BV126">
        <v>0</v>
      </c>
      <c r="BW126">
        <v>15124706</v>
      </c>
      <c r="BX126">
        <v>692818</v>
      </c>
      <c r="BY126">
        <v>0</v>
      </c>
      <c r="BZ126">
        <v>932492</v>
      </c>
      <c r="CA126">
        <v>109911</v>
      </c>
      <c r="CB126">
        <v>0</v>
      </c>
      <c r="CC126">
        <v>13293</v>
      </c>
      <c r="CD126">
        <v>158607</v>
      </c>
      <c r="CF126">
        <v>482998</v>
      </c>
      <c r="CG126">
        <v>0</v>
      </c>
      <c r="CH126">
        <v>390803</v>
      </c>
      <c r="CI126">
        <v>0</v>
      </c>
      <c r="CK126">
        <v>0</v>
      </c>
    </row>
    <row r="127" spans="1:89" x14ac:dyDescent="0.3">
      <c r="A127" s="155">
        <v>527</v>
      </c>
      <c r="B127" t="s">
        <v>274</v>
      </c>
      <c r="D127">
        <v>0</v>
      </c>
      <c r="E127">
        <v>0</v>
      </c>
      <c r="F127">
        <v>0</v>
      </c>
      <c r="G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D127">
        <v>0</v>
      </c>
      <c r="AE127">
        <v>0</v>
      </c>
      <c r="AF127">
        <v>960596</v>
      </c>
      <c r="AG127">
        <v>0</v>
      </c>
      <c r="AH127">
        <v>0</v>
      </c>
      <c r="AI127">
        <v>0</v>
      </c>
      <c r="AJ127">
        <v>0</v>
      </c>
      <c r="AK127">
        <v>0</v>
      </c>
      <c r="AL127">
        <v>0</v>
      </c>
      <c r="AN127">
        <v>0</v>
      </c>
      <c r="AP127">
        <v>0</v>
      </c>
      <c r="AQ127">
        <v>33557275</v>
      </c>
      <c r="AR127">
        <v>0</v>
      </c>
      <c r="AS127">
        <v>0</v>
      </c>
      <c r="AT127">
        <v>0</v>
      </c>
      <c r="AU127">
        <v>0</v>
      </c>
      <c r="AV127">
        <v>0</v>
      </c>
      <c r="AW127">
        <v>0</v>
      </c>
      <c r="AX127">
        <v>0</v>
      </c>
      <c r="AY127">
        <v>0</v>
      </c>
      <c r="AZ127">
        <v>0</v>
      </c>
      <c r="BA127">
        <v>0</v>
      </c>
      <c r="BB127">
        <v>0</v>
      </c>
      <c r="BC127">
        <v>76213</v>
      </c>
      <c r="BD127">
        <v>0</v>
      </c>
      <c r="BE127">
        <v>0</v>
      </c>
      <c r="BF127">
        <v>0</v>
      </c>
      <c r="BG127">
        <v>0</v>
      </c>
      <c r="BH127">
        <v>0</v>
      </c>
      <c r="BI127">
        <v>0</v>
      </c>
      <c r="BJ127">
        <v>0</v>
      </c>
      <c r="BK127">
        <v>0</v>
      </c>
      <c r="BL127">
        <v>0</v>
      </c>
      <c r="BM127">
        <v>0</v>
      </c>
      <c r="BN127">
        <v>0</v>
      </c>
      <c r="BO127">
        <v>0</v>
      </c>
      <c r="BP127">
        <v>0</v>
      </c>
      <c r="BQ127">
        <v>0</v>
      </c>
      <c r="BR127">
        <v>0</v>
      </c>
      <c r="BS127">
        <v>0</v>
      </c>
      <c r="BU127">
        <v>0</v>
      </c>
      <c r="BV127">
        <v>0</v>
      </c>
      <c r="BW127">
        <v>0</v>
      </c>
      <c r="BX127">
        <v>84147</v>
      </c>
      <c r="BY127">
        <v>556187</v>
      </c>
      <c r="BZ127">
        <v>0</v>
      </c>
      <c r="CA127">
        <v>0</v>
      </c>
      <c r="CB127">
        <v>0</v>
      </c>
      <c r="CC127">
        <v>0</v>
      </c>
      <c r="CD127">
        <v>0</v>
      </c>
      <c r="CF127">
        <v>0</v>
      </c>
      <c r="CG127">
        <v>0</v>
      </c>
      <c r="CH127">
        <v>8800</v>
      </c>
      <c r="CI127">
        <v>0</v>
      </c>
      <c r="CK127">
        <v>0</v>
      </c>
    </row>
    <row r="128" spans="1:89" x14ac:dyDescent="0.3">
      <c r="A128" s="155">
        <v>528</v>
      </c>
      <c r="B128" t="s">
        <v>257</v>
      </c>
      <c r="D128">
        <v>0</v>
      </c>
      <c r="E128">
        <v>280539</v>
      </c>
      <c r="F128">
        <v>81760</v>
      </c>
      <c r="G128">
        <v>103543</v>
      </c>
      <c r="I128">
        <v>3356482</v>
      </c>
      <c r="J128">
        <v>874690</v>
      </c>
      <c r="K128">
        <v>6204574</v>
      </c>
      <c r="L128">
        <v>561498</v>
      </c>
      <c r="M128">
        <v>15912236</v>
      </c>
      <c r="N128">
        <v>1663535</v>
      </c>
      <c r="O128">
        <v>109693709</v>
      </c>
      <c r="P128">
        <v>7088</v>
      </c>
      <c r="Q128">
        <v>29406</v>
      </c>
      <c r="R128">
        <v>854650</v>
      </c>
      <c r="S128">
        <v>462608</v>
      </c>
      <c r="T128">
        <v>603240</v>
      </c>
      <c r="U128">
        <v>100486</v>
      </c>
      <c r="V128">
        <v>16470</v>
      </c>
      <c r="W128">
        <v>483182</v>
      </c>
      <c r="X128">
        <v>45013957</v>
      </c>
      <c r="Y128">
        <v>478203000</v>
      </c>
      <c r="Z128">
        <v>21562357</v>
      </c>
      <c r="AA128">
        <v>79497</v>
      </c>
      <c r="AB128">
        <v>1724768</v>
      </c>
      <c r="AD128">
        <v>2563071</v>
      </c>
      <c r="AE128">
        <v>372596</v>
      </c>
      <c r="AF128">
        <v>15697670</v>
      </c>
      <c r="AG128">
        <v>3611445</v>
      </c>
      <c r="AH128">
        <v>602908</v>
      </c>
      <c r="AI128">
        <v>3114657</v>
      </c>
      <c r="AJ128">
        <v>425906</v>
      </c>
      <c r="AK128">
        <v>583225</v>
      </c>
      <c r="AL128">
        <v>133176</v>
      </c>
      <c r="AN128">
        <v>309287</v>
      </c>
      <c r="AP128">
        <v>14903</v>
      </c>
      <c r="AQ128">
        <v>65669967</v>
      </c>
      <c r="AR128">
        <v>19694</v>
      </c>
      <c r="AS128">
        <v>61183</v>
      </c>
      <c r="AT128">
        <v>5776994</v>
      </c>
      <c r="AU128">
        <v>225572</v>
      </c>
      <c r="AV128">
        <v>154701</v>
      </c>
      <c r="AW128">
        <v>15818466</v>
      </c>
      <c r="AX128">
        <v>41600</v>
      </c>
      <c r="AY128">
        <v>3067176</v>
      </c>
      <c r="AZ128">
        <v>2068891</v>
      </c>
      <c r="BA128">
        <v>85533</v>
      </c>
      <c r="BB128">
        <v>26901</v>
      </c>
      <c r="BC128">
        <v>1332385</v>
      </c>
      <c r="BD128">
        <v>31169</v>
      </c>
      <c r="BE128">
        <v>7884100</v>
      </c>
      <c r="BF128">
        <v>805917</v>
      </c>
      <c r="BG128">
        <v>131917</v>
      </c>
      <c r="BH128">
        <v>105052</v>
      </c>
      <c r="BI128">
        <v>773406</v>
      </c>
      <c r="BJ128">
        <v>0</v>
      </c>
      <c r="BK128">
        <v>45585</v>
      </c>
      <c r="BL128">
        <v>351239</v>
      </c>
      <c r="BM128">
        <v>77421</v>
      </c>
      <c r="BN128">
        <v>4065641</v>
      </c>
      <c r="BO128">
        <v>4092120</v>
      </c>
      <c r="BP128">
        <v>200845714</v>
      </c>
      <c r="BQ128">
        <v>20237</v>
      </c>
      <c r="BR128">
        <v>43343</v>
      </c>
      <c r="BS128">
        <v>204858</v>
      </c>
      <c r="BU128">
        <v>777387</v>
      </c>
      <c r="BV128">
        <v>617186</v>
      </c>
      <c r="BW128">
        <v>5695012</v>
      </c>
      <c r="BX128">
        <v>2022939</v>
      </c>
      <c r="BY128">
        <v>9010725</v>
      </c>
      <c r="BZ128">
        <v>1621824</v>
      </c>
      <c r="CA128">
        <v>58682</v>
      </c>
      <c r="CB128">
        <v>2629550</v>
      </c>
      <c r="CC128">
        <v>58595</v>
      </c>
      <c r="CD128">
        <v>242202</v>
      </c>
      <c r="CF128">
        <v>2637643</v>
      </c>
      <c r="CG128">
        <v>5022048</v>
      </c>
      <c r="CH128">
        <v>550683</v>
      </c>
      <c r="CI128">
        <v>1419606</v>
      </c>
      <c r="CK128">
        <v>40142</v>
      </c>
    </row>
    <row r="129" spans="1:89" x14ac:dyDescent="0.3">
      <c r="A129" s="155">
        <v>529</v>
      </c>
      <c r="B129" t="s">
        <v>258</v>
      </c>
      <c r="D129">
        <v>0</v>
      </c>
      <c r="E129">
        <v>21781</v>
      </c>
      <c r="F129">
        <v>12571</v>
      </c>
      <c r="G129">
        <v>13031</v>
      </c>
      <c r="I129">
        <v>186055</v>
      </c>
      <c r="J129">
        <v>75011</v>
      </c>
      <c r="K129">
        <v>227033</v>
      </c>
      <c r="L129">
        <v>69872</v>
      </c>
      <c r="M129">
        <v>1604961</v>
      </c>
      <c r="N129">
        <v>202057</v>
      </c>
      <c r="O129">
        <v>7184351</v>
      </c>
      <c r="P129">
        <v>1000</v>
      </c>
      <c r="Q129">
        <v>5751</v>
      </c>
      <c r="R129">
        <v>23237</v>
      </c>
      <c r="S129">
        <v>51176</v>
      </c>
      <c r="T129">
        <v>47775</v>
      </c>
      <c r="U129">
        <v>10030</v>
      </c>
      <c r="V129">
        <v>2599</v>
      </c>
      <c r="W129">
        <v>68190</v>
      </c>
      <c r="X129">
        <v>3618399</v>
      </c>
      <c r="Y129">
        <v>18311000</v>
      </c>
      <c r="Z129">
        <v>273531</v>
      </c>
      <c r="AA129">
        <v>1587</v>
      </c>
      <c r="AB129">
        <v>194957</v>
      </c>
      <c r="AD129">
        <v>100160</v>
      </c>
      <c r="AE129">
        <v>24811</v>
      </c>
      <c r="AF129">
        <v>1592791</v>
      </c>
      <c r="AG129">
        <v>355630</v>
      </c>
      <c r="AH129">
        <v>21782</v>
      </c>
      <c r="AI129">
        <v>323796</v>
      </c>
      <c r="AJ129">
        <v>46737</v>
      </c>
      <c r="AK129">
        <v>100087</v>
      </c>
      <c r="AL129">
        <v>8638</v>
      </c>
      <c r="AN129">
        <v>24046</v>
      </c>
      <c r="AP129">
        <v>2235</v>
      </c>
      <c r="AQ129">
        <v>5621684</v>
      </c>
      <c r="AR129">
        <v>4114</v>
      </c>
      <c r="AS129">
        <v>6181</v>
      </c>
      <c r="AT129">
        <v>541444</v>
      </c>
      <c r="AU129">
        <v>26854</v>
      </c>
      <c r="AV129">
        <v>24557</v>
      </c>
      <c r="AW129">
        <v>1114307</v>
      </c>
      <c r="AX129">
        <v>12635</v>
      </c>
      <c r="AY129">
        <v>358673</v>
      </c>
      <c r="AZ129">
        <v>296709</v>
      </c>
      <c r="BA129">
        <v>12077</v>
      </c>
      <c r="BB129">
        <v>4924</v>
      </c>
      <c r="BC129">
        <v>174253</v>
      </c>
      <c r="BD129">
        <v>2620</v>
      </c>
      <c r="BE129">
        <v>614560</v>
      </c>
      <c r="BF129">
        <v>80893</v>
      </c>
      <c r="BG129">
        <v>5607</v>
      </c>
      <c r="BH129">
        <v>21600</v>
      </c>
      <c r="BI129">
        <v>62807</v>
      </c>
      <c r="BJ129">
        <v>0</v>
      </c>
      <c r="BK129">
        <v>8995</v>
      </c>
      <c r="BL129">
        <v>53846</v>
      </c>
      <c r="BM129">
        <v>12699</v>
      </c>
      <c r="BN129">
        <v>36662</v>
      </c>
      <c r="BO129">
        <v>371773</v>
      </c>
      <c r="BP129">
        <v>13362151</v>
      </c>
      <c r="BQ129">
        <v>2654</v>
      </c>
      <c r="BR129">
        <v>11283</v>
      </c>
      <c r="BS129">
        <v>28682</v>
      </c>
      <c r="BU129">
        <v>45969</v>
      </c>
      <c r="BV129">
        <v>106624</v>
      </c>
      <c r="BW129">
        <v>894714</v>
      </c>
      <c r="BX129">
        <v>304462</v>
      </c>
      <c r="BY129">
        <v>776941</v>
      </c>
      <c r="BZ129">
        <v>214963</v>
      </c>
      <c r="CA129">
        <v>13278</v>
      </c>
      <c r="CB129">
        <v>215918</v>
      </c>
      <c r="CC129">
        <v>9229</v>
      </c>
      <c r="CD129">
        <v>37216</v>
      </c>
      <c r="CF129">
        <v>323081</v>
      </c>
      <c r="CG129">
        <v>146807</v>
      </c>
      <c r="CH129">
        <v>101374</v>
      </c>
      <c r="CI129">
        <v>231381</v>
      </c>
      <c r="CK129">
        <v>7913</v>
      </c>
    </row>
    <row r="130" spans="1:89" x14ac:dyDescent="0.3">
      <c r="A130" s="155">
        <v>530</v>
      </c>
      <c r="B130" t="s">
        <v>259</v>
      </c>
      <c r="D130">
        <v>0</v>
      </c>
      <c r="E130">
        <v>3358</v>
      </c>
      <c r="F130">
        <v>4286</v>
      </c>
      <c r="G130">
        <v>1635</v>
      </c>
      <c r="I130">
        <v>42335</v>
      </c>
      <c r="J130">
        <v>5190</v>
      </c>
      <c r="K130">
        <v>39921</v>
      </c>
      <c r="L130">
        <v>4306</v>
      </c>
      <c r="M130">
        <v>86008</v>
      </c>
      <c r="N130">
        <v>15318</v>
      </c>
      <c r="O130">
        <v>129485</v>
      </c>
      <c r="P130">
        <v>231</v>
      </c>
      <c r="Q130">
        <v>1233</v>
      </c>
      <c r="R130">
        <v>1900</v>
      </c>
      <c r="S130">
        <v>5525</v>
      </c>
      <c r="T130">
        <v>13290</v>
      </c>
      <c r="U130">
        <v>32</v>
      </c>
      <c r="V130">
        <v>128</v>
      </c>
      <c r="W130">
        <v>14591</v>
      </c>
      <c r="X130">
        <v>118300</v>
      </c>
      <c r="Y130">
        <v>2737000</v>
      </c>
      <c r="Z130">
        <v>26477</v>
      </c>
      <c r="AA130">
        <v>1104</v>
      </c>
      <c r="AB130">
        <v>32142</v>
      </c>
      <c r="AD130">
        <v>2715</v>
      </c>
      <c r="AE130">
        <v>33832</v>
      </c>
      <c r="AF130">
        <v>6634</v>
      </c>
      <c r="AG130">
        <v>13515</v>
      </c>
      <c r="AH130">
        <v>6533</v>
      </c>
      <c r="AI130">
        <v>56814</v>
      </c>
      <c r="AJ130">
        <v>14285</v>
      </c>
      <c r="AK130">
        <v>4128</v>
      </c>
      <c r="AL130">
        <v>5769</v>
      </c>
      <c r="AN130">
        <v>17463</v>
      </c>
      <c r="AP130">
        <v>265</v>
      </c>
      <c r="AQ130">
        <v>360304</v>
      </c>
      <c r="AR130">
        <v>1194</v>
      </c>
      <c r="AS130">
        <v>2002</v>
      </c>
      <c r="AT130">
        <v>48040</v>
      </c>
      <c r="AU130">
        <v>9099</v>
      </c>
      <c r="AV130">
        <v>3832</v>
      </c>
      <c r="AW130">
        <v>57929</v>
      </c>
      <c r="AX130">
        <v>3633</v>
      </c>
      <c r="AY130">
        <v>9978</v>
      </c>
      <c r="AZ130">
        <v>7658</v>
      </c>
      <c r="BA130">
        <v>8128</v>
      </c>
      <c r="BB130">
        <v>1056</v>
      </c>
      <c r="BC130">
        <v>13249</v>
      </c>
      <c r="BD130">
        <v>564</v>
      </c>
      <c r="BE130">
        <v>16403</v>
      </c>
      <c r="BF130">
        <v>19424</v>
      </c>
      <c r="BG130">
        <v>444</v>
      </c>
      <c r="BH130">
        <v>19684</v>
      </c>
      <c r="BI130">
        <v>2816</v>
      </c>
      <c r="BJ130">
        <v>0</v>
      </c>
      <c r="BK130">
        <v>2674</v>
      </c>
      <c r="BL130">
        <v>8375</v>
      </c>
      <c r="BM130">
        <v>1512</v>
      </c>
      <c r="BN130">
        <v>497</v>
      </c>
      <c r="BO130">
        <v>28542</v>
      </c>
      <c r="BP130">
        <v>405213</v>
      </c>
      <c r="BQ130">
        <v>807</v>
      </c>
      <c r="BR130">
        <v>4483</v>
      </c>
      <c r="BS130">
        <v>3898</v>
      </c>
      <c r="BU130">
        <v>33110</v>
      </c>
      <c r="BV130">
        <v>5662</v>
      </c>
      <c r="BW130">
        <v>86832</v>
      </c>
      <c r="BX130">
        <v>29347</v>
      </c>
      <c r="BY130">
        <v>358285</v>
      </c>
      <c r="BZ130">
        <v>58174</v>
      </c>
      <c r="CA130">
        <v>122</v>
      </c>
      <c r="CB130">
        <v>64675</v>
      </c>
      <c r="CC130">
        <v>2498</v>
      </c>
      <c r="CD130">
        <v>13604</v>
      </c>
      <c r="CF130">
        <v>5589</v>
      </c>
      <c r="CG130">
        <v>34541</v>
      </c>
      <c r="CH130">
        <v>25468</v>
      </c>
      <c r="CI130">
        <v>16338</v>
      </c>
      <c r="CK130">
        <v>4973</v>
      </c>
    </row>
    <row r="131" spans="1:89" x14ac:dyDescent="0.3">
      <c r="A131" s="155">
        <v>531</v>
      </c>
      <c r="B131" t="s">
        <v>260</v>
      </c>
      <c r="D131">
        <v>0</v>
      </c>
      <c r="E131">
        <v>0</v>
      </c>
      <c r="F131">
        <v>0</v>
      </c>
      <c r="G131">
        <v>0</v>
      </c>
      <c r="I131">
        <v>0</v>
      </c>
      <c r="J131">
        <v>0</v>
      </c>
      <c r="K131">
        <v>0</v>
      </c>
      <c r="L131">
        <v>0</v>
      </c>
      <c r="M131">
        <v>1411</v>
      </c>
      <c r="N131">
        <v>142</v>
      </c>
      <c r="O131">
        <v>0</v>
      </c>
      <c r="P131">
        <v>0</v>
      </c>
      <c r="Q131">
        <v>0</v>
      </c>
      <c r="R131">
        <v>0</v>
      </c>
      <c r="S131">
        <v>0</v>
      </c>
      <c r="T131">
        <v>0</v>
      </c>
      <c r="U131">
        <v>0</v>
      </c>
      <c r="V131">
        <v>0</v>
      </c>
      <c r="W131">
        <v>0</v>
      </c>
      <c r="X131">
        <v>21830</v>
      </c>
      <c r="Y131">
        <v>0</v>
      </c>
      <c r="Z131">
        <v>0</v>
      </c>
      <c r="AA131">
        <v>0</v>
      </c>
      <c r="AB131">
        <v>0</v>
      </c>
      <c r="AD131">
        <v>0</v>
      </c>
      <c r="AE131">
        <v>0</v>
      </c>
      <c r="AF131">
        <v>0</v>
      </c>
      <c r="AG131">
        <v>0</v>
      </c>
      <c r="AH131">
        <v>0</v>
      </c>
      <c r="AI131">
        <v>1757</v>
      </c>
      <c r="AJ131">
        <v>0</v>
      </c>
      <c r="AK131">
        <v>0</v>
      </c>
      <c r="AL131">
        <v>0</v>
      </c>
      <c r="AN131">
        <v>0</v>
      </c>
      <c r="AP131">
        <v>0</v>
      </c>
      <c r="AQ131">
        <v>0</v>
      </c>
      <c r="AR131">
        <v>0</v>
      </c>
      <c r="AS131">
        <v>0</v>
      </c>
      <c r="AT131">
        <v>0</v>
      </c>
      <c r="AU131">
        <v>0</v>
      </c>
      <c r="AV131">
        <v>0</v>
      </c>
      <c r="AW131">
        <v>0</v>
      </c>
      <c r="AX131">
        <v>0</v>
      </c>
      <c r="AY131">
        <v>0</v>
      </c>
      <c r="AZ131">
        <v>1480</v>
      </c>
      <c r="BA131">
        <v>8</v>
      </c>
      <c r="BB131">
        <v>0</v>
      </c>
      <c r="BC131">
        <v>0</v>
      </c>
      <c r="BD131">
        <v>0</v>
      </c>
      <c r="BE131">
        <v>0</v>
      </c>
      <c r="BF131">
        <v>0</v>
      </c>
      <c r="BG131">
        <v>0</v>
      </c>
      <c r="BH131">
        <v>0</v>
      </c>
      <c r="BI131">
        <v>0</v>
      </c>
      <c r="BJ131">
        <v>0</v>
      </c>
      <c r="BK131">
        <v>0</v>
      </c>
      <c r="BL131">
        <v>0</v>
      </c>
      <c r="BM131">
        <v>0</v>
      </c>
      <c r="BN131">
        <v>0</v>
      </c>
      <c r="BO131">
        <v>0</v>
      </c>
      <c r="BP131">
        <v>0</v>
      </c>
      <c r="BQ131">
        <v>0</v>
      </c>
      <c r="BR131">
        <v>23</v>
      </c>
      <c r="BS131">
        <v>0</v>
      </c>
      <c r="BU131">
        <v>0</v>
      </c>
      <c r="BV131">
        <v>0</v>
      </c>
      <c r="BW131">
        <v>0</v>
      </c>
      <c r="BX131">
        <v>0</v>
      </c>
      <c r="BY131">
        <v>0</v>
      </c>
      <c r="BZ131">
        <v>0</v>
      </c>
      <c r="CA131">
        <v>0</v>
      </c>
      <c r="CB131">
        <v>0</v>
      </c>
      <c r="CC131">
        <v>0</v>
      </c>
      <c r="CD131">
        <v>0</v>
      </c>
      <c r="CF131">
        <v>1787</v>
      </c>
      <c r="CG131">
        <v>0</v>
      </c>
      <c r="CH131">
        <v>327</v>
      </c>
      <c r="CI131">
        <v>0</v>
      </c>
      <c r="CK131">
        <v>0</v>
      </c>
    </row>
    <row r="132" spans="1:89" x14ac:dyDescent="0.3">
      <c r="A132" s="155">
        <v>532</v>
      </c>
      <c r="B132" t="s">
        <v>887</v>
      </c>
      <c r="D132">
        <v>624805</v>
      </c>
      <c r="E132">
        <v>1326263</v>
      </c>
      <c r="F132">
        <v>373580</v>
      </c>
      <c r="G132">
        <v>253488</v>
      </c>
      <c r="I132">
        <v>7181900</v>
      </c>
      <c r="J132">
        <v>2243370</v>
      </c>
      <c r="K132">
        <v>22965883</v>
      </c>
      <c r="L132">
        <v>3282183</v>
      </c>
      <c r="M132">
        <v>22968420</v>
      </c>
      <c r="N132">
        <v>3184655</v>
      </c>
      <c r="O132">
        <v>212776139</v>
      </c>
      <c r="P132">
        <v>41731</v>
      </c>
      <c r="Q132">
        <v>172254</v>
      </c>
      <c r="R132">
        <v>1129147</v>
      </c>
      <c r="S132">
        <v>972459</v>
      </c>
      <c r="T132">
        <v>2193598</v>
      </c>
      <c r="U132">
        <v>158306</v>
      </c>
      <c r="V132">
        <v>138342</v>
      </c>
      <c r="W132">
        <v>1732464</v>
      </c>
      <c r="X132">
        <v>65589583</v>
      </c>
      <c r="Y132">
        <v>736376000</v>
      </c>
      <c r="Z132">
        <v>5923937</v>
      </c>
      <c r="AA132">
        <v>518005</v>
      </c>
      <c r="AB132">
        <v>4097217</v>
      </c>
      <c r="AD132">
        <v>4464747</v>
      </c>
      <c r="AE132">
        <v>665670</v>
      </c>
      <c r="AF132">
        <v>33635551</v>
      </c>
      <c r="AG132">
        <v>7627136</v>
      </c>
      <c r="AH132">
        <v>1776888</v>
      </c>
      <c r="AI132">
        <v>10206104</v>
      </c>
      <c r="AJ132">
        <v>1109324</v>
      </c>
      <c r="AK132">
        <v>1593374</v>
      </c>
      <c r="AL132">
        <v>418494</v>
      </c>
      <c r="AN132">
        <v>556546</v>
      </c>
      <c r="AP132">
        <v>24796</v>
      </c>
      <c r="AQ132">
        <v>98998247</v>
      </c>
      <c r="AR132">
        <v>129773</v>
      </c>
      <c r="AS132">
        <v>564652</v>
      </c>
      <c r="AT132">
        <v>10653344</v>
      </c>
      <c r="AU132">
        <v>741510</v>
      </c>
      <c r="AV132">
        <v>439675</v>
      </c>
      <c r="AW132">
        <v>25631146</v>
      </c>
      <c r="AX132">
        <v>304910</v>
      </c>
      <c r="AY132">
        <v>6080453</v>
      </c>
      <c r="AZ132">
        <v>3819939</v>
      </c>
      <c r="BA132">
        <v>151303</v>
      </c>
      <c r="BB132">
        <v>111674</v>
      </c>
      <c r="BC132">
        <v>4089364</v>
      </c>
      <c r="BD132">
        <v>73772</v>
      </c>
      <c r="BE132">
        <v>14466277</v>
      </c>
      <c r="BF132">
        <v>1427184</v>
      </c>
      <c r="BG132">
        <v>628150</v>
      </c>
      <c r="BH132">
        <v>356509</v>
      </c>
      <c r="BI132">
        <v>1948336</v>
      </c>
      <c r="BJ132">
        <v>479437</v>
      </c>
      <c r="BK132">
        <v>254949</v>
      </c>
      <c r="BL132">
        <v>1172481</v>
      </c>
      <c r="BM132">
        <v>403779</v>
      </c>
      <c r="BN132">
        <v>10566445</v>
      </c>
      <c r="BO132">
        <v>13238300</v>
      </c>
      <c r="BP132">
        <v>219922288</v>
      </c>
      <c r="BQ132">
        <v>56682</v>
      </c>
      <c r="BR132">
        <v>81483</v>
      </c>
      <c r="BS132">
        <v>351616</v>
      </c>
      <c r="BU132">
        <v>1958035</v>
      </c>
      <c r="BV132">
        <v>1531699</v>
      </c>
      <c r="BW132">
        <v>17348367</v>
      </c>
      <c r="BX132">
        <v>6174813</v>
      </c>
      <c r="BY132">
        <v>24254846</v>
      </c>
      <c r="BZ132">
        <v>5242463</v>
      </c>
      <c r="CA132">
        <v>293516</v>
      </c>
      <c r="CB132">
        <v>5478184</v>
      </c>
      <c r="CC132">
        <v>297903</v>
      </c>
      <c r="CD132">
        <v>859624</v>
      </c>
      <c r="CF132">
        <v>8111787</v>
      </c>
      <c r="CG132">
        <v>11968025</v>
      </c>
      <c r="CH132">
        <v>1864046</v>
      </c>
      <c r="CI132">
        <v>3215958</v>
      </c>
      <c r="CK132">
        <v>62719</v>
      </c>
    </row>
    <row r="133" spans="1:89" x14ac:dyDescent="0.3">
      <c r="A133" s="155">
        <v>533</v>
      </c>
      <c r="B133" t="s">
        <v>888</v>
      </c>
      <c r="D133">
        <v>0</v>
      </c>
      <c r="E133">
        <v>3902</v>
      </c>
      <c r="F133">
        <v>0</v>
      </c>
      <c r="G133">
        <v>37446</v>
      </c>
      <c r="I133">
        <v>0</v>
      </c>
      <c r="J133">
        <v>97475</v>
      </c>
      <c r="K133">
        <v>3250000</v>
      </c>
      <c r="L133">
        <v>0</v>
      </c>
      <c r="M133">
        <v>0</v>
      </c>
      <c r="N133">
        <v>0</v>
      </c>
      <c r="O133">
        <v>41628219</v>
      </c>
      <c r="P133">
        <v>0</v>
      </c>
      <c r="Q133">
        <v>0</v>
      </c>
      <c r="R133">
        <v>0</v>
      </c>
      <c r="S133">
        <v>0</v>
      </c>
      <c r="T133">
        <v>0</v>
      </c>
      <c r="U133">
        <v>0</v>
      </c>
      <c r="V133">
        <v>0</v>
      </c>
      <c r="W133">
        <v>0</v>
      </c>
      <c r="X133">
        <v>0</v>
      </c>
      <c r="Y133">
        <v>0</v>
      </c>
      <c r="Z133">
        <v>0</v>
      </c>
      <c r="AA133">
        <v>0</v>
      </c>
      <c r="AB133">
        <v>21105</v>
      </c>
      <c r="AD133">
        <v>0</v>
      </c>
      <c r="AE133">
        <v>0</v>
      </c>
      <c r="AF133">
        <v>0</v>
      </c>
      <c r="AG133">
        <v>0</v>
      </c>
      <c r="AH133">
        <v>0</v>
      </c>
      <c r="AI133">
        <v>233000</v>
      </c>
      <c r="AJ133">
        <v>0</v>
      </c>
      <c r="AK133">
        <v>0</v>
      </c>
      <c r="AL133">
        <v>0</v>
      </c>
      <c r="AN133">
        <v>0</v>
      </c>
      <c r="AP133">
        <v>0</v>
      </c>
      <c r="AQ133">
        <v>0</v>
      </c>
      <c r="AR133">
        <v>0</v>
      </c>
      <c r="AS133">
        <v>0</v>
      </c>
      <c r="AT133">
        <v>138539</v>
      </c>
      <c r="AU133">
        <v>0</v>
      </c>
      <c r="AV133">
        <v>0</v>
      </c>
      <c r="AW133">
        <v>1143000</v>
      </c>
      <c r="AX133">
        <v>0</v>
      </c>
      <c r="AY133">
        <v>1207039</v>
      </c>
      <c r="AZ133">
        <v>0</v>
      </c>
      <c r="BA133">
        <v>0</v>
      </c>
      <c r="BB133">
        <v>0</v>
      </c>
      <c r="BC133">
        <v>0</v>
      </c>
      <c r="BD133">
        <v>0</v>
      </c>
      <c r="BE133">
        <v>0</v>
      </c>
      <c r="BF133">
        <v>0</v>
      </c>
      <c r="BG133">
        <v>0</v>
      </c>
      <c r="BH133">
        <v>0</v>
      </c>
      <c r="BI133">
        <v>0</v>
      </c>
      <c r="BJ133">
        <v>0</v>
      </c>
      <c r="BK133">
        <v>0</v>
      </c>
      <c r="BL133">
        <v>0</v>
      </c>
      <c r="BM133">
        <v>0</v>
      </c>
      <c r="BN133">
        <v>644896</v>
      </c>
      <c r="BO133">
        <v>475000</v>
      </c>
      <c r="BP133">
        <v>0</v>
      </c>
      <c r="BQ133">
        <v>0</v>
      </c>
      <c r="BR133">
        <v>0</v>
      </c>
      <c r="BS133">
        <v>0</v>
      </c>
      <c r="BU133">
        <v>0</v>
      </c>
      <c r="BV133">
        <v>0</v>
      </c>
      <c r="BW133">
        <v>0</v>
      </c>
      <c r="BX133">
        <v>0</v>
      </c>
      <c r="BY133">
        <v>1334479</v>
      </c>
      <c r="BZ133">
        <v>724872</v>
      </c>
      <c r="CA133">
        <v>0</v>
      </c>
      <c r="CB133">
        <v>0</v>
      </c>
      <c r="CC133">
        <v>0</v>
      </c>
      <c r="CD133">
        <v>0</v>
      </c>
      <c r="CF133">
        <v>0</v>
      </c>
      <c r="CG133">
        <v>677060</v>
      </c>
      <c r="CH133">
        <v>0</v>
      </c>
      <c r="CI133">
        <v>0</v>
      </c>
      <c r="CK133">
        <v>0</v>
      </c>
    </row>
    <row r="134" spans="1:89" x14ac:dyDescent="0.3">
      <c r="A134" s="155">
        <v>535</v>
      </c>
      <c r="B134" t="s">
        <v>244</v>
      </c>
      <c r="D134">
        <v>0</v>
      </c>
      <c r="E134">
        <v>0</v>
      </c>
      <c r="F134">
        <v>0</v>
      </c>
      <c r="G134">
        <v>0</v>
      </c>
      <c r="I134">
        <v>0</v>
      </c>
      <c r="J134">
        <v>0</v>
      </c>
      <c r="K134">
        <v>2005577</v>
      </c>
      <c r="L134">
        <v>0</v>
      </c>
      <c r="M134">
        <v>12530590</v>
      </c>
      <c r="N134">
        <v>0</v>
      </c>
      <c r="O134">
        <v>85691201</v>
      </c>
      <c r="P134">
        <v>0</v>
      </c>
      <c r="Q134">
        <v>0</v>
      </c>
      <c r="R134">
        <v>0</v>
      </c>
      <c r="S134">
        <v>0</v>
      </c>
      <c r="T134">
        <v>0</v>
      </c>
      <c r="U134">
        <v>0</v>
      </c>
      <c r="V134">
        <v>0</v>
      </c>
      <c r="W134">
        <v>0</v>
      </c>
      <c r="X134">
        <v>41229108</v>
      </c>
      <c r="Y134">
        <v>500193000</v>
      </c>
      <c r="Z134">
        <v>5243471</v>
      </c>
      <c r="AA134">
        <v>0</v>
      </c>
      <c r="AB134">
        <v>0</v>
      </c>
      <c r="AD134">
        <v>0</v>
      </c>
      <c r="AE134">
        <v>0</v>
      </c>
      <c r="AF134">
        <v>0</v>
      </c>
      <c r="AG134">
        <v>0</v>
      </c>
      <c r="AH134">
        <v>0</v>
      </c>
      <c r="AI134">
        <v>0</v>
      </c>
      <c r="AJ134">
        <v>0</v>
      </c>
      <c r="AK134">
        <v>0</v>
      </c>
      <c r="AL134">
        <v>0</v>
      </c>
      <c r="AN134">
        <v>0</v>
      </c>
      <c r="AP134">
        <v>0</v>
      </c>
      <c r="AQ134">
        <v>969632</v>
      </c>
      <c r="AR134">
        <v>0</v>
      </c>
      <c r="AS134">
        <v>0</v>
      </c>
      <c r="AT134">
        <v>0</v>
      </c>
      <c r="AU134">
        <v>0</v>
      </c>
      <c r="AV134">
        <v>0</v>
      </c>
      <c r="AW134">
        <v>14665898</v>
      </c>
      <c r="AX134">
        <v>0</v>
      </c>
      <c r="AY134">
        <v>160412</v>
      </c>
      <c r="AZ134">
        <v>0</v>
      </c>
      <c r="BA134">
        <v>0</v>
      </c>
      <c r="BB134">
        <v>0</v>
      </c>
      <c r="BC134">
        <v>0</v>
      </c>
      <c r="BD134">
        <v>0</v>
      </c>
      <c r="BE134">
        <v>10471122</v>
      </c>
      <c r="BF134">
        <v>0</v>
      </c>
      <c r="BG134">
        <v>0</v>
      </c>
      <c r="BH134">
        <v>0</v>
      </c>
      <c r="BI134">
        <v>0</v>
      </c>
      <c r="BJ134">
        <v>0</v>
      </c>
      <c r="BK134">
        <v>0</v>
      </c>
      <c r="BL134">
        <v>0</v>
      </c>
      <c r="BM134">
        <v>0</v>
      </c>
      <c r="BN134">
        <v>4274006</v>
      </c>
      <c r="BO134">
        <v>0</v>
      </c>
      <c r="BP134">
        <v>46577543</v>
      </c>
      <c r="BQ134">
        <v>0</v>
      </c>
      <c r="BR134">
        <v>0</v>
      </c>
      <c r="BS134">
        <v>0</v>
      </c>
      <c r="BU134">
        <v>0</v>
      </c>
      <c r="BV134">
        <v>0</v>
      </c>
      <c r="BW134">
        <v>0</v>
      </c>
      <c r="BX134">
        <v>0</v>
      </c>
      <c r="BY134">
        <v>1038783</v>
      </c>
      <c r="BZ134">
        <v>0</v>
      </c>
      <c r="CA134">
        <v>0</v>
      </c>
      <c r="CB134">
        <v>0</v>
      </c>
      <c r="CC134">
        <v>0</v>
      </c>
      <c r="CD134">
        <v>0</v>
      </c>
      <c r="CF134">
        <v>0</v>
      </c>
      <c r="CG134">
        <v>0</v>
      </c>
      <c r="CH134">
        <v>0</v>
      </c>
      <c r="CI134">
        <v>0</v>
      </c>
      <c r="CK134">
        <v>0</v>
      </c>
    </row>
    <row r="135" spans="1:89" x14ac:dyDescent="0.3">
      <c r="A135" s="155">
        <v>536</v>
      </c>
      <c r="B135" t="s">
        <v>190</v>
      </c>
      <c r="D135">
        <v>73084</v>
      </c>
      <c r="E135">
        <v>235659</v>
      </c>
      <c r="F135">
        <v>39114</v>
      </c>
      <c r="G135">
        <v>42965</v>
      </c>
      <c r="I135">
        <v>134001</v>
      </c>
      <c r="J135">
        <v>796081</v>
      </c>
      <c r="K135">
        <v>664670</v>
      </c>
      <c r="L135">
        <v>124607</v>
      </c>
      <c r="M135">
        <v>354455</v>
      </c>
      <c r="N135">
        <v>1368649</v>
      </c>
      <c r="O135">
        <v>41970122</v>
      </c>
      <c r="P135">
        <v>0</v>
      </c>
      <c r="Q135">
        <v>22764</v>
      </c>
      <c r="R135">
        <v>268679</v>
      </c>
      <c r="S135">
        <v>10225</v>
      </c>
      <c r="T135">
        <v>293947</v>
      </c>
      <c r="U135">
        <v>152503</v>
      </c>
      <c r="V135">
        <v>140089</v>
      </c>
      <c r="W135">
        <v>79329</v>
      </c>
      <c r="X135">
        <v>843032</v>
      </c>
      <c r="Y135">
        <v>0</v>
      </c>
      <c r="Z135">
        <v>3349128</v>
      </c>
      <c r="AA135">
        <v>0</v>
      </c>
      <c r="AB135">
        <v>576524</v>
      </c>
      <c r="AD135">
        <v>32378</v>
      </c>
      <c r="AE135">
        <v>58836</v>
      </c>
      <c r="AF135">
        <v>832884</v>
      </c>
      <c r="AG135">
        <v>275233</v>
      </c>
      <c r="AH135">
        <v>181221</v>
      </c>
      <c r="AI135">
        <v>133634</v>
      </c>
      <c r="AJ135">
        <v>42921</v>
      </c>
      <c r="AK135">
        <v>149190</v>
      </c>
      <c r="AL135">
        <v>192298</v>
      </c>
      <c r="AN135">
        <v>0</v>
      </c>
      <c r="AP135">
        <v>0</v>
      </c>
      <c r="AQ135">
        <v>5385445</v>
      </c>
      <c r="AR135">
        <v>82005</v>
      </c>
      <c r="AS135">
        <v>293329</v>
      </c>
      <c r="AT135">
        <v>439882</v>
      </c>
      <c r="AU135">
        <v>98688</v>
      </c>
      <c r="AV135">
        <v>64587</v>
      </c>
      <c r="AW135">
        <v>2083919</v>
      </c>
      <c r="AX135">
        <v>67032</v>
      </c>
      <c r="AY135">
        <v>178721</v>
      </c>
      <c r="AZ135">
        <v>477463</v>
      </c>
      <c r="BA135">
        <v>84084</v>
      </c>
      <c r="BB135">
        <v>20380</v>
      </c>
      <c r="BC135">
        <v>132484</v>
      </c>
      <c r="BD135">
        <v>15540</v>
      </c>
      <c r="BE135">
        <v>270303</v>
      </c>
      <c r="BF135">
        <v>156188</v>
      </c>
      <c r="BG135">
        <v>11005</v>
      </c>
      <c r="BH135">
        <v>119503</v>
      </c>
      <c r="BI135">
        <v>83734</v>
      </c>
      <c r="BJ135">
        <v>0</v>
      </c>
      <c r="BK135">
        <v>121848</v>
      </c>
      <c r="BL135">
        <v>75428</v>
      </c>
      <c r="BM135">
        <v>94335</v>
      </c>
      <c r="BN135">
        <v>2238599</v>
      </c>
      <c r="BO135">
        <v>1180041</v>
      </c>
      <c r="BP135">
        <v>0</v>
      </c>
      <c r="BQ135">
        <v>48222</v>
      </c>
      <c r="BR135">
        <v>115862</v>
      </c>
      <c r="BS135">
        <v>2124</v>
      </c>
      <c r="BU135">
        <v>174611</v>
      </c>
      <c r="BV135">
        <v>703161</v>
      </c>
      <c r="BW135">
        <v>120618</v>
      </c>
      <c r="BX135">
        <v>76141</v>
      </c>
      <c r="BY135">
        <v>3150863</v>
      </c>
      <c r="BZ135">
        <v>765187</v>
      </c>
      <c r="CA135">
        <v>12150</v>
      </c>
      <c r="CB135">
        <v>177342</v>
      </c>
      <c r="CC135">
        <v>97325</v>
      </c>
      <c r="CD135">
        <v>709224</v>
      </c>
      <c r="CF135">
        <v>593094</v>
      </c>
      <c r="CG135">
        <v>11617</v>
      </c>
      <c r="CH135">
        <v>168197</v>
      </c>
      <c r="CI135">
        <v>210340</v>
      </c>
      <c r="CK135">
        <v>6736</v>
      </c>
    </row>
    <row r="136" spans="1:89" x14ac:dyDescent="0.3">
      <c r="A136" s="155">
        <v>537</v>
      </c>
      <c r="B136" t="s">
        <v>280</v>
      </c>
      <c r="D136">
        <v>1</v>
      </c>
      <c r="E136">
        <v>0</v>
      </c>
      <c r="F136">
        <v>2</v>
      </c>
      <c r="G136">
        <v>2</v>
      </c>
      <c r="I136">
        <v>1</v>
      </c>
      <c r="J136">
        <v>2</v>
      </c>
      <c r="K136">
        <v>1</v>
      </c>
      <c r="L136">
        <v>2</v>
      </c>
      <c r="M136">
        <v>2</v>
      </c>
      <c r="N136">
        <v>2</v>
      </c>
      <c r="O136">
        <v>1</v>
      </c>
      <c r="P136">
        <v>0</v>
      </c>
      <c r="Q136">
        <v>0</v>
      </c>
      <c r="R136">
        <v>2</v>
      </c>
      <c r="S136">
        <v>0</v>
      </c>
      <c r="T136">
        <v>2</v>
      </c>
      <c r="U136">
        <v>2</v>
      </c>
      <c r="V136">
        <v>0</v>
      </c>
      <c r="W136">
        <v>2</v>
      </c>
      <c r="X136">
        <v>2</v>
      </c>
      <c r="Y136">
        <v>1</v>
      </c>
      <c r="Z136">
        <v>2</v>
      </c>
      <c r="AA136">
        <v>2</v>
      </c>
      <c r="AB136">
        <v>0</v>
      </c>
      <c r="AD136">
        <v>2</v>
      </c>
      <c r="AE136">
        <v>2</v>
      </c>
      <c r="AF136">
        <v>2</v>
      </c>
      <c r="AG136">
        <v>0</v>
      </c>
      <c r="AH136">
        <v>2</v>
      </c>
      <c r="AI136">
        <v>2</v>
      </c>
      <c r="AJ136">
        <v>1</v>
      </c>
      <c r="AK136">
        <v>2</v>
      </c>
      <c r="AL136">
        <v>2</v>
      </c>
      <c r="AN136">
        <v>2</v>
      </c>
      <c r="AP136">
        <v>0</v>
      </c>
      <c r="AQ136">
        <v>1</v>
      </c>
      <c r="AR136">
        <v>0</v>
      </c>
      <c r="AS136">
        <v>2</v>
      </c>
      <c r="AT136">
        <v>1</v>
      </c>
      <c r="AU136">
        <v>0</v>
      </c>
      <c r="AV136">
        <v>0</v>
      </c>
      <c r="AW136">
        <v>2</v>
      </c>
      <c r="AX136">
        <v>2</v>
      </c>
      <c r="AY136">
        <v>0</v>
      </c>
      <c r="AZ136">
        <v>0</v>
      </c>
      <c r="BA136">
        <v>2</v>
      </c>
      <c r="BB136">
        <v>2</v>
      </c>
      <c r="BC136">
        <v>2</v>
      </c>
      <c r="BD136">
        <v>0</v>
      </c>
      <c r="BE136">
        <v>0</v>
      </c>
      <c r="BF136">
        <v>1</v>
      </c>
      <c r="BG136">
        <v>0</v>
      </c>
      <c r="BH136">
        <v>0</v>
      </c>
      <c r="BI136">
        <v>2</v>
      </c>
      <c r="BJ136">
        <v>0</v>
      </c>
      <c r="BK136">
        <v>2</v>
      </c>
      <c r="BL136">
        <v>2</v>
      </c>
      <c r="BM136">
        <v>1</v>
      </c>
      <c r="BN136">
        <v>0</v>
      </c>
      <c r="BO136">
        <v>1</v>
      </c>
      <c r="BP136">
        <v>1</v>
      </c>
      <c r="BQ136">
        <v>0</v>
      </c>
      <c r="BR136">
        <v>2</v>
      </c>
      <c r="BS136">
        <v>2</v>
      </c>
      <c r="BU136">
        <v>2</v>
      </c>
      <c r="BV136">
        <v>2</v>
      </c>
      <c r="BW136">
        <v>2</v>
      </c>
      <c r="BX136">
        <v>2</v>
      </c>
      <c r="BY136">
        <v>1</v>
      </c>
      <c r="BZ136">
        <v>1</v>
      </c>
      <c r="CA136">
        <v>1</v>
      </c>
      <c r="CB136">
        <v>2</v>
      </c>
      <c r="CC136">
        <v>2</v>
      </c>
      <c r="CD136">
        <v>2</v>
      </c>
      <c r="CF136">
        <v>1</v>
      </c>
      <c r="CG136">
        <v>0</v>
      </c>
      <c r="CH136">
        <v>0</v>
      </c>
      <c r="CI136">
        <v>2</v>
      </c>
      <c r="CK136">
        <v>2</v>
      </c>
    </row>
    <row r="137" spans="1:89" x14ac:dyDescent="0.3">
      <c r="A137" s="155">
        <v>538</v>
      </c>
      <c r="B137" t="s">
        <v>279</v>
      </c>
      <c r="D137">
        <v>1</v>
      </c>
      <c r="E137">
        <v>0</v>
      </c>
      <c r="F137">
        <v>2</v>
      </c>
      <c r="G137">
        <v>2</v>
      </c>
      <c r="I137">
        <v>1</v>
      </c>
      <c r="J137">
        <v>2</v>
      </c>
      <c r="K137">
        <v>1</v>
      </c>
      <c r="L137">
        <v>2</v>
      </c>
      <c r="M137">
        <v>2</v>
      </c>
      <c r="N137">
        <v>2</v>
      </c>
      <c r="O137">
        <v>1</v>
      </c>
      <c r="P137">
        <v>0</v>
      </c>
      <c r="Q137">
        <v>0</v>
      </c>
      <c r="R137">
        <v>2</v>
      </c>
      <c r="S137">
        <v>0</v>
      </c>
      <c r="T137">
        <v>2</v>
      </c>
      <c r="U137">
        <v>2</v>
      </c>
      <c r="V137">
        <v>0</v>
      </c>
      <c r="W137">
        <v>1</v>
      </c>
      <c r="X137">
        <v>2</v>
      </c>
      <c r="Y137">
        <v>1</v>
      </c>
      <c r="Z137">
        <v>2</v>
      </c>
      <c r="AA137">
        <v>2</v>
      </c>
      <c r="AB137">
        <v>0</v>
      </c>
      <c r="AD137">
        <v>1</v>
      </c>
      <c r="AE137">
        <v>2</v>
      </c>
      <c r="AF137">
        <v>2</v>
      </c>
      <c r="AG137">
        <v>0</v>
      </c>
      <c r="AH137">
        <v>2</v>
      </c>
      <c r="AI137">
        <v>2</v>
      </c>
      <c r="AJ137">
        <v>1</v>
      </c>
      <c r="AK137">
        <v>2</v>
      </c>
      <c r="AL137">
        <v>2</v>
      </c>
      <c r="AN137">
        <v>2</v>
      </c>
      <c r="AP137">
        <v>0</v>
      </c>
      <c r="AQ137">
        <v>1</v>
      </c>
      <c r="AR137">
        <v>0</v>
      </c>
      <c r="AS137">
        <v>2</v>
      </c>
      <c r="AT137">
        <v>1</v>
      </c>
      <c r="AU137">
        <v>0</v>
      </c>
      <c r="AV137">
        <v>0</v>
      </c>
      <c r="AW137">
        <v>2</v>
      </c>
      <c r="AX137">
        <v>1</v>
      </c>
      <c r="AY137">
        <v>0</v>
      </c>
      <c r="AZ137">
        <v>0</v>
      </c>
      <c r="BA137">
        <v>2</v>
      </c>
      <c r="BB137">
        <v>2</v>
      </c>
      <c r="BC137">
        <v>2</v>
      </c>
      <c r="BD137">
        <v>0</v>
      </c>
      <c r="BE137">
        <v>0</v>
      </c>
      <c r="BF137">
        <v>2</v>
      </c>
      <c r="BG137">
        <v>0</v>
      </c>
      <c r="BH137">
        <v>0</v>
      </c>
      <c r="BI137">
        <v>2</v>
      </c>
      <c r="BJ137">
        <v>0</v>
      </c>
      <c r="BK137">
        <v>2</v>
      </c>
      <c r="BL137">
        <v>2</v>
      </c>
      <c r="BM137">
        <v>1</v>
      </c>
      <c r="BN137">
        <v>0</v>
      </c>
      <c r="BO137">
        <v>1</v>
      </c>
      <c r="BP137">
        <v>1</v>
      </c>
      <c r="BQ137">
        <v>0</v>
      </c>
      <c r="BR137">
        <v>2</v>
      </c>
      <c r="BS137">
        <v>2</v>
      </c>
      <c r="BU137">
        <v>2</v>
      </c>
      <c r="BV137">
        <v>2</v>
      </c>
      <c r="BW137">
        <v>2</v>
      </c>
      <c r="BX137">
        <v>2</v>
      </c>
      <c r="BY137">
        <v>2</v>
      </c>
      <c r="BZ137">
        <v>1</v>
      </c>
      <c r="CA137">
        <v>2</v>
      </c>
      <c r="CB137">
        <v>2</v>
      </c>
      <c r="CC137">
        <v>2</v>
      </c>
      <c r="CD137">
        <v>2</v>
      </c>
      <c r="CF137">
        <v>1</v>
      </c>
      <c r="CG137">
        <v>0</v>
      </c>
      <c r="CH137">
        <v>2</v>
      </c>
      <c r="CI137">
        <v>2</v>
      </c>
      <c r="CK137">
        <v>2</v>
      </c>
    </row>
    <row r="138" spans="1:89" x14ac:dyDescent="0.3">
      <c r="A138" s="155">
        <v>540</v>
      </c>
      <c r="B138" t="s">
        <v>253</v>
      </c>
      <c r="D138">
        <v>0</v>
      </c>
      <c r="E138">
        <v>0</v>
      </c>
      <c r="F138">
        <v>0</v>
      </c>
      <c r="G138">
        <v>0</v>
      </c>
      <c r="I138">
        <v>453793</v>
      </c>
      <c r="J138">
        <v>0</v>
      </c>
      <c r="K138">
        <v>0</v>
      </c>
      <c r="L138">
        <v>291400</v>
      </c>
      <c r="M138">
        <v>1984722</v>
      </c>
      <c r="N138">
        <v>0</v>
      </c>
      <c r="O138">
        <v>35918980</v>
      </c>
      <c r="P138">
        <v>0</v>
      </c>
      <c r="Q138">
        <v>0</v>
      </c>
      <c r="R138">
        <v>0</v>
      </c>
      <c r="S138">
        <v>78837</v>
      </c>
      <c r="T138">
        <v>0</v>
      </c>
      <c r="U138">
        <v>29821</v>
      </c>
      <c r="V138">
        <v>0</v>
      </c>
      <c r="W138">
        <v>300364</v>
      </c>
      <c r="X138">
        <v>2663390</v>
      </c>
      <c r="Y138">
        <v>0</v>
      </c>
      <c r="Z138">
        <v>0</v>
      </c>
      <c r="AA138">
        <v>0</v>
      </c>
      <c r="AB138">
        <v>0</v>
      </c>
      <c r="AD138">
        <v>192688</v>
      </c>
      <c r="AE138">
        <v>21300</v>
      </c>
      <c r="AF138">
        <v>7962462</v>
      </c>
      <c r="AG138">
        <v>1220154</v>
      </c>
      <c r="AH138">
        <v>0</v>
      </c>
      <c r="AI138">
        <v>275000</v>
      </c>
      <c r="AJ138">
        <v>211993</v>
      </c>
      <c r="AK138">
        <v>0</v>
      </c>
      <c r="AL138">
        <v>415440</v>
      </c>
      <c r="AN138">
        <v>0</v>
      </c>
      <c r="AP138">
        <v>0</v>
      </c>
      <c r="AQ138">
        <v>0</v>
      </c>
      <c r="AR138">
        <v>0</v>
      </c>
      <c r="AS138">
        <v>0</v>
      </c>
      <c r="AT138">
        <v>498304</v>
      </c>
      <c r="AU138">
        <v>126586</v>
      </c>
      <c r="AV138">
        <v>0</v>
      </c>
      <c r="AW138">
        <v>786592</v>
      </c>
      <c r="AX138">
        <v>0</v>
      </c>
      <c r="AY138">
        <v>143157</v>
      </c>
      <c r="AZ138">
        <v>0</v>
      </c>
      <c r="BA138">
        <v>0</v>
      </c>
      <c r="BB138">
        <v>0</v>
      </c>
      <c r="BC138">
        <v>690559</v>
      </c>
      <c r="BD138">
        <v>0</v>
      </c>
      <c r="BE138">
        <v>200000</v>
      </c>
      <c r="BF138">
        <v>0</v>
      </c>
      <c r="BG138">
        <v>0</v>
      </c>
      <c r="BH138">
        <v>1043</v>
      </c>
      <c r="BI138">
        <v>0</v>
      </c>
      <c r="BJ138">
        <v>0</v>
      </c>
      <c r="BK138">
        <v>0</v>
      </c>
      <c r="BL138">
        <v>0</v>
      </c>
      <c r="BM138">
        <v>125552</v>
      </c>
      <c r="BN138">
        <v>120000</v>
      </c>
      <c r="BO138">
        <v>0</v>
      </c>
      <c r="BP138">
        <v>8192841</v>
      </c>
      <c r="BQ138">
        <v>0</v>
      </c>
      <c r="BR138">
        <v>0</v>
      </c>
      <c r="BS138">
        <v>0</v>
      </c>
      <c r="BU138">
        <v>0</v>
      </c>
      <c r="BV138">
        <v>0</v>
      </c>
      <c r="BW138">
        <v>1000000</v>
      </c>
      <c r="BX138">
        <v>0</v>
      </c>
      <c r="BY138">
        <v>0</v>
      </c>
      <c r="BZ138">
        <v>223471</v>
      </c>
      <c r="CA138">
        <v>0</v>
      </c>
      <c r="CB138">
        <v>557254</v>
      </c>
      <c r="CC138">
        <v>391900</v>
      </c>
      <c r="CD138">
        <v>0</v>
      </c>
      <c r="CF138">
        <v>0</v>
      </c>
      <c r="CG138">
        <v>0</v>
      </c>
      <c r="CH138">
        <v>125632</v>
      </c>
      <c r="CI138">
        <v>0</v>
      </c>
      <c r="CK138">
        <v>0</v>
      </c>
    </row>
    <row r="139" spans="1:89" x14ac:dyDescent="0.3">
      <c r="A139" s="155">
        <v>541</v>
      </c>
      <c r="B139" t="s">
        <v>308</v>
      </c>
      <c r="D139">
        <v>19393</v>
      </c>
      <c r="E139">
        <v>0</v>
      </c>
      <c r="F139">
        <v>147680</v>
      </c>
      <c r="G139">
        <v>8685</v>
      </c>
      <c r="I139">
        <v>629175</v>
      </c>
      <c r="J139">
        <v>0</v>
      </c>
      <c r="K139">
        <v>1451810</v>
      </c>
      <c r="L139">
        <v>0</v>
      </c>
      <c r="M139">
        <v>0</v>
      </c>
      <c r="N139">
        <v>232624</v>
      </c>
      <c r="O139">
        <v>15733070</v>
      </c>
      <c r="P139">
        <v>0</v>
      </c>
      <c r="Q139">
        <v>0</v>
      </c>
      <c r="R139">
        <v>0</v>
      </c>
      <c r="S139">
        <v>0</v>
      </c>
      <c r="T139">
        <v>0</v>
      </c>
      <c r="U139">
        <v>0</v>
      </c>
      <c r="V139">
        <v>-10299</v>
      </c>
      <c r="W139">
        <v>91683</v>
      </c>
      <c r="X139">
        <v>0</v>
      </c>
      <c r="Y139">
        <v>185040000</v>
      </c>
      <c r="Z139">
        <v>539313</v>
      </c>
      <c r="AA139">
        <v>38005</v>
      </c>
      <c r="AB139">
        <v>0</v>
      </c>
      <c r="AD139">
        <v>439521</v>
      </c>
      <c r="AE139">
        <v>100714</v>
      </c>
      <c r="AF139">
        <v>7635222</v>
      </c>
      <c r="AG139">
        <v>0</v>
      </c>
      <c r="AH139">
        <v>132578</v>
      </c>
      <c r="AI139">
        <v>-676286</v>
      </c>
      <c r="AJ139">
        <v>-20470</v>
      </c>
      <c r="AK139">
        <v>38767</v>
      </c>
      <c r="AL139">
        <v>33993</v>
      </c>
      <c r="AN139">
        <v>26642</v>
      </c>
      <c r="AP139">
        <v>0</v>
      </c>
      <c r="AQ139">
        <v>8064319</v>
      </c>
      <c r="AR139">
        <v>0</v>
      </c>
      <c r="AS139">
        <v>18942</v>
      </c>
      <c r="AT139">
        <v>2021919</v>
      </c>
      <c r="AU139">
        <v>0</v>
      </c>
      <c r="AV139">
        <v>0</v>
      </c>
      <c r="AW139">
        <v>0</v>
      </c>
      <c r="AX139">
        <v>-14098</v>
      </c>
      <c r="AY139">
        <v>0</v>
      </c>
      <c r="AZ139">
        <v>0</v>
      </c>
      <c r="BA139">
        <v>54369</v>
      </c>
      <c r="BB139">
        <v>-33236</v>
      </c>
      <c r="BC139">
        <v>449919</v>
      </c>
      <c r="BD139">
        <v>0</v>
      </c>
      <c r="BE139">
        <v>0</v>
      </c>
      <c r="BF139">
        <v>207721</v>
      </c>
      <c r="BG139">
        <v>0</v>
      </c>
      <c r="BH139">
        <v>0</v>
      </c>
      <c r="BI139">
        <v>-109582</v>
      </c>
      <c r="BJ139">
        <v>0</v>
      </c>
      <c r="BK139">
        <v>48321</v>
      </c>
      <c r="BL139">
        <v>13876</v>
      </c>
      <c r="BM139">
        <v>-23067</v>
      </c>
      <c r="BN139">
        <v>0</v>
      </c>
      <c r="BO139">
        <v>145507</v>
      </c>
      <c r="BP139">
        <v>41865263</v>
      </c>
      <c r="BQ139">
        <v>0</v>
      </c>
      <c r="BR139">
        <v>3320</v>
      </c>
      <c r="BS139">
        <v>59822</v>
      </c>
      <c r="BU139">
        <v>29364</v>
      </c>
      <c r="BV139">
        <v>0</v>
      </c>
      <c r="BW139">
        <v>-1194849</v>
      </c>
      <c r="BX139">
        <v>301399</v>
      </c>
      <c r="BY139">
        <v>1809091</v>
      </c>
      <c r="BZ139">
        <v>209195</v>
      </c>
      <c r="CA139">
        <v>-2414</v>
      </c>
      <c r="CB139">
        <v>672695</v>
      </c>
      <c r="CC139">
        <v>0</v>
      </c>
      <c r="CD139">
        <v>-86884</v>
      </c>
      <c r="CF139">
        <v>1631209</v>
      </c>
      <c r="CG139">
        <v>0</v>
      </c>
      <c r="CH139">
        <v>77368</v>
      </c>
      <c r="CI139">
        <v>0</v>
      </c>
      <c r="CK139">
        <v>18144</v>
      </c>
    </row>
    <row r="140" spans="1:89" x14ac:dyDescent="0.3">
      <c r="A140" s="155">
        <v>542</v>
      </c>
      <c r="B140" t="s">
        <v>889</v>
      </c>
      <c r="D140">
        <v>0</v>
      </c>
      <c r="E140">
        <v>0</v>
      </c>
      <c r="F140">
        <v>0</v>
      </c>
      <c r="G140">
        <v>1950</v>
      </c>
      <c r="I140">
        <v>343905</v>
      </c>
      <c r="J140">
        <v>0</v>
      </c>
      <c r="K140">
        <v>238506</v>
      </c>
      <c r="L140">
        <v>0</v>
      </c>
      <c r="M140">
        <v>0</v>
      </c>
      <c r="N140">
        <v>0</v>
      </c>
      <c r="O140">
        <v>13598338</v>
      </c>
      <c r="P140">
        <v>0</v>
      </c>
      <c r="Q140">
        <v>0</v>
      </c>
      <c r="R140">
        <v>0</v>
      </c>
      <c r="S140">
        <v>0</v>
      </c>
      <c r="T140">
        <v>0</v>
      </c>
      <c r="U140">
        <v>0</v>
      </c>
      <c r="V140">
        <v>0</v>
      </c>
      <c r="W140">
        <v>170875</v>
      </c>
      <c r="X140">
        <v>0</v>
      </c>
      <c r="Y140">
        <v>32131000</v>
      </c>
      <c r="Z140">
        <v>0</v>
      </c>
      <c r="AA140">
        <v>0</v>
      </c>
      <c r="AB140">
        <v>0</v>
      </c>
      <c r="AD140">
        <v>0</v>
      </c>
      <c r="AE140">
        <v>0</v>
      </c>
      <c r="AF140">
        <v>0</v>
      </c>
      <c r="AG140">
        <v>0</v>
      </c>
      <c r="AH140">
        <v>0</v>
      </c>
      <c r="AI140">
        <v>0</v>
      </c>
      <c r="AJ140">
        <v>73600</v>
      </c>
      <c r="AK140">
        <v>0</v>
      </c>
      <c r="AL140">
        <v>0</v>
      </c>
      <c r="AN140">
        <v>0</v>
      </c>
      <c r="AP140">
        <v>0</v>
      </c>
      <c r="AQ140">
        <v>2955923</v>
      </c>
      <c r="AR140">
        <v>0</v>
      </c>
      <c r="AS140">
        <v>0</v>
      </c>
      <c r="AT140">
        <v>782199</v>
      </c>
      <c r="AU140">
        <v>0</v>
      </c>
      <c r="AV140">
        <v>0</v>
      </c>
      <c r="AW140">
        <v>0</v>
      </c>
      <c r="AX140">
        <v>0</v>
      </c>
      <c r="AY140">
        <v>0</v>
      </c>
      <c r="AZ140">
        <v>0</v>
      </c>
      <c r="BA140">
        <v>0</v>
      </c>
      <c r="BB140">
        <v>0</v>
      </c>
      <c r="BC140">
        <v>16300</v>
      </c>
      <c r="BD140">
        <v>0</v>
      </c>
      <c r="BE140">
        <v>0</v>
      </c>
      <c r="BF140">
        <v>0</v>
      </c>
      <c r="BG140">
        <v>0</v>
      </c>
      <c r="BH140">
        <v>0</v>
      </c>
      <c r="BI140">
        <v>0</v>
      </c>
      <c r="BJ140">
        <v>0</v>
      </c>
      <c r="BK140">
        <v>0</v>
      </c>
      <c r="BL140">
        <v>0</v>
      </c>
      <c r="BM140">
        <v>0</v>
      </c>
      <c r="BN140">
        <v>0</v>
      </c>
      <c r="BO140">
        <v>0</v>
      </c>
      <c r="BP140">
        <v>0</v>
      </c>
      <c r="BQ140">
        <v>0</v>
      </c>
      <c r="BR140">
        <v>0</v>
      </c>
      <c r="BS140">
        <v>0</v>
      </c>
      <c r="BU140">
        <v>0</v>
      </c>
      <c r="BV140">
        <v>0</v>
      </c>
      <c r="BW140">
        <v>400000</v>
      </c>
      <c r="BX140">
        <v>0</v>
      </c>
      <c r="BY140">
        <v>0</v>
      </c>
      <c r="BZ140">
        <v>0</v>
      </c>
      <c r="CA140">
        <v>28500</v>
      </c>
      <c r="CB140">
        <v>0</v>
      </c>
      <c r="CC140">
        <v>268300</v>
      </c>
      <c r="CD140">
        <v>0</v>
      </c>
      <c r="CF140">
        <v>0</v>
      </c>
      <c r="CG140">
        <v>0</v>
      </c>
      <c r="CH140">
        <v>0</v>
      </c>
      <c r="CI140">
        <v>0</v>
      </c>
      <c r="CK140">
        <v>0</v>
      </c>
    </row>
    <row r="141" spans="1:89" x14ac:dyDescent="0.3">
      <c r="A141" s="155">
        <v>544</v>
      </c>
      <c r="B141" t="s">
        <v>52</v>
      </c>
      <c r="D141">
        <v>0</v>
      </c>
      <c r="E141">
        <v>0</v>
      </c>
      <c r="F141">
        <v>0</v>
      </c>
      <c r="G141">
        <v>0</v>
      </c>
      <c r="I141">
        <v>0</v>
      </c>
      <c r="J141">
        <v>0</v>
      </c>
      <c r="K141">
        <v>0</v>
      </c>
      <c r="L141">
        <v>0</v>
      </c>
      <c r="M141">
        <v>5.0000000000000001E-4</v>
      </c>
      <c r="N141">
        <v>0</v>
      </c>
      <c r="O141">
        <v>0</v>
      </c>
      <c r="P141">
        <v>0</v>
      </c>
      <c r="Q141">
        <v>0</v>
      </c>
      <c r="R141">
        <v>0</v>
      </c>
      <c r="S141">
        <v>0</v>
      </c>
      <c r="T141">
        <v>0</v>
      </c>
      <c r="U141">
        <v>0</v>
      </c>
      <c r="V141">
        <v>0</v>
      </c>
      <c r="W141">
        <v>0</v>
      </c>
      <c r="X141">
        <v>0</v>
      </c>
      <c r="Y141">
        <v>0</v>
      </c>
      <c r="Z141">
        <v>0</v>
      </c>
      <c r="AA141">
        <v>0</v>
      </c>
      <c r="AB141">
        <v>0</v>
      </c>
      <c r="AD141">
        <v>0</v>
      </c>
      <c r="AE141">
        <v>0</v>
      </c>
      <c r="AF141">
        <v>0</v>
      </c>
      <c r="AG141">
        <v>3.5000000000000003E-2</v>
      </c>
      <c r="AH141">
        <v>0</v>
      </c>
      <c r="AI141">
        <v>0</v>
      </c>
      <c r="AJ141">
        <v>0</v>
      </c>
      <c r="AK141">
        <v>0</v>
      </c>
      <c r="AL141">
        <v>0</v>
      </c>
      <c r="AN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0.02</v>
      </c>
      <c r="BQ141">
        <v>0</v>
      </c>
      <c r="BR141">
        <v>0</v>
      </c>
      <c r="BS141">
        <v>0</v>
      </c>
      <c r="BU141">
        <v>0</v>
      </c>
      <c r="BV141">
        <v>0</v>
      </c>
      <c r="BW141">
        <v>0</v>
      </c>
      <c r="BX141">
        <v>0</v>
      </c>
      <c r="BY141">
        <v>0</v>
      </c>
      <c r="BZ141">
        <v>0</v>
      </c>
      <c r="CA141">
        <v>0</v>
      </c>
      <c r="CB141">
        <v>0</v>
      </c>
      <c r="CC141">
        <v>0</v>
      </c>
      <c r="CD141">
        <v>0</v>
      </c>
      <c r="CF141">
        <v>0</v>
      </c>
      <c r="CG141">
        <v>0</v>
      </c>
      <c r="CH141">
        <v>0</v>
      </c>
      <c r="CI141">
        <v>0</v>
      </c>
      <c r="CK141">
        <v>0.2</v>
      </c>
    </row>
    <row r="142" spans="1:89" x14ac:dyDescent="0.3">
      <c r="A142" s="155">
        <v>545</v>
      </c>
      <c r="B142" t="s">
        <v>53</v>
      </c>
      <c r="D142">
        <v>0</v>
      </c>
      <c r="E142">
        <v>0</v>
      </c>
      <c r="F142">
        <v>0</v>
      </c>
      <c r="G142">
        <v>0</v>
      </c>
      <c r="I142">
        <v>0</v>
      </c>
      <c r="J142">
        <v>0</v>
      </c>
      <c r="K142">
        <v>0</v>
      </c>
      <c r="L142">
        <v>0</v>
      </c>
      <c r="M142">
        <v>0</v>
      </c>
      <c r="N142">
        <v>0</v>
      </c>
      <c r="O142">
        <v>0</v>
      </c>
      <c r="P142">
        <v>0</v>
      </c>
      <c r="Q142">
        <v>0</v>
      </c>
      <c r="R142">
        <v>0</v>
      </c>
      <c r="S142">
        <v>0</v>
      </c>
      <c r="T142">
        <v>0</v>
      </c>
      <c r="U142">
        <v>0</v>
      </c>
      <c r="V142">
        <v>0</v>
      </c>
      <c r="W142">
        <v>0</v>
      </c>
      <c r="X142">
        <v>0.8</v>
      </c>
      <c r="Y142">
        <v>0</v>
      </c>
      <c r="Z142">
        <v>0</v>
      </c>
      <c r="AA142">
        <v>0</v>
      </c>
      <c r="AB142">
        <v>0.02</v>
      </c>
      <c r="AD142">
        <v>0</v>
      </c>
      <c r="AE142">
        <v>0</v>
      </c>
      <c r="AF142">
        <v>0</v>
      </c>
      <c r="AG142">
        <v>0</v>
      </c>
      <c r="AH142">
        <v>0</v>
      </c>
      <c r="AI142">
        <v>0</v>
      </c>
      <c r="AJ142">
        <v>0</v>
      </c>
      <c r="AK142">
        <v>0</v>
      </c>
      <c r="AL142">
        <v>0</v>
      </c>
      <c r="AN142">
        <v>0</v>
      </c>
      <c r="AP142">
        <v>0</v>
      </c>
      <c r="AQ142">
        <v>0</v>
      </c>
      <c r="AR142">
        <v>0</v>
      </c>
      <c r="AS142">
        <v>0</v>
      </c>
      <c r="AT142">
        <v>0</v>
      </c>
      <c r="AU142">
        <v>0</v>
      </c>
      <c r="AV142">
        <v>0</v>
      </c>
      <c r="AW142">
        <v>0</v>
      </c>
      <c r="AX142">
        <v>0</v>
      </c>
      <c r="AY142">
        <v>0</v>
      </c>
      <c r="AZ142">
        <v>0</v>
      </c>
      <c r="BA142">
        <v>0</v>
      </c>
      <c r="BB142">
        <v>0</v>
      </c>
      <c r="BC142">
        <v>0</v>
      </c>
      <c r="BD142">
        <v>0</v>
      </c>
      <c r="BE142">
        <v>0.32500000000000001</v>
      </c>
      <c r="BF142">
        <v>0</v>
      </c>
      <c r="BG142">
        <v>0</v>
      </c>
      <c r="BH142">
        <v>0</v>
      </c>
      <c r="BI142">
        <v>0</v>
      </c>
      <c r="BJ142">
        <v>0</v>
      </c>
      <c r="BK142">
        <v>0</v>
      </c>
      <c r="BL142">
        <v>0</v>
      </c>
      <c r="BM142">
        <v>0</v>
      </c>
      <c r="BN142">
        <v>2.36</v>
      </c>
      <c r="BO142">
        <v>0</v>
      </c>
      <c r="BP142">
        <v>6.0000000000000001E-3</v>
      </c>
      <c r="BQ142">
        <v>0</v>
      </c>
      <c r="BR142">
        <v>0</v>
      </c>
      <c r="BS142">
        <v>0</v>
      </c>
      <c r="BU142">
        <v>0</v>
      </c>
      <c r="BV142">
        <v>0</v>
      </c>
      <c r="BW142">
        <v>0</v>
      </c>
      <c r="BX142">
        <v>0</v>
      </c>
      <c r="BY142">
        <v>8.5000000000000006E-2</v>
      </c>
      <c r="BZ142">
        <v>0</v>
      </c>
      <c r="CA142">
        <v>0</v>
      </c>
      <c r="CB142">
        <v>0</v>
      </c>
      <c r="CC142">
        <v>0</v>
      </c>
      <c r="CD142">
        <v>0</v>
      </c>
      <c r="CF142">
        <v>0</v>
      </c>
      <c r="CG142">
        <v>0</v>
      </c>
      <c r="CH142">
        <v>0</v>
      </c>
      <c r="CI142">
        <v>0</v>
      </c>
      <c r="CK142">
        <v>0</v>
      </c>
    </row>
    <row r="143" spans="1:89" x14ac:dyDescent="0.3">
      <c r="A143" s="155">
        <v>547</v>
      </c>
      <c r="B143" t="s">
        <v>890</v>
      </c>
      <c r="D143">
        <v>2</v>
      </c>
      <c r="E143">
        <v>2</v>
      </c>
      <c r="F143">
        <v>2</v>
      </c>
      <c r="G143">
        <v>2</v>
      </c>
      <c r="I143">
        <v>3</v>
      </c>
      <c r="J143">
        <v>2</v>
      </c>
      <c r="K143">
        <v>3</v>
      </c>
      <c r="L143">
        <v>3</v>
      </c>
      <c r="M143">
        <v>3</v>
      </c>
      <c r="N143">
        <v>2</v>
      </c>
      <c r="O143">
        <v>3</v>
      </c>
      <c r="P143">
        <v>2</v>
      </c>
      <c r="Q143">
        <v>2</v>
      </c>
      <c r="R143">
        <v>2</v>
      </c>
      <c r="S143">
        <v>3</v>
      </c>
      <c r="T143">
        <v>2</v>
      </c>
      <c r="U143">
        <v>2</v>
      </c>
      <c r="V143">
        <v>2</v>
      </c>
      <c r="W143">
        <v>1</v>
      </c>
      <c r="X143">
        <v>3</v>
      </c>
      <c r="Y143">
        <v>3</v>
      </c>
      <c r="Z143">
        <v>3</v>
      </c>
      <c r="AA143">
        <v>0</v>
      </c>
      <c r="AB143">
        <v>2</v>
      </c>
      <c r="AD143">
        <v>3</v>
      </c>
      <c r="AE143">
        <v>2</v>
      </c>
      <c r="AF143">
        <v>3</v>
      </c>
      <c r="AG143">
        <v>0</v>
      </c>
      <c r="AH143">
        <v>3</v>
      </c>
      <c r="AI143">
        <v>3</v>
      </c>
      <c r="AJ143">
        <v>3</v>
      </c>
      <c r="AK143">
        <v>2</v>
      </c>
      <c r="AL143">
        <v>2</v>
      </c>
      <c r="AN143">
        <v>3</v>
      </c>
      <c r="AP143">
        <v>2</v>
      </c>
      <c r="AQ143">
        <v>3</v>
      </c>
      <c r="AR143">
        <v>2</v>
      </c>
      <c r="AS143">
        <v>2</v>
      </c>
      <c r="AT143">
        <v>2</v>
      </c>
      <c r="AU143">
        <v>1</v>
      </c>
      <c r="AV143">
        <v>2</v>
      </c>
      <c r="AW143">
        <v>3</v>
      </c>
      <c r="AX143">
        <v>2</v>
      </c>
      <c r="AY143">
        <v>3</v>
      </c>
      <c r="AZ143">
        <v>3</v>
      </c>
      <c r="BA143">
        <v>2</v>
      </c>
      <c r="BB143">
        <v>2</v>
      </c>
      <c r="BC143">
        <v>3</v>
      </c>
      <c r="BD143">
        <v>2</v>
      </c>
      <c r="BE143">
        <v>0</v>
      </c>
      <c r="BF143">
        <v>2</v>
      </c>
      <c r="BG143">
        <v>2</v>
      </c>
      <c r="BH143">
        <v>2</v>
      </c>
      <c r="BI143">
        <v>3</v>
      </c>
      <c r="BJ143">
        <v>2</v>
      </c>
      <c r="BK143">
        <v>2</v>
      </c>
      <c r="BL143">
        <v>2</v>
      </c>
      <c r="BM143">
        <v>2</v>
      </c>
      <c r="BN143">
        <v>0</v>
      </c>
      <c r="BO143">
        <v>3</v>
      </c>
      <c r="BP143">
        <v>3</v>
      </c>
      <c r="BQ143">
        <v>2</v>
      </c>
      <c r="BR143">
        <v>2</v>
      </c>
      <c r="BS143">
        <v>2</v>
      </c>
      <c r="BU143">
        <v>2</v>
      </c>
      <c r="BV143">
        <v>3</v>
      </c>
      <c r="BW143">
        <v>3</v>
      </c>
      <c r="BX143">
        <v>3</v>
      </c>
      <c r="BY143">
        <v>3</v>
      </c>
      <c r="BZ143">
        <v>2</v>
      </c>
      <c r="CA143">
        <v>3</v>
      </c>
      <c r="CB143">
        <v>3</v>
      </c>
      <c r="CC143">
        <v>2</v>
      </c>
      <c r="CD143">
        <v>1</v>
      </c>
      <c r="CF143">
        <v>2</v>
      </c>
      <c r="CG143">
        <v>2</v>
      </c>
      <c r="CH143">
        <v>2</v>
      </c>
      <c r="CI143">
        <v>3</v>
      </c>
      <c r="CK143">
        <v>2</v>
      </c>
    </row>
    <row r="144" spans="1:89" x14ac:dyDescent="0.3">
      <c r="A144" s="155">
        <v>554</v>
      </c>
      <c r="B144" t="s">
        <v>318</v>
      </c>
      <c r="I144">
        <v>2252574</v>
      </c>
      <c r="J144">
        <v>86558</v>
      </c>
      <c r="M144">
        <v>1073946</v>
      </c>
      <c r="N144">
        <v>5320879</v>
      </c>
      <c r="O144">
        <v>6969731</v>
      </c>
      <c r="T144">
        <v>25000</v>
      </c>
      <c r="X144">
        <v>17499741</v>
      </c>
      <c r="Y144">
        <v>277143681</v>
      </c>
      <c r="Z144">
        <v>967565</v>
      </c>
      <c r="AG144">
        <v>1364283</v>
      </c>
      <c r="AQ144">
        <v>19001486</v>
      </c>
      <c r="AT144">
        <v>2642156</v>
      </c>
      <c r="AW144">
        <v>978178</v>
      </c>
      <c r="BO144">
        <v>492449</v>
      </c>
      <c r="BP144">
        <v>44984580</v>
      </c>
      <c r="BW144">
        <v>761731</v>
      </c>
      <c r="BX144">
        <v>894820</v>
      </c>
      <c r="BY144">
        <v>1372950</v>
      </c>
      <c r="BZ144">
        <v>2713896</v>
      </c>
      <c r="CB144">
        <v>953466</v>
      </c>
      <c r="CG144">
        <v>816961</v>
      </c>
      <c r="CH144">
        <v>1265742</v>
      </c>
    </row>
    <row r="145" spans="1:89" x14ac:dyDescent="0.3">
      <c r="A145" s="155">
        <v>555</v>
      </c>
      <c r="B145" t="s">
        <v>319</v>
      </c>
      <c r="I145">
        <v>1559885</v>
      </c>
      <c r="J145">
        <v>0</v>
      </c>
      <c r="M145">
        <v>703066</v>
      </c>
      <c r="N145">
        <v>5081279</v>
      </c>
      <c r="O145">
        <v>3847196</v>
      </c>
      <c r="T145">
        <v>0</v>
      </c>
      <c r="X145">
        <v>13829933</v>
      </c>
      <c r="Y145">
        <v>250035464</v>
      </c>
      <c r="Z145">
        <v>967565</v>
      </c>
      <c r="AG145">
        <v>1044283</v>
      </c>
      <c r="AQ145">
        <v>9482905</v>
      </c>
      <c r="AT145">
        <v>1360838</v>
      </c>
      <c r="AW145">
        <v>888704</v>
      </c>
      <c r="BO145">
        <v>0</v>
      </c>
      <c r="BP145">
        <v>37526367</v>
      </c>
      <c r="BW145">
        <v>0</v>
      </c>
      <c r="BX145">
        <v>378809</v>
      </c>
      <c r="BY145">
        <v>1009964</v>
      </c>
      <c r="BZ145">
        <v>1979164</v>
      </c>
      <c r="CB145">
        <v>639148</v>
      </c>
      <c r="CG145">
        <v>228167</v>
      </c>
      <c r="CH145">
        <v>810445</v>
      </c>
    </row>
    <row r="146" spans="1:89" x14ac:dyDescent="0.3">
      <c r="A146" s="155">
        <v>556</v>
      </c>
      <c r="B146" t="s">
        <v>320</v>
      </c>
      <c r="I146">
        <v>670192</v>
      </c>
      <c r="J146">
        <v>224271</v>
      </c>
      <c r="M146">
        <v>591454</v>
      </c>
      <c r="N146">
        <v>94031</v>
      </c>
      <c r="O146">
        <v>4371686</v>
      </c>
      <c r="T146">
        <v>1097485</v>
      </c>
      <c r="X146">
        <v>5376253</v>
      </c>
      <c r="Y146">
        <v>37023164</v>
      </c>
      <c r="Z146">
        <v>204283</v>
      </c>
      <c r="AG146">
        <v>1475509</v>
      </c>
      <c r="AQ146">
        <v>5639892</v>
      </c>
      <c r="AT146">
        <v>6901432</v>
      </c>
      <c r="AW146">
        <v>1537109</v>
      </c>
      <c r="BO146">
        <v>671459</v>
      </c>
      <c r="BP146">
        <v>12035130</v>
      </c>
      <c r="BW146">
        <v>4558010</v>
      </c>
      <c r="BX146">
        <v>906674</v>
      </c>
      <c r="BY146">
        <v>1377204</v>
      </c>
      <c r="BZ146">
        <v>1465738</v>
      </c>
      <c r="CB146">
        <v>193075</v>
      </c>
      <c r="CG146">
        <v>341498</v>
      </c>
      <c r="CH146">
        <v>1186357</v>
      </c>
    </row>
    <row r="147" spans="1:89" x14ac:dyDescent="0.3">
      <c r="A147" s="155">
        <v>557</v>
      </c>
      <c r="B147" t="s">
        <v>321</v>
      </c>
      <c r="I147">
        <v>542692</v>
      </c>
      <c r="J147">
        <v>79829</v>
      </c>
      <c r="M147">
        <v>563454</v>
      </c>
      <c r="N147">
        <v>0</v>
      </c>
      <c r="O147">
        <v>4106608</v>
      </c>
      <c r="T147">
        <v>1011756</v>
      </c>
      <c r="X147">
        <v>3631704</v>
      </c>
      <c r="Y147">
        <v>17399558</v>
      </c>
      <c r="Z147">
        <v>0</v>
      </c>
      <c r="AG147">
        <v>1475509</v>
      </c>
      <c r="AQ147">
        <v>5331036</v>
      </c>
      <c r="AT147">
        <v>6332060</v>
      </c>
      <c r="AW147">
        <v>1377283</v>
      </c>
      <c r="BO147">
        <v>335827</v>
      </c>
      <c r="BP147">
        <v>11878579</v>
      </c>
      <c r="BW147">
        <v>2167012</v>
      </c>
      <c r="BX147">
        <v>384623</v>
      </c>
      <c r="BY147">
        <v>894885</v>
      </c>
      <c r="BZ147">
        <v>704282</v>
      </c>
      <c r="CB147">
        <v>0</v>
      </c>
      <c r="CG147">
        <v>0</v>
      </c>
      <c r="CH147">
        <v>919759</v>
      </c>
    </row>
    <row r="148" spans="1:89" x14ac:dyDescent="0.3">
      <c r="A148" s="155">
        <v>575</v>
      </c>
      <c r="B148" t="s">
        <v>300</v>
      </c>
      <c r="D148">
        <v>2028</v>
      </c>
      <c r="E148">
        <v>0</v>
      </c>
      <c r="F148">
        <v>0</v>
      </c>
      <c r="G148">
        <v>0</v>
      </c>
      <c r="I148">
        <v>0</v>
      </c>
      <c r="J148">
        <v>0</v>
      </c>
      <c r="K148">
        <v>0</v>
      </c>
      <c r="L148">
        <v>0</v>
      </c>
      <c r="M148">
        <v>0</v>
      </c>
      <c r="N148">
        <v>0</v>
      </c>
      <c r="O148">
        <v>0</v>
      </c>
      <c r="P148">
        <v>0</v>
      </c>
      <c r="Q148">
        <v>0</v>
      </c>
      <c r="R148">
        <v>0</v>
      </c>
      <c r="S148">
        <v>0</v>
      </c>
      <c r="T148">
        <v>0</v>
      </c>
      <c r="U148">
        <v>0</v>
      </c>
      <c r="V148">
        <v>2958</v>
      </c>
      <c r="W148">
        <v>0</v>
      </c>
      <c r="X148">
        <v>2765085</v>
      </c>
      <c r="Y148">
        <v>7053000</v>
      </c>
      <c r="Z148">
        <v>560560</v>
      </c>
      <c r="AA148">
        <v>0</v>
      </c>
      <c r="AB148">
        <v>0</v>
      </c>
      <c r="AD148">
        <v>0</v>
      </c>
      <c r="AE148">
        <v>0</v>
      </c>
      <c r="AF148">
        <v>0</v>
      </c>
      <c r="AG148">
        <v>0</v>
      </c>
      <c r="AH148">
        <v>0</v>
      </c>
      <c r="AI148">
        <v>0</v>
      </c>
      <c r="AJ148">
        <v>480</v>
      </c>
      <c r="AK148">
        <v>0</v>
      </c>
      <c r="AL148">
        <v>54503</v>
      </c>
      <c r="AN148">
        <v>0</v>
      </c>
      <c r="AP148">
        <v>0</v>
      </c>
      <c r="AQ148">
        <v>6533667</v>
      </c>
      <c r="AR148">
        <v>0</v>
      </c>
      <c r="AS148">
        <v>0</v>
      </c>
      <c r="AT148">
        <v>0</v>
      </c>
      <c r="AU148">
        <v>0</v>
      </c>
      <c r="AV148">
        <v>0</v>
      </c>
      <c r="AW148">
        <v>260409</v>
      </c>
      <c r="AX148">
        <v>57986</v>
      </c>
      <c r="AY148">
        <v>0</v>
      </c>
      <c r="AZ148">
        <v>0</v>
      </c>
      <c r="BA148">
        <v>0</v>
      </c>
      <c r="BB148">
        <v>0</v>
      </c>
      <c r="BC148">
        <v>0</v>
      </c>
      <c r="BD148">
        <v>0</v>
      </c>
      <c r="BE148">
        <v>0</v>
      </c>
      <c r="BF148">
        <v>0</v>
      </c>
      <c r="BG148">
        <v>0</v>
      </c>
      <c r="BH148">
        <v>0</v>
      </c>
      <c r="BI148">
        <v>0</v>
      </c>
      <c r="BJ148">
        <v>0</v>
      </c>
      <c r="BK148">
        <v>133104</v>
      </c>
      <c r="BL148">
        <v>0</v>
      </c>
      <c r="BM148">
        <v>51924</v>
      </c>
      <c r="BN148">
        <v>0</v>
      </c>
      <c r="BO148">
        <v>0</v>
      </c>
      <c r="BP148">
        <v>0</v>
      </c>
      <c r="BQ148">
        <v>0</v>
      </c>
      <c r="BR148">
        <v>64708</v>
      </c>
      <c r="BS148">
        <v>0</v>
      </c>
      <c r="BU148">
        <v>891817</v>
      </c>
      <c r="BV148">
        <v>0</v>
      </c>
      <c r="BW148">
        <v>4506</v>
      </c>
      <c r="BX148">
        <v>416965</v>
      </c>
      <c r="BY148">
        <v>0</v>
      </c>
      <c r="BZ148">
        <v>0</v>
      </c>
      <c r="CA148">
        <v>0</v>
      </c>
      <c r="CB148">
        <v>0</v>
      </c>
      <c r="CC148">
        <v>0</v>
      </c>
      <c r="CD148">
        <v>0</v>
      </c>
      <c r="CF148">
        <v>0</v>
      </c>
      <c r="CG148">
        <v>0</v>
      </c>
      <c r="CH148">
        <v>53185</v>
      </c>
      <c r="CI148">
        <v>0</v>
      </c>
      <c r="CK148">
        <v>0</v>
      </c>
    </row>
    <row r="149" spans="1:89" x14ac:dyDescent="0.3">
      <c r="A149" s="155">
        <v>576</v>
      </c>
      <c r="B149" t="s">
        <v>301</v>
      </c>
      <c r="D149">
        <v>0</v>
      </c>
      <c r="E149">
        <v>0</v>
      </c>
      <c r="F149">
        <v>0</v>
      </c>
      <c r="G149">
        <v>0</v>
      </c>
      <c r="I149">
        <v>0</v>
      </c>
      <c r="J149">
        <v>0</v>
      </c>
      <c r="K149">
        <v>0</v>
      </c>
      <c r="L149">
        <v>0</v>
      </c>
      <c r="M149">
        <v>0</v>
      </c>
      <c r="N149">
        <v>0</v>
      </c>
      <c r="O149">
        <v>0</v>
      </c>
      <c r="P149">
        <v>0</v>
      </c>
      <c r="Q149">
        <v>0</v>
      </c>
      <c r="R149">
        <v>0</v>
      </c>
      <c r="S149">
        <v>0</v>
      </c>
      <c r="T149">
        <v>0</v>
      </c>
      <c r="U149">
        <v>0</v>
      </c>
      <c r="V149">
        <v>0</v>
      </c>
      <c r="W149">
        <v>0</v>
      </c>
      <c r="X149">
        <v>0</v>
      </c>
      <c r="Y149">
        <v>0</v>
      </c>
      <c r="Z149">
        <v>560560</v>
      </c>
      <c r="AA149">
        <v>0</v>
      </c>
      <c r="AB149">
        <v>0</v>
      </c>
      <c r="AD149">
        <v>0</v>
      </c>
      <c r="AE149">
        <v>78586</v>
      </c>
      <c r="AF149">
        <v>0</v>
      </c>
      <c r="AG149">
        <v>0</v>
      </c>
      <c r="AH149">
        <v>0</v>
      </c>
      <c r="AI149">
        <v>0</v>
      </c>
      <c r="AJ149">
        <v>0</v>
      </c>
      <c r="AK149">
        <v>0</v>
      </c>
      <c r="AL149">
        <v>0</v>
      </c>
      <c r="AN149">
        <v>0</v>
      </c>
      <c r="AP149">
        <v>0</v>
      </c>
      <c r="AQ149">
        <v>0</v>
      </c>
      <c r="AR149">
        <v>0</v>
      </c>
      <c r="AS149">
        <v>0</v>
      </c>
      <c r="AT149">
        <v>0</v>
      </c>
      <c r="AU149">
        <v>12837</v>
      </c>
      <c r="AV149">
        <v>0</v>
      </c>
      <c r="AW149">
        <v>0</v>
      </c>
      <c r="AX149">
        <v>0</v>
      </c>
      <c r="AY149">
        <v>0</v>
      </c>
      <c r="AZ149">
        <v>0</v>
      </c>
      <c r="BA149">
        <v>0</v>
      </c>
      <c r="BB149">
        <v>0</v>
      </c>
      <c r="BC149">
        <v>0</v>
      </c>
      <c r="BD149">
        <v>0</v>
      </c>
      <c r="BE149">
        <v>344465</v>
      </c>
      <c r="BF149">
        <v>0</v>
      </c>
      <c r="BG149">
        <v>0</v>
      </c>
      <c r="BH149">
        <v>0</v>
      </c>
      <c r="BI149">
        <v>0</v>
      </c>
      <c r="BJ149">
        <v>0</v>
      </c>
      <c r="BK149">
        <v>0</v>
      </c>
      <c r="BL149">
        <v>0</v>
      </c>
      <c r="BM149">
        <v>0</v>
      </c>
      <c r="BN149">
        <v>0</v>
      </c>
      <c r="BO149">
        <v>1024146</v>
      </c>
      <c r="BP149">
        <v>252893</v>
      </c>
      <c r="BQ149">
        <v>0</v>
      </c>
      <c r="BR149">
        <v>0</v>
      </c>
      <c r="BS149">
        <v>0</v>
      </c>
      <c r="BU149">
        <v>0</v>
      </c>
      <c r="BV149">
        <v>0</v>
      </c>
      <c r="BW149">
        <v>0</v>
      </c>
      <c r="BX149">
        <v>0</v>
      </c>
      <c r="BY149">
        <v>115850</v>
      </c>
      <c r="BZ149">
        <v>250420</v>
      </c>
      <c r="CA149">
        <v>0</v>
      </c>
      <c r="CB149">
        <v>0</v>
      </c>
      <c r="CC149">
        <v>0</v>
      </c>
      <c r="CD149">
        <v>0</v>
      </c>
      <c r="CF149">
        <v>0</v>
      </c>
      <c r="CG149">
        <v>0</v>
      </c>
      <c r="CH149">
        <v>0</v>
      </c>
      <c r="CI149">
        <v>0</v>
      </c>
      <c r="CK149">
        <v>0</v>
      </c>
    </row>
    <row r="150" spans="1:89" x14ac:dyDescent="0.3">
      <c r="A150" s="155">
        <v>577</v>
      </c>
      <c r="B150" t="s">
        <v>891</v>
      </c>
      <c r="D150">
        <v>0</v>
      </c>
      <c r="E150">
        <v>2</v>
      </c>
      <c r="F150">
        <v>2</v>
      </c>
      <c r="G150">
        <v>2</v>
      </c>
      <c r="I150">
        <v>2</v>
      </c>
      <c r="J150">
        <v>2</v>
      </c>
      <c r="K150">
        <v>2</v>
      </c>
      <c r="L150">
        <v>2</v>
      </c>
      <c r="M150">
        <v>1</v>
      </c>
      <c r="N150">
        <v>2</v>
      </c>
      <c r="O150">
        <v>2</v>
      </c>
      <c r="P150">
        <v>0</v>
      </c>
      <c r="Q150">
        <v>2</v>
      </c>
      <c r="R150">
        <v>0</v>
      </c>
      <c r="S150">
        <v>2</v>
      </c>
      <c r="T150">
        <v>2</v>
      </c>
      <c r="U150">
        <v>2</v>
      </c>
      <c r="V150">
        <v>2</v>
      </c>
      <c r="W150">
        <v>2</v>
      </c>
      <c r="X150">
        <v>2</v>
      </c>
      <c r="Y150">
        <v>1</v>
      </c>
      <c r="Z150">
        <v>2</v>
      </c>
      <c r="AA150">
        <v>0</v>
      </c>
      <c r="AB150">
        <v>2</v>
      </c>
      <c r="AD150">
        <v>2</v>
      </c>
      <c r="AE150">
        <v>2</v>
      </c>
      <c r="AF150">
        <v>2</v>
      </c>
      <c r="AG150">
        <v>0</v>
      </c>
      <c r="AH150">
        <v>2</v>
      </c>
      <c r="AI150">
        <v>2</v>
      </c>
      <c r="AJ150">
        <v>2</v>
      </c>
      <c r="AK150">
        <v>2</v>
      </c>
      <c r="AL150">
        <v>2</v>
      </c>
      <c r="AN150">
        <v>2</v>
      </c>
      <c r="AP150">
        <v>0</v>
      </c>
      <c r="AQ150">
        <v>2</v>
      </c>
      <c r="AR150">
        <v>2</v>
      </c>
      <c r="AS150">
        <v>2</v>
      </c>
      <c r="AT150">
        <v>2</v>
      </c>
      <c r="AU150">
        <v>0</v>
      </c>
      <c r="AV150">
        <v>2</v>
      </c>
      <c r="AW150">
        <v>2</v>
      </c>
      <c r="AX150">
        <v>2</v>
      </c>
      <c r="AY150">
        <v>2</v>
      </c>
      <c r="AZ150">
        <v>2</v>
      </c>
      <c r="BA150">
        <v>2</v>
      </c>
      <c r="BB150">
        <v>2</v>
      </c>
      <c r="BC150">
        <v>2</v>
      </c>
      <c r="BD150">
        <v>2</v>
      </c>
      <c r="BE150">
        <v>2</v>
      </c>
      <c r="BF150">
        <v>2</v>
      </c>
      <c r="BG150">
        <v>0</v>
      </c>
      <c r="BH150">
        <v>2</v>
      </c>
      <c r="BI150">
        <v>1</v>
      </c>
      <c r="BJ150">
        <v>2</v>
      </c>
      <c r="BK150">
        <v>2</v>
      </c>
      <c r="BL150">
        <v>2</v>
      </c>
      <c r="BM150">
        <v>0</v>
      </c>
      <c r="BN150">
        <v>0</v>
      </c>
      <c r="BO150">
        <v>2</v>
      </c>
      <c r="BP150">
        <v>2</v>
      </c>
      <c r="BQ150">
        <v>0</v>
      </c>
      <c r="BR150">
        <v>2</v>
      </c>
      <c r="BS150">
        <v>2</v>
      </c>
      <c r="BU150">
        <v>2</v>
      </c>
      <c r="BV150">
        <v>2</v>
      </c>
      <c r="BW150">
        <v>2</v>
      </c>
      <c r="BX150">
        <v>2</v>
      </c>
      <c r="BY150">
        <v>2</v>
      </c>
      <c r="BZ150">
        <v>2</v>
      </c>
      <c r="CA150">
        <v>2</v>
      </c>
      <c r="CB150">
        <v>2</v>
      </c>
      <c r="CC150">
        <v>2</v>
      </c>
      <c r="CD150">
        <v>2</v>
      </c>
      <c r="CF150">
        <v>2</v>
      </c>
      <c r="CG150">
        <v>2</v>
      </c>
      <c r="CH150">
        <v>2</v>
      </c>
      <c r="CI150">
        <v>1</v>
      </c>
      <c r="CK150">
        <v>2</v>
      </c>
    </row>
    <row r="151" spans="1:89" x14ac:dyDescent="0.3">
      <c r="A151" s="155">
        <v>578</v>
      </c>
      <c r="B151" t="s">
        <v>892</v>
      </c>
      <c r="D151">
        <v>0</v>
      </c>
      <c r="E151">
        <v>0</v>
      </c>
      <c r="F151">
        <v>0</v>
      </c>
      <c r="G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D151">
        <v>0</v>
      </c>
      <c r="AE151">
        <v>0</v>
      </c>
      <c r="AF151">
        <v>0</v>
      </c>
      <c r="AG151">
        <v>0</v>
      </c>
      <c r="AH151">
        <v>0</v>
      </c>
      <c r="AI151">
        <v>0</v>
      </c>
      <c r="AJ151">
        <v>0</v>
      </c>
      <c r="AK151">
        <v>0</v>
      </c>
      <c r="AL151">
        <v>0</v>
      </c>
      <c r="AN151">
        <v>0</v>
      </c>
      <c r="AP151">
        <v>0</v>
      </c>
      <c r="AQ151">
        <v>0</v>
      </c>
      <c r="AR151">
        <v>0</v>
      </c>
      <c r="AS151">
        <v>0</v>
      </c>
      <c r="AT151">
        <v>0</v>
      </c>
      <c r="AU151">
        <v>0</v>
      </c>
      <c r="AV151">
        <v>0</v>
      </c>
      <c r="AW151">
        <v>0</v>
      </c>
      <c r="AX151">
        <v>57986</v>
      </c>
      <c r="AY151">
        <v>0</v>
      </c>
      <c r="AZ151">
        <v>0</v>
      </c>
      <c r="BA151">
        <v>0</v>
      </c>
      <c r="BB151">
        <v>0</v>
      </c>
      <c r="BC151">
        <v>0</v>
      </c>
      <c r="BD151">
        <v>0</v>
      </c>
      <c r="BE151">
        <v>0</v>
      </c>
      <c r="BF151">
        <v>0</v>
      </c>
      <c r="BG151">
        <v>0</v>
      </c>
      <c r="BH151">
        <v>0</v>
      </c>
      <c r="BI151">
        <v>0</v>
      </c>
      <c r="BJ151">
        <v>0</v>
      </c>
      <c r="BK151">
        <v>143229</v>
      </c>
      <c r="BL151">
        <v>0</v>
      </c>
      <c r="BM151">
        <v>0</v>
      </c>
      <c r="BN151">
        <v>0</v>
      </c>
      <c r="BO151">
        <v>0</v>
      </c>
      <c r="BP151">
        <v>0</v>
      </c>
      <c r="BQ151">
        <v>0</v>
      </c>
      <c r="BR151">
        <v>0</v>
      </c>
      <c r="BS151">
        <v>0</v>
      </c>
      <c r="BU151">
        <v>0</v>
      </c>
      <c r="BV151">
        <v>0</v>
      </c>
      <c r="BW151">
        <v>0</v>
      </c>
      <c r="BX151">
        <v>0</v>
      </c>
      <c r="BY151">
        <v>1184482</v>
      </c>
      <c r="BZ151">
        <v>0</v>
      </c>
      <c r="CA151">
        <v>0</v>
      </c>
      <c r="CB151">
        <v>0</v>
      </c>
      <c r="CC151">
        <v>0</v>
      </c>
      <c r="CD151">
        <v>0</v>
      </c>
      <c r="CF151">
        <v>0</v>
      </c>
      <c r="CG151">
        <v>0</v>
      </c>
      <c r="CH151">
        <v>0</v>
      </c>
      <c r="CI151">
        <v>0</v>
      </c>
      <c r="CK151">
        <v>0</v>
      </c>
    </row>
    <row r="152" spans="1:89" x14ac:dyDescent="0.3">
      <c r="A152" s="155">
        <v>579</v>
      </c>
      <c r="B152" t="s">
        <v>893</v>
      </c>
      <c r="D152">
        <v>0</v>
      </c>
      <c r="E152">
        <v>0</v>
      </c>
      <c r="F152">
        <v>0</v>
      </c>
      <c r="G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D152">
        <v>0</v>
      </c>
      <c r="AE152">
        <v>0</v>
      </c>
      <c r="AF152">
        <v>0</v>
      </c>
      <c r="AG152">
        <v>0</v>
      </c>
      <c r="AH152">
        <v>0</v>
      </c>
      <c r="AI152">
        <v>0</v>
      </c>
      <c r="AJ152">
        <v>0</v>
      </c>
      <c r="AK152">
        <v>0</v>
      </c>
      <c r="AL152">
        <v>0</v>
      </c>
      <c r="AN152">
        <v>0</v>
      </c>
      <c r="AP152">
        <v>0</v>
      </c>
      <c r="AQ152">
        <v>0</v>
      </c>
      <c r="AR152">
        <v>0</v>
      </c>
      <c r="AS152">
        <v>0</v>
      </c>
      <c r="AT152">
        <v>0</v>
      </c>
      <c r="AU152">
        <v>0</v>
      </c>
      <c r="AV152">
        <v>0</v>
      </c>
      <c r="AW152">
        <v>0</v>
      </c>
      <c r="AX152">
        <v>0</v>
      </c>
      <c r="AY152">
        <v>0</v>
      </c>
      <c r="AZ152">
        <v>0</v>
      </c>
      <c r="BA152">
        <v>0</v>
      </c>
      <c r="BB152">
        <v>1698</v>
      </c>
      <c r="BC152">
        <v>0</v>
      </c>
      <c r="BD152">
        <v>0</v>
      </c>
      <c r="BE152">
        <v>0</v>
      </c>
      <c r="BF152">
        <v>0</v>
      </c>
      <c r="BG152">
        <v>0</v>
      </c>
      <c r="BH152">
        <v>0</v>
      </c>
      <c r="BI152">
        <v>0</v>
      </c>
      <c r="BJ152">
        <v>0</v>
      </c>
      <c r="BK152">
        <v>10125</v>
      </c>
      <c r="BL152">
        <v>0</v>
      </c>
      <c r="BM152">
        <v>0</v>
      </c>
      <c r="BN152">
        <v>0</v>
      </c>
      <c r="BO152">
        <v>0</v>
      </c>
      <c r="BP152">
        <v>0</v>
      </c>
      <c r="BQ152">
        <v>0</v>
      </c>
      <c r="BR152">
        <v>0</v>
      </c>
      <c r="BS152">
        <v>0</v>
      </c>
      <c r="BU152">
        <v>0</v>
      </c>
      <c r="BV152">
        <v>0</v>
      </c>
      <c r="BW152">
        <v>0</v>
      </c>
      <c r="BX152">
        <v>0</v>
      </c>
      <c r="BY152">
        <v>0</v>
      </c>
      <c r="BZ152">
        <v>0</v>
      </c>
      <c r="CA152">
        <v>0</v>
      </c>
      <c r="CB152">
        <v>0</v>
      </c>
      <c r="CC152">
        <v>0</v>
      </c>
      <c r="CD152">
        <v>0</v>
      </c>
      <c r="CF152">
        <v>0</v>
      </c>
      <c r="CG152">
        <v>0</v>
      </c>
      <c r="CH152">
        <v>0</v>
      </c>
      <c r="CI152">
        <v>0</v>
      </c>
      <c r="CK152">
        <v>0</v>
      </c>
    </row>
    <row r="153" spans="1:89" x14ac:dyDescent="0.3">
      <c r="A153" s="155">
        <v>580</v>
      </c>
      <c r="B153" t="s">
        <v>894</v>
      </c>
      <c r="D153">
        <v>0</v>
      </c>
      <c r="E153">
        <v>0</v>
      </c>
      <c r="F153">
        <v>0</v>
      </c>
      <c r="G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D153">
        <v>0</v>
      </c>
      <c r="AE153">
        <v>0</v>
      </c>
      <c r="AF153">
        <v>0</v>
      </c>
      <c r="AG153">
        <v>0</v>
      </c>
      <c r="AH153">
        <v>0</v>
      </c>
      <c r="AI153">
        <v>0</v>
      </c>
      <c r="AJ153">
        <v>0</v>
      </c>
      <c r="AK153">
        <v>0</v>
      </c>
      <c r="AL153">
        <v>0</v>
      </c>
      <c r="AN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U153">
        <v>0</v>
      </c>
      <c r="BV153">
        <v>0</v>
      </c>
      <c r="BW153">
        <v>0</v>
      </c>
      <c r="BX153">
        <v>0</v>
      </c>
      <c r="BY153">
        <v>0</v>
      </c>
      <c r="BZ153">
        <v>0</v>
      </c>
      <c r="CA153">
        <v>0</v>
      </c>
      <c r="CB153">
        <v>0</v>
      </c>
      <c r="CC153">
        <v>0</v>
      </c>
      <c r="CD153">
        <v>0</v>
      </c>
      <c r="CF153">
        <v>0</v>
      </c>
      <c r="CG153">
        <v>0</v>
      </c>
      <c r="CH153">
        <v>0</v>
      </c>
      <c r="CI153">
        <v>0</v>
      </c>
      <c r="CK153">
        <v>0</v>
      </c>
    </row>
    <row r="154" spans="1:89" x14ac:dyDescent="0.3">
      <c r="A154" s="155">
        <v>581</v>
      </c>
      <c r="B154" t="s">
        <v>895</v>
      </c>
      <c r="D154">
        <v>0</v>
      </c>
      <c r="E154">
        <v>0</v>
      </c>
      <c r="F154">
        <v>0</v>
      </c>
      <c r="G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D154">
        <v>0</v>
      </c>
      <c r="AE154">
        <v>0</v>
      </c>
      <c r="AF154">
        <v>0</v>
      </c>
      <c r="AG154">
        <v>0</v>
      </c>
      <c r="AH154">
        <v>0</v>
      </c>
      <c r="AI154">
        <v>0</v>
      </c>
      <c r="AJ154">
        <v>0</v>
      </c>
      <c r="AK154">
        <v>0</v>
      </c>
      <c r="AL154">
        <v>0</v>
      </c>
      <c r="AN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0</v>
      </c>
      <c r="BP154">
        <v>0</v>
      </c>
      <c r="BQ154">
        <v>0</v>
      </c>
      <c r="BR154">
        <v>0</v>
      </c>
      <c r="BS154">
        <v>0</v>
      </c>
      <c r="BU154">
        <v>0</v>
      </c>
      <c r="BV154">
        <v>0</v>
      </c>
      <c r="BW154">
        <v>0</v>
      </c>
      <c r="BX154">
        <v>0</v>
      </c>
      <c r="BY154">
        <v>0</v>
      </c>
      <c r="BZ154">
        <v>0</v>
      </c>
      <c r="CA154">
        <v>0</v>
      </c>
      <c r="CB154">
        <v>0</v>
      </c>
      <c r="CC154">
        <v>0</v>
      </c>
      <c r="CD154">
        <v>0</v>
      </c>
      <c r="CF154">
        <v>0</v>
      </c>
      <c r="CG154">
        <v>0</v>
      </c>
      <c r="CH154">
        <v>0</v>
      </c>
      <c r="CI154">
        <v>0</v>
      </c>
      <c r="CK154">
        <v>0</v>
      </c>
    </row>
    <row r="155" spans="1:89" x14ac:dyDescent="0.3">
      <c r="A155" s="155">
        <v>586</v>
      </c>
      <c r="B155" t="s">
        <v>896</v>
      </c>
      <c r="D155">
        <v>0</v>
      </c>
      <c r="E155">
        <v>0</v>
      </c>
      <c r="F155">
        <v>0</v>
      </c>
      <c r="G155">
        <v>0</v>
      </c>
      <c r="I155">
        <v>0</v>
      </c>
      <c r="J155">
        <v>0</v>
      </c>
      <c r="K155">
        <v>165095</v>
      </c>
      <c r="L155">
        <v>0</v>
      </c>
      <c r="M155">
        <v>0</v>
      </c>
      <c r="N155">
        <v>0</v>
      </c>
      <c r="O155">
        <v>0</v>
      </c>
      <c r="P155">
        <v>0</v>
      </c>
      <c r="Q155">
        <v>0</v>
      </c>
      <c r="R155">
        <v>0</v>
      </c>
      <c r="S155">
        <v>0</v>
      </c>
      <c r="T155">
        <v>0</v>
      </c>
      <c r="U155">
        <v>0</v>
      </c>
      <c r="V155">
        <v>0</v>
      </c>
      <c r="W155">
        <v>0</v>
      </c>
      <c r="X155">
        <v>0</v>
      </c>
      <c r="Y155">
        <v>0</v>
      </c>
      <c r="Z155">
        <v>0</v>
      </c>
      <c r="AA155">
        <v>0</v>
      </c>
      <c r="AB155">
        <v>0</v>
      </c>
      <c r="AD155">
        <v>0</v>
      </c>
      <c r="AE155">
        <v>0</v>
      </c>
      <c r="AF155">
        <v>0</v>
      </c>
      <c r="AG155">
        <v>0</v>
      </c>
      <c r="AH155">
        <v>0</v>
      </c>
      <c r="AI155">
        <v>0</v>
      </c>
      <c r="AJ155">
        <v>42921</v>
      </c>
      <c r="AK155">
        <v>0</v>
      </c>
      <c r="AL155">
        <v>0</v>
      </c>
      <c r="AN155">
        <v>0</v>
      </c>
      <c r="AP155">
        <v>0</v>
      </c>
      <c r="AQ155">
        <v>0</v>
      </c>
      <c r="AR155">
        <v>0</v>
      </c>
      <c r="AS155">
        <v>0</v>
      </c>
      <c r="AT155">
        <v>0</v>
      </c>
      <c r="AU155">
        <v>0</v>
      </c>
      <c r="AV155">
        <v>0</v>
      </c>
      <c r="AW155">
        <v>0</v>
      </c>
      <c r="AX155">
        <v>57986</v>
      </c>
      <c r="AY155">
        <v>0</v>
      </c>
      <c r="AZ155">
        <v>0</v>
      </c>
      <c r="BA155">
        <v>0</v>
      </c>
      <c r="BB155">
        <v>0</v>
      </c>
      <c r="BC155">
        <v>0</v>
      </c>
      <c r="BD155">
        <v>0</v>
      </c>
      <c r="BE155">
        <v>0</v>
      </c>
      <c r="BF155">
        <v>0</v>
      </c>
      <c r="BG155">
        <v>0</v>
      </c>
      <c r="BH155">
        <v>0</v>
      </c>
      <c r="BI155">
        <v>0</v>
      </c>
      <c r="BJ155">
        <v>0</v>
      </c>
      <c r="BK155">
        <v>0</v>
      </c>
      <c r="BL155">
        <v>0</v>
      </c>
      <c r="BM155">
        <v>0</v>
      </c>
      <c r="BN155">
        <v>0</v>
      </c>
      <c r="BO155">
        <v>0</v>
      </c>
      <c r="BP155">
        <v>0</v>
      </c>
      <c r="BQ155">
        <v>0</v>
      </c>
      <c r="BR155">
        <v>64708</v>
      </c>
      <c r="BS155">
        <v>0</v>
      </c>
      <c r="BU155">
        <v>0</v>
      </c>
      <c r="BV155">
        <v>0</v>
      </c>
      <c r="BW155">
        <v>0</v>
      </c>
      <c r="BX155">
        <v>0</v>
      </c>
      <c r="BY155">
        <v>0</v>
      </c>
      <c r="BZ155">
        <v>0</v>
      </c>
      <c r="CA155">
        <v>0</v>
      </c>
      <c r="CB155">
        <v>0</v>
      </c>
      <c r="CC155">
        <v>0</v>
      </c>
      <c r="CD155">
        <v>0</v>
      </c>
      <c r="CF155">
        <v>0</v>
      </c>
      <c r="CG155">
        <v>0</v>
      </c>
      <c r="CH155">
        <v>0</v>
      </c>
      <c r="CI155">
        <v>0</v>
      </c>
      <c r="CK155">
        <v>0</v>
      </c>
    </row>
    <row r="156" spans="1:89" x14ac:dyDescent="0.3">
      <c r="A156" s="155">
        <v>590</v>
      </c>
      <c r="B156" t="s">
        <v>1582</v>
      </c>
      <c r="M156" t="s">
        <v>1584</v>
      </c>
      <c r="O156" t="s">
        <v>1583</v>
      </c>
      <c r="W156" t="s">
        <v>1583</v>
      </c>
      <c r="AD156" t="s">
        <v>2068</v>
      </c>
      <c r="AL156" t="s">
        <v>1584</v>
      </c>
      <c r="BG156" t="s">
        <v>1583</v>
      </c>
      <c r="BJ156" t="s">
        <v>2069</v>
      </c>
      <c r="BO156" t="s">
        <v>2070</v>
      </c>
      <c r="BQ156" t="s">
        <v>1585</v>
      </c>
      <c r="BS156" t="s">
        <v>2071</v>
      </c>
      <c r="BW156" t="s">
        <v>2072</v>
      </c>
      <c r="BX156" t="s">
        <v>1584</v>
      </c>
      <c r="CC156" t="s">
        <v>1583</v>
      </c>
      <c r="CH156" t="s">
        <v>2073</v>
      </c>
    </row>
    <row r="157" spans="1:89" x14ac:dyDescent="0.3">
      <c r="A157" s="155">
        <v>591</v>
      </c>
      <c r="B157" t="s">
        <v>327</v>
      </c>
      <c r="D157">
        <v>289733</v>
      </c>
      <c r="E157">
        <v>0</v>
      </c>
      <c r="F157">
        <v>336468</v>
      </c>
      <c r="G157">
        <v>115956</v>
      </c>
      <c r="I157">
        <v>2486526</v>
      </c>
      <c r="J157">
        <v>0</v>
      </c>
      <c r="K157">
        <v>8050893</v>
      </c>
      <c r="L157">
        <v>0</v>
      </c>
      <c r="M157">
        <v>773649</v>
      </c>
      <c r="N157">
        <v>1637987</v>
      </c>
      <c r="O157">
        <v>79498830</v>
      </c>
      <c r="P157">
        <v>0</v>
      </c>
      <c r="Q157">
        <v>0</v>
      </c>
      <c r="R157">
        <v>0</v>
      </c>
      <c r="S157">
        <v>0</v>
      </c>
      <c r="T157">
        <v>0</v>
      </c>
      <c r="U157">
        <v>0</v>
      </c>
      <c r="V157">
        <v>125945</v>
      </c>
      <c r="W157">
        <v>1110295</v>
      </c>
      <c r="X157">
        <v>31284133</v>
      </c>
      <c r="Y157">
        <v>1135264000</v>
      </c>
      <c r="Z157">
        <v>8790543</v>
      </c>
      <c r="AA157">
        <v>144371</v>
      </c>
      <c r="AB157">
        <v>0</v>
      </c>
      <c r="AD157">
        <v>1493777</v>
      </c>
      <c r="AE157">
        <v>668775</v>
      </c>
      <c r="AF157">
        <v>36038140</v>
      </c>
      <c r="AG157">
        <v>0</v>
      </c>
      <c r="AH157">
        <v>479554</v>
      </c>
      <c r="AI157">
        <v>0</v>
      </c>
      <c r="AJ157">
        <v>1237589</v>
      </c>
      <c r="AK157">
        <v>432547</v>
      </c>
      <c r="AL157">
        <v>309462</v>
      </c>
      <c r="AN157">
        <v>1152256</v>
      </c>
      <c r="AP157">
        <v>0</v>
      </c>
      <c r="AQ157">
        <v>166542329</v>
      </c>
      <c r="AR157">
        <v>0</v>
      </c>
      <c r="AS157">
        <v>139075</v>
      </c>
      <c r="AT157">
        <v>4618646</v>
      </c>
      <c r="AU157">
        <v>0</v>
      </c>
      <c r="AV157">
        <v>0</v>
      </c>
      <c r="AW157">
        <v>6765255</v>
      </c>
      <c r="AX157">
        <v>385310</v>
      </c>
      <c r="AY157">
        <v>0</v>
      </c>
      <c r="AZ157">
        <v>385675</v>
      </c>
      <c r="BA157">
        <v>530220</v>
      </c>
      <c r="BB157">
        <v>145807</v>
      </c>
      <c r="BC157">
        <v>9696198</v>
      </c>
      <c r="BD157">
        <v>0</v>
      </c>
      <c r="BE157">
        <v>1257539</v>
      </c>
      <c r="BF157">
        <v>1475269</v>
      </c>
      <c r="BG157">
        <v>0</v>
      </c>
      <c r="BH157">
        <v>0</v>
      </c>
      <c r="BI157">
        <v>2260535</v>
      </c>
      <c r="BJ157">
        <v>0</v>
      </c>
      <c r="BK157">
        <v>448474</v>
      </c>
      <c r="BL157">
        <v>2782817</v>
      </c>
      <c r="BM157">
        <v>259851</v>
      </c>
      <c r="BN157">
        <v>0</v>
      </c>
      <c r="BO157">
        <v>6454757</v>
      </c>
      <c r="BP157">
        <v>196762517</v>
      </c>
      <c r="BQ157">
        <v>0</v>
      </c>
      <c r="BR157">
        <v>103720</v>
      </c>
      <c r="BS157">
        <v>320500</v>
      </c>
      <c r="BU157">
        <v>1034734</v>
      </c>
      <c r="BV157">
        <v>0</v>
      </c>
      <c r="BW157">
        <v>0</v>
      </c>
      <c r="BX157">
        <v>15380792</v>
      </c>
      <c r="BY157">
        <v>44082197</v>
      </c>
      <c r="BZ157">
        <v>2065668</v>
      </c>
      <c r="CA157">
        <v>408348</v>
      </c>
      <c r="CB157">
        <v>1276884</v>
      </c>
      <c r="CC157">
        <v>579733</v>
      </c>
      <c r="CD157">
        <v>771138</v>
      </c>
      <c r="CF157">
        <v>4016572</v>
      </c>
      <c r="CG157">
        <v>0</v>
      </c>
      <c r="CH157">
        <v>3655443</v>
      </c>
      <c r="CI157">
        <v>0</v>
      </c>
      <c r="CK157">
        <v>196756</v>
      </c>
    </row>
    <row r="158" spans="1:89" x14ac:dyDescent="0.3">
      <c r="A158" s="155">
        <v>592</v>
      </c>
      <c r="B158" t="s">
        <v>328</v>
      </c>
      <c r="D158">
        <v>-110805</v>
      </c>
      <c r="E158">
        <v>0</v>
      </c>
      <c r="F158">
        <v>47333</v>
      </c>
      <c r="G158">
        <v>-16691</v>
      </c>
      <c r="I158">
        <v>357025</v>
      </c>
      <c r="J158">
        <v>0</v>
      </c>
      <c r="K158">
        <v>1459835</v>
      </c>
      <c r="L158">
        <v>0</v>
      </c>
      <c r="M158">
        <v>271325</v>
      </c>
      <c r="N158">
        <v>2418969</v>
      </c>
      <c r="O158">
        <v>17901948</v>
      </c>
      <c r="P158">
        <v>0</v>
      </c>
      <c r="Q158">
        <v>0</v>
      </c>
      <c r="R158">
        <v>0</v>
      </c>
      <c r="S158">
        <v>0</v>
      </c>
      <c r="T158">
        <v>0</v>
      </c>
      <c r="U158">
        <v>0</v>
      </c>
      <c r="V158">
        <v>2751</v>
      </c>
      <c r="W158">
        <v>-37886</v>
      </c>
      <c r="X158">
        <v>14801350</v>
      </c>
      <c r="Y158">
        <v>486631000</v>
      </c>
      <c r="Z158">
        <v>698947</v>
      </c>
      <c r="AA158">
        <v>1739968</v>
      </c>
      <c r="AB158">
        <v>0</v>
      </c>
      <c r="AD158">
        <v>529976</v>
      </c>
      <c r="AE158">
        <v>27105</v>
      </c>
      <c r="AF158">
        <v>7311579</v>
      </c>
      <c r="AG158">
        <v>0</v>
      </c>
      <c r="AH158">
        <v>51253</v>
      </c>
      <c r="AI158">
        <v>0</v>
      </c>
      <c r="AJ158">
        <v>482740</v>
      </c>
      <c r="AK158">
        <v>19121</v>
      </c>
      <c r="AL158">
        <v>-47142</v>
      </c>
      <c r="AN158">
        <v>240439</v>
      </c>
      <c r="AP158">
        <v>0</v>
      </c>
      <c r="AQ158">
        <v>1333193</v>
      </c>
      <c r="AR158">
        <v>0</v>
      </c>
      <c r="AS158">
        <v>-82596</v>
      </c>
      <c r="AT158">
        <v>934788</v>
      </c>
      <c r="AU158">
        <v>0</v>
      </c>
      <c r="AV158">
        <v>0</v>
      </c>
      <c r="AW158">
        <v>254621</v>
      </c>
      <c r="AX158">
        <v>-181449</v>
      </c>
      <c r="AY158">
        <v>0</v>
      </c>
      <c r="AZ158">
        <v>-87756</v>
      </c>
      <c r="BA158">
        <v>-71964</v>
      </c>
      <c r="BB158">
        <v>-24740</v>
      </c>
      <c r="BC158">
        <v>923554</v>
      </c>
      <c r="BD158">
        <v>0</v>
      </c>
      <c r="BE158">
        <v>42975</v>
      </c>
      <c r="BF158">
        <v>156522</v>
      </c>
      <c r="BG158">
        <v>0</v>
      </c>
      <c r="BH158">
        <v>0</v>
      </c>
      <c r="BI158">
        <v>-280188</v>
      </c>
      <c r="BJ158">
        <v>0</v>
      </c>
      <c r="BK158">
        <v>-186750</v>
      </c>
      <c r="BL158">
        <v>255769</v>
      </c>
      <c r="BM158">
        <v>24433</v>
      </c>
      <c r="BN158">
        <v>0</v>
      </c>
      <c r="BO158">
        <v>859541</v>
      </c>
      <c r="BP158">
        <v>56770065</v>
      </c>
      <c r="BQ158">
        <v>0</v>
      </c>
      <c r="BR158">
        <v>-10351</v>
      </c>
      <c r="BS158">
        <v>43442</v>
      </c>
      <c r="BU158">
        <v>-8672</v>
      </c>
      <c r="BV158">
        <v>0</v>
      </c>
      <c r="BW158">
        <v>256730</v>
      </c>
      <c r="BX158">
        <v>588342</v>
      </c>
      <c r="BY158">
        <v>3236517</v>
      </c>
      <c r="BZ158">
        <v>209195</v>
      </c>
      <c r="CA158">
        <v>-71594</v>
      </c>
      <c r="CB158">
        <v>594607</v>
      </c>
      <c r="CC158">
        <v>23907</v>
      </c>
      <c r="CD158">
        <v>-39039</v>
      </c>
      <c r="CF158">
        <v>1390194</v>
      </c>
      <c r="CG158">
        <v>0</v>
      </c>
      <c r="CH158">
        <v>168569</v>
      </c>
      <c r="CI158">
        <v>0</v>
      </c>
      <c r="CK158">
        <v>-37145</v>
      </c>
    </row>
    <row r="159" spans="1:89" x14ac:dyDescent="0.3">
      <c r="A159" s="155">
        <v>596</v>
      </c>
      <c r="B159" t="s">
        <v>333</v>
      </c>
      <c r="D159">
        <v>52</v>
      </c>
      <c r="E159">
        <v>0</v>
      </c>
      <c r="F159">
        <v>52</v>
      </c>
      <c r="G159">
        <v>52</v>
      </c>
      <c r="I159">
        <v>52</v>
      </c>
      <c r="J159">
        <v>52</v>
      </c>
      <c r="K159">
        <v>52</v>
      </c>
      <c r="L159">
        <v>52</v>
      </c>
      <c r="M159">
        <v>52</v>
      </c>
      <c r="N159">
        <v>52</v>
      </c>
      <c r="O159">
        <v>52</v>
      </c>
      <c r="P159">
        <v>0</v>
      </c>
      <c r="Q159">
        <v>52</v>
      </c>
      <c r="R159">
        <v>52</v>
      </c>
      <c r="S159">
        <v>52</v>
      </c>
      <c r="T159">
        <v>52</v>
      </c>
      <c r="U159">
        <v>52</v>
      </c>
      <c r="V159">
        <v>52</v>
      </c>
      <c r="W159">
        <v>52</v>
      </c>
      <c r="X159">
        <v>52</v>
      </c>
      <c r="Y159">
        <v>52</v>
      </c>
      <c r="Z159">
        <v>52</v>
      </c>
      <c r="AA159">
        <v>52</v>
      </c>
      <c r="AB159">
        <v>0</v>
      </c>
      <c r="AD159">
        <v>52</v>
      </c>
      <c r="AE159">
        <v>52</v>
      </c>
      <c r="AF159">
        <v>52</v>
      </c>
      <c r="AG159">
        <v>0</v>
      </c>
      <c r="AH159">
        <v>52</v>
      </c>
      <c r="AI159">
        <v>52</v>
      </c>
      <c r="AJ159">
        <v>52</v>
      </c>
      <c r="AK159">
        <v>52</v>
      </c>
      <c r="AL159">
        <v>52</v>
      </c>
      <c r="AN159">
        <v>52</v>
      </c>
      <c r="AP159">
        <v>0</v>
      </c>
      <c r="AQ159">
        <v>52</v>
      </c>
      <c r="AR159">
        <v>52</v>
      </c>
      <c r="AS159">
        <v>52</v>
      </c>
      <c r="AT159">
        <v>52</v>
      </c>
      <c r="AU159">
        <v>52</v>
      </c>
      <c r="AV159">
        <v>52</v>
      </c>
      <c r="AW159">
        <v>52</v>
      </c>
      <c r="AX159">
        <v>52</v>
      </c>
      <c r="AY159">
        <v>52</v>
      </c>
      <c r="AZ159">
        <v>52</v>
      </c>
      <c r="BA159">
        <v>52</v>
      </c>
      <c r="BB159">
        <v>52</v>
      </c>
      <c r="BC159">
        <v>52</v>
      </c>
      <c r="BD159">
        <v>52</v>
      </c>
      <c r="BE159">
        <v>52</v>
      </c>
      <c r="BF159">
        <v>52</v>
      </c>
      <c r="BG159">
        <v>52</v>
      </c>
      <c r="BH159">
        <v>52</v>
      </c>
      <c r="BI159">
        <v>52</v>
      </c>
      <c r="BJ159">
        <v>52</v>
      </c>
      <c r="BK159">
        <v>52</v>
      </c>
      <c r="BL159">
        <v>52</v>
      </c>
      <c r="BM159">
        <v>52</v>
      </c>
      <c r="BN159">
        <v>0</v>
      </c>
      <c r="BO159">
        <v>52</v>
      </c>
      <c r="BP159">
        <v>52</v>
      </c>
      <c r="BQ159">
        <v>52</v>
      </c>
      <c r="BR159">
        <v>52</v>
      </c>
      <c r="BS159">
        <v>52</v>
      </c>
      <c r="BU159">
        <v>52</v>
      </c>
      <c r="BV159">
        <v>52</v>
      </c>
      <c r="BW159">
        <v>52</v>
      </c>
      <c r="BX159">
        <v>52</v>
      </c>
      <c r="BY159">
        <v>52</v>
      </c>
      <c r="BZ159">
        <v>52</v>
      </c>
      <c r="CA159">
        <v>52</v>
      </c>
      <c r="CB159">
        <v>52</v>
      </c>
      <c r="CC159">
        <v>52</v>
      </c>
      <c r="CD159">
        <v>52</v>
      </c>
      <c r="CF159">
        <v>52</v>
      </c>
      <c r="CG159">
        <v>52</v>
      </c>
      <c r="CH159">
        <v>52</v>
      </c>
      <c r="CI159">
        <v>52</v>
      </c>
      <c r="CK159">
        <v>52</v>
      </c>
    </row>
    <row r="160" spans="1:89" x14ac:dyDescent="0.3">
      <c r="A160" s="155">
        <v>597</v>
      </c>
      <c r="B160" t="s">
        <v>336</v>
      </c>
      <c r="D160">
        <v>3399</v>
      </c>
      <c r="E160">
        <v>364</v>
      </c>
      <c r="F160">
        <v>624</v>
      </c>
      <c r="G160">
        <v>782</v>
      </c>
      <c r="I160">
        <v>8052</v>
      </c>
      <c r="J160">
        <v>737</v>
      </c>
      <c r="K160">
        <v>20176</v>
      </c>
      <c r="L160">
        <v>4814</v>
      </c>
      <c r="M160">
        <v>60675</v>
      </c>
      <c r="N160">
        <v>3125</v>
      </c>
      <c r="O160">
        <v>-18009705</v>
      </c>
      <c r="P160">
        <v>0</v>
      </c>
      <c r="Q160">
        <v>2131</v>
      </c>
      <c r="R160">
        <v>1175</v>
      </c>
      <c r="S160">
        <v>1698</v>
      </c>
      <c r="T160">
        <v>1271</v>
      </c>
      <c r="U160">
        <v>0</v>
      </c>
      <c r="V160">
        <v>0</v>
      </c>
      <c r="W160">
        <v>6158</v>
      </c>
      <c r="X160">
        <v>64306</v>
      </c>
      <c r="Y160">
        <v>5742000</v>
      </c>
      <c r="Z160">
        <v>18086</v>
      </c>
      <c r="AA160">
        <v>1029</v>
      </c>
      <c r="AB160">
        <v>10213</v>
      </c>
      <c r="AD160">
        <v>27303</v>
      </c>
      <c r="AE160">
        <v>1652</v>
      </c>
      <c r="AF160">
        <v>87766</v>
      </c>
      <c r="AG160">
        <v>17416</v>
      </c>
      <c r="AH160">
        <v>6996</v>
      </c>
      <c r="AI160">
        <v>0</v>
      </c>
      <c r="AJ160">
        <v>1914</v>
      </c>
      <c r="AK160">
        <v>2528</v>
      </c>
      <c r="AL160">
        <v>16</v>
      </c>
      <c r="AN160">
        <v>9207</v>
      </c>
      <c r="AP160">
        <v>0</v>
      </c>
      <c r="AQ160">
        <v>-14632323</v>
      </c>
      <c r="AR160">
        <v>1430</v>
      </c>
      <c r="AS160">
        <v>424</v>
      </c>
      <c r="AT160">
        <v>18091</v>
      </c>
      <c r="AU160">
        <v>258</v>
      </c>
      <c r="AV160">
        <v>19</v>
      </c>
      <c r="AW160">
        <v>110105</v>
      </c>
      <c r="AX160">
        <v>24</v>
      </c>
      <c r="AY160">
        <v>8748</v>
      </c>
      <c r="AZ160">
        <v>16466</v>
      </c>
      <c r="BA160">
        <v>202</v>
      </c>
      <c r="BB160">
        <v>95</v>
      </c>
      <c r="BC160">
        <v>21417</v>
      </c>
      <c r="BD160">
        <v>276</v>
      </c>
      <c r="BE160">
        <v>52314</v>
      </c>
      <c r="BF160">
        <v>2779</v>
      </c>
      <c r="BG160">
        <v>1147</v>
      </c>
      <c r="BH160">
        <v>108</v>
      </c>
      <c r="BI160">
        <v>505</v>
      </c>
      <c r="BJ160">
        <v>32001</v>
      </c>
      <c r="BK160">
        <v>0</v>
      </c>
      <c r="BL160">
        <v>3082</v>
      </c>
      <c r="BM160">
        <v>1445</v>
      </c>
      <c r="BN160">
        <v>17213</v>
      </c>
      <c r="BO160">
        <v>10422</v>
      </c>
      <c r="BP160">
        <v>-3937858</v>
      </c>
      <c r="BQ160">
        <v>265</v>
      </c>
      <c r="BR160">
        <v>0</v>
      </c>
      <c r="BS160">
        <v>417</v>
      </c>
      <c r="BU160">
        <v>2138</v>
      </c>
      <c r="BV160">
        <v>7674</v>
      </c>
      <c r="BW160">
        <v>58380</v>
      </c>
      <c r="BX160">
        <v>7890</v>
      </c>
      <c r="BY160">
        <v>-29738</v>
      </c>
      <c r="BZ160">
        <v>7093</v>
      </c>
      <c r="CA160">
        <v>342</v>
      </c>
      <c r="CB160">
        <v>10462</v>
      </c>
      <c r="CC160">
        <v>4600</v>
      </c>
      <c r="CD160">
        <v>472</v>
      </c>
      <c r="CF160">
        <v>22510</v>
      </c>
      <c r="CG160">
        <v>0</v>
      </c>
      <c r="CH160">
        <v>2616</v>
      </c>
      <c r="CI160">
        <v>10896</v>
      </c>
      <c r="CK160">
        <v>448</v>
      </c>
    </row>
    <row r="161" spans="1:89" x14ac:dyDescent="0.3">
      <c r="A161" s="155">
        <v>598</v>
      </c>
      <c r="B161" t="s">
        <v>341</v>
      </c>
      <c r="D161">
        <v>0</v>
      </c>
      <c r="E161">
        <v>0</v>
      </c>
      <c r="F161">
        <v>0</v>
      </c>
      <c r="G161">
        <v>0</v>
      </c>
      <c r="I161">
        <v>20511</v>
      </c>
      <c r="J161">
        <v>0</v>
      </c>
      <c r="K161">
        <v>25670</v>
      </c>
      <c r="L161">
        <v>0</v>
      </c>
      <c r="M161">
        <v>132714</v>
      </c>
      <c r="N161">
        <v>0</v>
      </c>
      <c r="O161">
        <v>892164</v>
      </c>
      <c r="P161">
        <v>0</v>
      </c>
      <c r="Q161">
        <v>0</v>
      </c>
      <c r="R161">
        <v>0</v>
      </c>
      <c r="S161">
        <v>10592</v>
      </c>
      <c r="T161">
        <v>0</v>
      </c>
      <c r="U161">
        <v>0</v>
      </c>
      <c r="V161">
        <v>0</v>
      </c>
      <c r="W161">
        <v>0</v>
      </c>
      <c r="X161">
        <v>457529</v>
      </c>
      <c r="Y161">
        <v>9694000</v>
      </c>
      <c r="Z161">
        <v>1940</v>
      </c>
      <c r="AA161">
        <v>0</v>
      </c>
      <c r="AB161">
        <v>0</v>
      </c>
      <c r="AD161">
        <v>0</v>
      </c>
      <c r="AE161">
        <v>0</v>
      </c>
      <c r="AF161">
        <v>133234</v>
      </c>
      <c r="AG161">
        <v>0</v>
      </c>
      <c r="AH161">
        <v>0</v>
      </c>
      <c r="AI161">
        <v>74388</v>
      </c>
      <c r="AJ161">
        <v>0</v>
      </c>
      <c r="AK161">
        <v>0</v>
      </c>
      <c r="AL161">
        <v>0</v>
      </c>
      <c r="AN161">
        <v>0</v>
      </c>
      <c r="AP161">
        <v>0</v>
      </c>
      <c r="AQ161">
        <v>519600</v>
      </c>
      <c r="AR161">
        <v>0</v>
      </c>
      <c r="AS161">
        <v>0</v>
      </c>
      <c r="AT161">
        <v>0</v>
      </c>
      <c r="AU161">
        <v>0</v>
      </c>
      <c r="AV161">
        <v>0</v>
      </c>
      <c r="AW161">
        <v>41106</v>
      </c>
      <c r="AX161">
        <v>0</v>
      </c>
      <c r="AY161">
        <v>47085</v>
      </c>
      <c r="AZ161">
        <v>23893</v>
      </c>
      <c r="BA161">
        <v>0</v>
      </c>
      <c r="BB161">
        <v>0</v>
      </c>
      <c r="BC161">
        <v>47467</v>
      </c>
      <c r="BD161">
        <v>0</v>
      </c>
      <c r="BE161">
        <v>0</v>
      </c>
      <c r="BF161">
        <v>2957</v>
      </c>
      <c r="BG161">
        <v>0</v>
      </c>
      <c r="BH161">
        <v>0</v>
      </c>
      <c r="BI161">
        <v>0</v>
      </c>
      <c r="BJ161">
        <v>0</v>
      </c>
      <c r="BK161">
        <v>0</v>
      </c>
      <c r="BL161">
        <v>14701</v>
      </c>
      <c r="BM161">
        <v>0</v>
      </c>
      <c r="BN161">
        <v>0</v>
      </c>
      <c r="BO161">
        <v>69422</v>
      </c>
      <c r="BP161">
        <v>2276710</v>
      </c>
      <c r="BQ161">
        <v>0</v>
      </c>
      <c r="BR161">
        <v>0</v>
      </c>
      <c r="BS161">
        <v>0</v>
      </c>
      <c r="BU161">
        <v>0</v>
      </c>
      <c r="BV161">
        <v>0</v>
      </c>
      <c r="BW161">
        <v>192836</v>
      </c>
      <c r="BX161">
        <v>43165</v>
      </c>
      <c r="BY161">
        <v>98436</v>
      </c>
      <c r="BZ161">
        <v>12896</v>
      </c>
      <c r="CA161">
        <v>0</v>
      </c>
      <c r="CB161">
        <v>10307</v>
      </c>
      <c r="CC161">
        <v>0</v>
      </c>
      <c r="CD161">
        <v>0</v>
      </c>
      <c r="CF161">
        <v>47339</v>
      </c>
      <c r="CG161">
        <v>36105</v>
      </c>
      <c r="CH161">
        <v>0</v>
      </c>
      <c r="CI161">
        <v>31868</v>
      </c>
      <c r="CK161">
        <v>0</v>
      </c>
    </row>
    <row r="162" spans="1:89" x14ac:dyDescent="0.3">
      <c r="A162" s="155">
        <v>599</v>
      </c>
      <c r="B162" t="s">
        <v>340</v>
      </c>
      <c r="D162">
        <v>0</v>
      </c>
      <c r="E162">
        <v>0</v>
      </c>
      <c r="F162">
        <v>0</v>
      </c>
      <c r="G162">
        <v>0</v>
      </c>
      <c r="I162">
        <v>476272</v>
      </c>
      <c r="J162">
        <v>90511</v>
      </c>
      <c r="K162">
        <v>791529</v>
      </c>
      <c r="L162">
        <v>0</v>
      </c>
      <c r="M162">
        <v>2136506</v>
      </c>
      <c r="N162">
        <v>311897</v>
      </c>
      <c r="O162">
        <v>8963833</v>
      </c>
      <c r="P162">
        <v>0</v>
      </c>
      <c r="Q162">
        <v>0</v>
      </c>
      <c r="R162">
        <v>169267</v>
      </c>
      <c r="S162">
        <v>10377</v>
      </c>
      <c r="T162">
        <v>0</v>
      </c>
      <c r="U162">
        <v>0</v>
      </c>
      <c r="V162">
        <v>0</v>
      </c>
      <c r="W162">
        <v>33437</v>
      </c>
      <c r="X162">
        <v>7312232</v>
      </c>
      <c r="Y162">
        <v>187209000</v>
      </c>
      <c r="Z162">
        <v>499477</v>
      </c>
      <c r="AA162">
        <v>0</v>
      </c>
      <c r="AB162">
        <v>556925</v>
      </c>
      <c r="AD162">
        <v>241967</v>
      </c>
      <c r="AE162">
        <v>0</v>
      </c>
      <c r="AF162">
        <v>3126220</v>
      </c>
      <c r="AG162">
        <v>0</v>
      </c>
      <c r="AH162">
        <v>0</v>
      </c>
      <c r="AI162">
        <v>978025</v>
      </c>
      <c r="AJ162">
        <v>0</v>
      </c>
      <c r="AK162">
        <v>130917</v>
      </c>
      <c r="AL162">
        <v>0</v>
      </c>
      <c r="AN162">
        <v>0</v>
      </c>
      <c r="AP162">
        <v>0</v>
      </c>
      <c r="AQ162">
        <v>11546707</v>
      </c>
      <c r="AR162">
        <v>0</v>
      </c>
      <c r="AS162">
        <v>0</v>
      </c>
      <c r="AT162">
        <v>886769</v>
      </c>
      <c r="AU162">
        <v>62429</v>
      </c>
      <c r="AV162">
        <v>8054</v>
      </c>
      <c r="AW162">
        <v>2521879</v>
      </c>
      <c r="AX162">
        <v>0</v>
      </c>
      <c r="AY162">
        <v>895115</v>
      </c>
      <c r="AZ162">
        <v>614720</v>
      </c>
      <c r="BA162">
        <v>0</v>
      </c>
      <c r="BB162">
        <v>0</v>
      </c>
      <c r="BC162">
        <v>573604</v>
      </c>
      <c r="BD162">
        <v>0</v>
      </c>
      <c r="BE162">
        <v>652962</v>
      </c>
      <c r="BF162">
        <v>138645</v>
      </c>
      <c r="BG162">
        <v>0</v>
      </c>
      <c r="BH162">
        <v>0</v>
      </c>
      <c r="BI162">
        <v>331475</v>
      </c>
      <c r="BJ162">
        <v>0</v>
      </c>
      <c r="BK162">
        <v>0</v>
      </c>
      <c r="BL162">
        <v>286846</v>
      </c>
      <c r="BM162">
        <v>0</v>
      </c>
      <c r="BN162">
        <v>0</v>
      </c>
      <c r="BO162">
        <v>1690679</v>
      </c>
      <c r="BP162">
        <v>37462690</v>
      </c>
      <c r="BQ162">
        <v>0</v>
      </c>
      <c r="BR162">
        <v>0</v>
      </c>
      <c r="BS162">
        <v>13254</v>
      </c>
      <c r="BU162">
        <v>124231</v>
      </c>
      <c r="BV162">
        <v>0</v>
      </c>
      <c r="BW162">
        <v>2967042</v>
      </c>
      <c r="BX162">
        <v>642197</v>
      </c>
      <c r="BY162">
        <v>2206240</v>
      </c>
      <c r="BZ162">
        <v>428289</v>
      </c>
      <c r="CA162">
        <v>0</v>
      </c>
      <c r="CB162">
        <v>444725</v>
      </c>
      <c r="CC162">
        <v>0</v>
      </c>
      <c r="CD162">
        <v>0</v>
      </c>
      <c r="CF162">
        <v>709792</v>
      </c>
      <c r="CG162">
        <v>1279542</v>
      </c>
      <c r="CH162">
        <v>208161</v>
      </c>
      <c r="CI162">
        <v>368597</v>
      </c>
      <c r="CK162">
        <v>0</v>
      </c>
    </row>
    <row r="163" spans="1:89" x14ac:dyDescent="0.3">
      <c r="A163" s="155">
        <v>602</v>
      </c>
      <c r="B163" t="s">
        <v>342</v>
      </c>
      <c r="D163">
        <v>0</v>
      </c>
      <c r="E163">
        <v>0</v>
      </c>
      <c r="F163">
        <v>0</v>
      </c>
      <c r="G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D163">
        <v>0</v>
      </c>
      <c r="AE163">
        <v>0</v>
      </c>
      <c r="AF163">
        <v>0</v>
      </c>
      <c r="AG163">
        <v>0</v>
      </c>
      <c r="AH163">
        <v>0</v>
      </c>
      <c r="AI163">
        <v>0</v>
      </c>
      <c r="AJ163">
        <v>0</v>
      </c>
      <c r="AK163">
        <v>0</v>
      </c>
      <c r="AL163">
        <v>0</v>
      </c>
      <c r="AN163">
        <v>0</v>
      </c>
      <c r="AP163">
        <v>0</v>
      </c>
      <c r="AQ163">
        <v>0</v>
      </c>
      <c r="AR163">
        <v>0</v>
      </c>
      <c r="AS163">
        <v>0</v>
      </c>
      <c r="AT163">
        <v>0</v>
      </c>
      <c r="AU163">
        <v>0</v>
      </c>
      <c r="AV163">
        <v>0</v>
      </c>
      <c r="AW163">
        <v>209876</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U163">
        <v>0</v>
      </c>
      <c r="BV163">
        <v>0</v>
      </c>
      <c r="BW163">
        <v>0</v>
      </c>
      <c r="BX163">
        <v>0</v>
      </c>
      <c r="BY163">
        <v>0</v>
      </c>
      <c r="BZ163">
        <v>0</v>
      </c>
      <c r="CA163">
        <v>0</v>
      </c>
      <c r="CB163">
        <v>0</v>
      </c>
      <c r="CC163">
        <v>0</v>
      </c>
      <c r="CD163">
        <v>0</v>
      </c>
      <c r="CF163">
        <v>0</v>
      </c>
      <c r="CG163">
        <v>0</v>
      </c>
      <c r="CH163">
        <v>0</v>
      </c>
      <c r="CI163">
        <v>0</v>
      </c>
      <c r="CK163">
        <v>0</v>
      </c>
    </row>
    <row r="164" spans="1:89" x14ac:dyDescent="0.3">
      <c r="A164" s="155">
        <v>606</v>
      </c>
      <c r="B164" t="s">
        <v>897</v>
      </c>
      <c r="I164">
        <v>1</v>
      </c>
      <c r="J164">
        <v>1</v>
      </c>
      <c r="M164">
        <v>1</v>
      </c>
      <c r="N164">
        <v>1</v>
      </c>
      <c r="O164">
        <v>1</v>
      </c>
      <c r="T164">
        <v>1</v>
      </c>
      <c r="X164">
        <v>1</v>
      </c>
      <c r="Y164">
        <v>1</v>
      </c>
      <c r="Z164">
        <v>1</v>
      </c>
      <c r="AG164">
        <v>1</v>
      </c>
      <c r="AQ164">
        <v>1</v>
      </c>
      <c r="AT164">
        <v>1</v>
      </c>
      <c r="AW164">
        <v>1</v>
      </c>
      <c r="BO164">
        <v>1</v>
      </c>
      <c r="BP164">
        <v>1</v>
      </c>
      <c r="BW164">
        <v>1</v>
      </c>
      <c r="BX164">
        <v>1</v>
      </c>
      <c r="BY164">
        <v>1</v>
      </c>
      <c r="BZ164">
        <v>1</v>
      </c>
      <c r="CB164">
        <v>1</v>
      </c>
      <c r="CG164">
        <v>1</v>
      </c>
      <c r="CH164">
        <v>1</v>
      </c>
    </row>
    <row r="165" spans="1:89" x14ac:dyDescent="0.3">
      <c r="A165" s="155">
        <v>619</v>
      </c>
      <c r="B165" t="s">
        <v>898</v>
      </c>
      <c r="D165">
        <v>0</v>
      </c>
      <c r="E165">
        <v>0</v>
      </c>
      <c r="F165">
        <v>0</v>
      </c>
      <c r="G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D165">
        <v>0</v>
      </c>
      <c r="AE165">
        <v>0</v>
      </c>
      <c r="AF165">
        <v>0</v>
      </c>
      <c r="AG165">
        <v>0</v>
      </c>
      <c r="AH165">
        <v>0</v>
      </c>
      <c r="AI165">
        <v>0</v>
      </c>
      <c r="AJ165">
        <v>0</v>
      </c>
      <c r="AK165">
        <v>0</v>
      </c>
      <c r="AL165">
        <v>0</v>
      </c>
      <c r="AN165">
        <v>0</v>
      </c>
      <c r="AP165">
        <v>0</v>
      </c>
      <c r="AQ165">
        <v>0</v>
      </c>
      <c r="AR165">
        <v>0</v>
      </c>
      <c r="AS165">
        <v>0</v>
      </c>
      <c r="AT165">
        <v>0</v>
      </c>
      <c r="AU165">
        <v>0</v>
      </c>
      <c r="AV165">
        <v>0</v>
      </c>
      <c r="AW165">
        <v>8.3000000000000007</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U165">
        <v>0</v>
      </c>
      <c r="BV165">
        <v>0</v>
      </c>
      <c r="BW165">
        <v>0</v>
      </c>
      <c r="BX165">
        <v>0</v>
      </c>
      <c r="BY165">
        <v>0</v>
      </c>
      <c r="BZ165">
        <v>0</v>
      </c>
      <c r="CA165">
        <v>0</v>
      </c>
      <c r="CB165">
        <v>0</v>
      </c>
      <c r="CC165">
        <v>0</v>
      </c>
      <c r="CD165">
        <v>0</v>
      </c>
      <c r="CF165">
        <v>0</v>
      </c>
      <c r="CG165">
        <v>0</v>
      </c>
      <c r="CH165">
        <v>0</v>
      </c>
      <c r="CI165">
        <v>0</v>
      </c>
      <c r="CK165">
        <v>0</v>
      </c>
    </row>
    <row r="166" spans="1:89" x14ac:dyDescent="0.3">
      <c r="A166" s="155">
        <v>620</v>
      </c>
      <c r="B166" t="s">
        <v>899</v>
      </c>
      <c r="D166">
        <v>2</v>
      </c>
      <c r="E166">
        <v>2</v>
      </c>
      <c r="F166">
        <v>2</v>
      </c>
      <c r="G166">
        <v>2</v>
      </c>
      <c r="I166">
        <v>1</v>
      </c>
      <c r="J166">
        <v>2</v>
      </c>
      <c r="K166">
        <v>1</v>
      </c>
      <c r="L166">
        <v>2</v>
      </c>
      <c r="M166">
        <v>1</v>
      </c>
      <c r="N166">
        <v>2</v>
      </c>
      <c r="O166">
        <v>2</v>
      </c>
      <c r="P166">
        <v>2</v>
      </c>
      <c r="Q166">
        <v>2</v>
      </c>
      <c r="R166">
        <v>2</v>
      </c>
      <c r="S166">
        <v>2</v>
      </c>
      <c r="T166">
        <v>2</v>
      </c>
      <c r="U166">
        <v>2</v>
      </c>
      <c r="V166">
        <v>2</v>
      </c>
      <c r="W166">
        <v>2</v>
      </c>
      <c r="X166">
        <v>1</v>
      </c>
      <c r="Y166">
        <v>1</v>
      </c>
      <c r="Z166">
        <v>2</v>
      </c>
      <c r="AA166">
        <v>2</v>
      </c>
      <c r="AB166">
        <v>2</v>
      </c>
      <c r="AD166">
        <v>1</v>
      </c>
      <c r="AE166">
        <v>2</v>
      </c>
      <c r="AF166">
        <v>2</v>
      </c>
      <c r="AG166">
        <v>0</v>
      </c>
      <c r="AH166">
        <v>2</v>
      </c>
      <c r="AI166">
        <v>2</v>
      </c>
      <c r="AJ166">
        <v>2</v>
      </c>
      <c r="AK166">
        <v>2</v>
      </c>
      <c r="AL166">
        <v>2</v>
      </c>
      <c r="AN166">
        <v>2</v>
      </c>
      <c r="AP166">
        <v>2</v>
      </c>
      <c r="AQ166">
        <v>1</v>
      </c>
      <c r="AR166">
        <v>2</v>
      </c>
      <c r="AS166">
        <v>2</v>
      </c>
      <c r="AT166">
        <v>1</v>
      </c>
      <c r="AU166">
        <v>0</v>
      </c>
      <c r="AV166">
        <v>2</v>
      </c>
      <c r="AW166">
        <v>1</v>
      </c>
      <c r="AX166">
        <v>2</v>
      </c>
      <c r="AY166">
        <v>2</v>
      </c>
      <c r="AZ166">
        <v>2</v>
      </c>
      <c r="BA166">
        <v>2</v>
      </c>
      <c r="BB166">
        <v>2</v>
      </c>
      <c r="BC166">
        <v>2</v>
      </c>
      <c r="BD166">
        <v>2</v>
      </c>
      <c r="BE166">
        <v>2</v>
      </c>
      <c r="BF166">
        <v>1</v>
      </c>
      <c r="BG166">
        <v>2</v>
      </c>
      <c r="BH166">
        <v>2</v>
      </c>
      <c r="BI166">
        <v>2</v>
      </c>
      <c r="BJ166">
        <v>2</v>
      </c>
      <c r="BK166">
        <v>2</v>
      </c>
      <c r="BL166">
        <v>2</v>
      </c>
      <c r="BM166">
        <v>2</v>
      </c>
      <c r="BN166">
        <v>2</v>
      </c>
      <c r="BO166">
        <v>2</v>
      </c>
      <c r="BP166">
        <v>1</v>
      </c>
      <c r="BQ166">
        <v>2</v>
      </c>
      <c r="BR166">
        <v>2</v>
      </c>
      <c r="BS166">
        <v>2</v>
      </c>
      <c r="BU166">
        <v>1</v>
      </c>
      <c r="BV166">
        <v>2</v>
      </c>
      <c r="BW166">
        <v>2</v>
      </c>
      <c r="BX166">
        <v>2</v>
      </c>
      <c r="BY166">
        <v>2</v>
      </c>
      <c r="BZ166">
        <v>2</v>
      </c>
      <c r="CA166">
        <v>2</v>
      </c>
      <c r="CB166">
        <v>2</v>
      </c>
      <c r="CC166">
        <v>2</v>
      </c>
      <c r="CD166">
        <v>2</v>
      </c>
      <c r="CF166">
        <v>2</v>
      </c>
      <c r="CG166">
        <v>2</v>
      </c>
      <c r="CH166">
        <v>2</v>
      </c>
      <c r="CI166">
        <v>2</v>
      </c>
      <c r="CK166">
        <v>2</v>
      </c>
    </row>
    <row r="167" spans="1:89" x14ac:dyDescent="0.3">
      <c r="A167" s="155">
        <v>621</v>
      </c>
      <c r="B167" t="s">
        <v>900</v>
      </c>
      <c r="D167">
        <v>0</v>
      </c>
      <c r="E167">
        <v>0</v>
      </c>
      <c r="F167">
        <v>0</v>
      </c>
      <c r="G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D167">
        <v>0</v>
      </c>
      <c r="AE167">
        <v>0</v>
      </c>
      <c r="AF167">
        <v>1378008</v>
      </c>
      <c r="AG167">
        <v>0</v>
      </c>
      <c r="AH167">
        <v>-50168</v>
      </c>
      <c r="AI167">
        <v>0</v>
      </c>
      <c r="AJ167">
        <v>0</v>
      </c>
      <c r="AK167">
        <v>0</v>
      </c>
      <c r="AL167">
        <v>0</v>
      </c>
      <c r="AN167">
        <v>831347</v>
      </c>
      <c r="AP167">
        <v>0</v>
      </c>
      <c r="AQ167">
        <v>0</v>
      </c>
      <c r="AR167">
        <v>0</v>
      </c>
      <c r="AS167">
        <v>0</v>
      </c>
      <c r="AT167">
        <v>0</v>
      </c>
      <c r="AU167">
        <v>0</v>
      </c>
      <c r="AV167">
        <v>0</v>
      </c>
      <c r="AW167">
        <v>0</v>
      </c>
      <c r="AX167">
        <v>0</v>
      </c>
      <c r="AY167">
        <v>0</v>
      </c>
      <c r="AZ167">
        <v>0</v>
      </c>
      <c r="BA167">
        <v>0</v>
      </c>
      <c r="BB167">
        <v>0</v>
      </c>
      <c r="BC167">
        <v>283133</v>
      </c>
      <c r="BD167">
        <v>0</v>
      </c>
      <c r="BE167">
        <v>0</v>
      </c>
      <c r="BF167">
        <v>0</v>
      </c>
      <c r="BG167">
        <v>0</v>
      </c>
      <c r="BH167">
        <v>0</v>
      </c>
      <c r="BI167">
        <v>0</v>
      </c>
      <c r="BJ167">
        <v>0</v>
      </c>
      <c r="BK167">
        <v>0</v>
      </c>
      <c r="BL167">
        <v>0</v>
      </c>
      <c r="BM167">
        <v>0</v>
      </c>
      <c r="BN167">
        <v>0</v>
      </c>
      <c r="BO167">
        <v>0</v>
      </c>
      <c r="BP167">
        <v>0</v>
      </c>
      <c r="BQ167">
        <v>0</v>
      </c>
      <c r="BR167">
        <v>0</v>
      </c>
      <c r="BS167">
        <v>0</v>
      </c>
      <c r="BU167">
        <v>0</v>
      </c>
      <c r="BV167">
        <v>0</v>
      </c>
      <c r="BW167">
        <v>0</v>
      </c>
      <c r="BX167">
        <v>0</v>
      </c>
      <c r="BY167">
        <v>16503102</v>
      </c>
      <c r="BZ167">
        <v>0</v>
      </c>
      <c r="CA167">
        <v>0</v>
      </c>
      <c r="CB167">
        <v>0</v>
      </c>
      <c r="CC167">
        <v>0</v>
      </c>
      <c r="CD167">
        <v>0</v>
      </c>
      <c r="CF167">
        <v>0</v>
      </c>
      <c r="CG167">
        <v>0</v>
      </c>
      <c r="CH167">
        <v>0</v>
      </c>
      <c r="CI167">
        <v>0</v>
      </c>
      <c r="CK167">
        <v>0</v>
      </c>
    </row>
    <row r="168" spans="1:89" x14ac:dyDescent="0.3">
      <c r="A168" s="155">
        <v>622</v>
      </c>
      <c r="B168" t="s">
        <v>901</v>
      </c>
      <c r="D168">
        <v>0</v>
      </c>
      <c r="E168">
        <v>75146</v>
      </c>
      <c r="F168">
        <v>15796</v>
      </c>
      <c r="G168">
        <v>13189</v>
      </c>
      <c r="I168">
        <v>558842</v>
      </c>
      <c r="J168">
        <v>0</v>
      </c>
      <c r="K168">
        <v>1457990</v>
      </c>
      <c r="L168">
        <v>122688</v>
      </c>
      <c r="M168">
        <v>1833107</v>
      </c>
      <c r="N168">
        <v>260098</v>
      </c>
      <c r="O168">
        <v>18596846</v>
      </c>
      <c r="P168">
        <v>0</v>
      </c>
      <c r="Q168">
        <v>0</v>
      </c>
      <c r="R168">
        <v>72539</v>
      </c>
      <c r="S168">
        <v>25918</v>
      </c>
      <c r="T168">
        <v>43707</v>
      </c>
      <c r="U168">
        <v>0</v>
      </c>
      <c r="V168">
        <v>0</v>
      </c>
      <c r="W168">
        <v>153973</v>
      </c>
      <c r="X168">
        <v>8559919</v>
      </c>
      <c r="Y168">
        <v>104952000</v>
      </c>
      <c r="Z168">
        <v>595188</v>
      </c>
      <c r="AA168">
        <v>0</v>
      </c>
      <c r="AB168">
        <v>370210</v>
      </c>
      <c r="AD168">
        <v>247982</v>
      </c>
      <c r="AE168">
        <v>49382</v>
      </c>
      <c r="AF168">
        <v>2792525</v>
      </c>
      <c r="AG168">
        <v>0</v>
      </c>
      <c r="AH168">
        <v>73613</v>
      </c>
      <c r="AI168">
        <v>1305550</v>
      </c>
      <c r="AJ168">
        <v>0</v>
      </c>
      <c r="AK168">
        <v>135723</v>
      </c>
      <c r="AL168">
        <v>20704</v>
      </c>
      <c r="AN168">
        <v>34506</v>
      </c>
      <c r="AP168">
        <v>0</v>
      </c>
      <c r="AQ168">
        <v>13190152</v>
      </c>
      <c r="AR168">
        <v>0</v>
      </c>
      <c r="AS168">
        <v>14876</v>
      </c>
      <c r="AT168">
        <v>1027816</v>
      </c>
      <c r="AU168">
        <v>0</v>
      </c>
      <c r="AV168">
        <v>5981</v>
      </c>
      <c r="AW168">
        <v>1588345</v>
      </c>
      <c r="AX168">
        <v>8128</v>
      </c>
      <c r="AY168">
        <v>382632</v>
      </c>
      <c r="AZ168">
        <v>406096</v>
      </c>
      <c r="BA168">
        <v>27758</v>
      </c>
      <c r="BB168">
        <v>0</v>
      </c>
      <c r="BC168">
        <v>684292</v>
      </c>
      <c r="BD168">
        <v>0</v>
      </c>
      <c r="BE168">
        <v>959418</v>
      </c>
      <c r="BF168">
        <v>135877</v>
      </c>
      <c r="BG168">
        <v>0</v>
      </c>
      <c r="BH168">
        <v>0</v>
      </c>
      <c r="BI168">
        <v>215470</v>
      </c>
      <c r="BJ168">
        <v>0</v>
      </c>
      <c r="BK168">
        <v>0</v>
      </c>
      <c r="BL168">
        <v>151979</v>
      </c>
      <c r="BM168">
        <v>0</v>
      </c>
      <c r="BN168">
        <v>0</v>
      </c>
      <c r="BO168">
        <v>1213227</v>
      </c>
      <c r="BP168">
        <v>34170206</v>
      </c>
      <c r="BQ168">
        <v>0</v>
      </c>
      <c r="BR168">
        <v>0</v>
      </c>
      <c r="BS168">
        <v>42021</v>
      </c>
      <c r="BU168">
        <v>58890</v>
      </c>
      <c r="BV168">
        <v>14723</v>
      </c>
      <c r="BW168">
        <v>1746459</v>
      </c>
      <c r="BX168">
        <v>822314</v>
      </c>
      <c r="BY168">
        <v>2772130</v>
      </c>
      <c r="BZ168">
        <v>546267</v>
      </c>
      <c r="CA168">
        <v>15949</v>
      </c>
      <c r="CB168">
        <v>476335</v>
      </c>
      <c r="CC168">
        <v>8588</v>
      </c>
      <c r="CD168">
        <v>49535</v>
      </c>
      <c r="CF168">
        <v>742721</v>
      </c>
      <c r="CG168">
        <v>846698</v>
      </c>
      <c r="CH168">
        <v>187866</v>
      </c>
      <c r="CI168">
        <v>213477</v>
      </c>
      <c r="CK168">
        <v>0</v>
      </c>
    </row>
    <row r="169" spans="1:89" x14ac:dyDescent="0.3">
      <c r="A169" s="155">
        <v>624</v>
      </c>
      <c r="B169" t="s">
        <v>355</v>
      </c>
      <c r="D169">
        <v>2</v>
      </c>
      <c r="E169">
        <v>1</v>
      </c>
      <c r="F169">
        <v>2</v>
      </c>
      <c r="G169">
        <v>1</v>
      </c>
      <c r="I169">
        <v>2</v>
      </c>
      <c r="J169">
        <v>1</v>
      </c>
      <c r="K169">
        <v>1</v>
      </c>
      <c r="L169">
        <v>1</v>
      </c>
      <c r="M169">
        <v>1</v>
      </c>
      <c r="N169">
        <v>2</v>
      </c>
      <c r="O169">
        <v>2</v>
      </c>
      <c r="P169">
        <v>0</v>
      </c>
      <c r="Q169">
        <v>1</v>
      </c>
      <c r="R169">
        <v>1</v>
      </c>
      <c r="S169">
        <v>1</v>
      </c>
      <c r="T169">
        <v>2</v>
      </c>
      <c r="U169">
        <v>1</v>
      </c>
      <c r="V169">
        <v>1</v>
      </c>
      <c r="W169">
        <v>1</v>
      </c>
      <c r="X169">
        <v>1</v>
      </c>
      <c r="Y169">
        <v>1</v>
      </c>
      <c r="Z169">
        <v>1</v>
      </c>
      <c r="AA169">
        <v>1</v>
      </c>
      <c r="AB169">
        <v>1</v>
      </c>
      <c r="AD169">
        <v>1</v>
      </c>
      <c r="AE169">
        <v>2</v>
      </c>
      <c r="AF169">
        <v>2</v>
      </c>
      <c r="AG169">
        <v>1</v>
      </c>
      <c r="AH169">
        <v>1</v>
      </c>
      <c r="AI169">
        <v>0</v>
      </c>
      <c r="AJ169">
        <v>2</v>
      </c>
      <c r="AK169">
        <v>1</v>
      </c>
      <c r="AL169">
        <v>1</v>
      </c>
      <c r="AN169">
        <v>1</v>
      </c>
      <c r="AP169">
        <v>1</v>
      </c>
      <c r="AQ169">
        <v>1</v>
      </c>
      <c r="AR169">
        <v>1</v>
      </c>
      <c r="AS169">
        <v>1</v>
      </c>
      <c r="AT169">
        <v>2</v>
      </c>
      <c r="AU169">
        <v>0</v>
      </c>
      <c r="AV169">
        <v>1</v>
      </c>
      <c r="AW169">
        <v>1</v>
      </c>
      <c r="AX169">
        <v>1</v>
      </c>
      <c r="AY169">
        <v>1</v>
      </c>
      <c r="AZ169">
        <v>1</v>
      </c>
      <c r="BA169">
        <v>1</v>
      </c>
      <c r="BB169">
        <v>2</v>
      </c>
      <c r="BC169">
        <v>1</v>
      </c>
      <c r="BD169">
        <v>1</v>
      </c>
      <c r="BE169">
        <v>1</v>
      </c>
      <c r="BF169">
        <v>1</v>
      </c>
      <c r="BG169">
        <v>1</v>
      </c>
      <c r="BH169">
        <v>2</v>
      </c>
      <c r="BI169">
        <v>1</v>
      </c>
      <c r="BJ169">
        <v>2</v>
      </c>
      <c r="BK169">
        <v>1</v>
      </c>
      <c r="BL169">
        <v>2</v>
      </c>
      <c r="BM169">
        <v>2</v>
      </c>
      <c r="BN169">
        <v>1</v>
      </c>
      <c r="BO169">
        <v>1</v>
      </c>
      <c r="BP169">
        <v>1</v>
      </c>
      <c r="BQ169">
        <v>1</v>
      </c>
      <c r="BR169">
        <v>1</v>
      </c>
      <c r="BS169">
        <v>1</v>
      </c>
      <c r="BU169">
        <v>1</v>
      </c>
      <c r="BV169">
        <v>1</v>
      </c>
      <c r="BW169">
        <v>1</v>
      </c>
      <c r="BX169">
        <v>1</v>
      </c>
      <c r="BY169">
        <v>1</v>
      </c>
      <c r="BZ169">
        <v>2</v>
      </c>
      <c r="CA169">
        <v>2</v>
      </c>
      <c r="CB169">
        <v>1</v>
      </c>
      <c r="CC169">
        <v>1</v>
      </c>
      <c r="CD169">
        <v>1</v>
      </c>
      <c r="CF169">
        <v>2</v>
      </c>
      <c r="CG169">
        <v>1</v>
      </c>
      <c r="CH169">
        <v>1</v>
      </c>
      <c r="CI169">
        <v>0</v>
      </c>
      <c r="CK169">
        <v>1</v>
      </c>
    </row>
    <row r="170" spans="1:89" x14ac:dyDescent="0.3">
      <c r="A170" s="155">
        <v>626</v>
      </c>
      <c r="B170" t="s">
        <v>902</v>
      </c>
      <c r="D170">
        <v>296092</v>
      </c>
      <c r="E170">
        <v>462628</v>
      </c>
      <c r="F170">
        <v>22416</v>
      </c>
      <c r="G170">
        <v>37723</v>
      </c>
      <c r="I170">
        <v>322103</v>
      </c>
      <c r="J170">
        <v>56397</v>
      </c>
      <c r="K170">
        <v>4986821</v>
      </c>
      <c r="L170">
        <v>0</v>
      </c>
      <c r="M170">
        <v>7403096</v>
      </c>
      <c r="N170">
        <v>1661621</v>
      </c>
      <c r="O170">
        <v>86351942</v>
      </c>
      <c r="P170">
        <v>15597</v>
      </c>
      <c r="Q170">
        <v>5455</v>
      </c>
      <c r="R170">
        <v>430828</v>
      </c>
      <c r="S170">
        <v>330492</v>
      </c>
      <c r="T170">
        <v>309214</v>
      </c>
      <c r="U170">
        <v>49412</v>
      </c>
      <c r="V170">
        <v>98943</v>
      </c>
      <c r="W170">
        <v>34749</v>
      </c>
      <c r="X170">
        <v>31601722</v>
      </c>
      <c r="Y170">
        <v>451953000</v>
      </c>
      <c r="Z170">
        <v>1182572</v>
      </c>
      <c r="AA170">
        <v>46768</v>
      </c>
      <c r="AB170">
        <v>1375482</v>
      </c>
      <c r="AD170">
        <v>545476</v>
      </c>
      <c r="AE170">
        <v>211130</v>
      </c>
      <c r="AF170">
        <v>10117769</v>
      </c>
      <c r="AG170">
        <v>3059982</v>
      </c>
      <c r="AH170">
        <v>28561</v>
      </c>
      <c r="AI170">
        <v>1175794</v>
      </c>
      <c r="AJ170">
        <v>96035</v>
      </c>
      <c r="AK170">
        <v>13118</v>
      </c>
      <c r="AL170">
        <v>74103</v>
      </c>
      <c r="AN170">
        <v>10895</v>
      </c>
      <c r="AP170">
        <v>1299</v>
      </c>
      <c r="AQ170">
        <v>42220591</v>
      </c>
      <c r="AR170">
        <v>34454</v>
      </c>
      <c r="AS170">
        <v>238585</v>
      </c>
      <c r="AT170">
        <v>2223529</v>
      </c>
      <c r="AU170">
        <v>140552</v>
      </c>
      <c r="AV170">
        <v>2784</v>
      </c>
      <c r="AW170">
        <v>12732686</v>
      </c>
      <c r="AX170">
        <v>7813</v>
      </c>
      <c r="AY170">
        <v>930256</v>
      </c>
      <c r="AZ170">
        <v>332690</v>
      </c>
      <c r="BA170">
        <v>3008</v>
      </c>
      <c r="BB170">
        <v>2458</v>
      </c>
      <c r="BC170">
        <v>1391659</v>
      </c>
      <c r="BD170">
        <v>29863</v>
      </c>
      <c r="BE170">
        <v>5520651</v>
      </c>
      <c r="BF170">
        <v>53004</v>
      </c>
      <c r="BG170">
        <v>46289</v>
      </c>
      <c r="BH170">
        <v>137827</v>
      </c>
      <c r="BI170">
        <v>434852</v>
      </c>
      <c r="BJ170">
        <v>88109</v>
      </c>
      <c r="BK170">
        <v>237878</v>
      </c>
      <c r="BL170">
        <v>318272</v>
      </c>
      <c r="BM170">
        <v>87603</v>
      </c>
      <c r="BN170">
        <v>4389076</v>
      </c>
      <c r="BO170">
        <v>4564199</v>
      </c>
      <c r="BP170">
        <v>153531950</v>
      </c>
      <c r="BQ170">
        <v>36567</v>
      </c>
      <c r="BR170">
        <v>71909</v>
      </c>
      <c r="BS170">
        <v>109232</v>
      </c>
      <c r="BU170">
        <v>104178</v>
      </c>
      <c r="BV170">
        <v>85629</v>
      </c>
      <c r="BW170">
        <v>2569511</v>
      </c>
      <c r="BX170">
        <v>1559896</v>
      </c>
      <c r="BY170">
        <v>5208852</v>
      </c>
      <c r="BZ170">
        <v>1453894</v>
      </c>
      <c r="CA170">
        <v>49055</v>
      </c>
      <c r="CB170">
        <v>441633</v>
      </c>
      <c r="CC170">
        <v>139435</v>
      </c>
      <c r="CD170">
        <v>90926</v>
      </c>
      <c r="CF170">
        <v>2305334</v>
      </c>
      <c r="CG170">
        <v>3097399</v>
      </c>
      <c r="CH170">
        <v>423956</v>
      </c>
      <c r="CI170">
        <v>1008591</v>
      </c>
      <c r="CK170">
        <v>647</v>
      </c>
    </row>
    <row r="171" spans="1:89" x14ac:dyDescent="0.3">
      <c r="A171" s="155">
        <v>627</v>
      </c>
      <c r="B171" t="s">
        <v>903</v>
      </c>
      <c r="D171">
        <v>0</v>
      </c>
      <c r="E171">
        <v>0</v>
      </c>
      <c r="F171">
        <v>0</v>
      </c>
      <c r="G171">
        <v>0</v>
      </c>
      <c r="I171">
        <v>0</v>
      </c>
      <c r="J171">
        <v>0</v>
      </c>
      <c r="K171">
        <v>0</v>
      </c>
      <c r="L171">
        <v>0</v>
      </c>
      <c r="M171">
        <v>0</v>
      </c>
      <c r="N171">
        <v>0</v>
      </c>
      <c r="O171">
        <v>0</v>
      </c>
      <c r="P171">
        <v>0</v>
      </c>
      <c r="Q171">
        <v>0</v>
      </c>
      <c r="R171">
        <v>79116</v>
      </c>
      <c r="S171">
        <v>0</v>
      </c>
      <c r="T171">
        <v>0</v>
      </c>
      <c r="U171">
        <v>0</v>
      </c>
      <c r="V171">
        <v>0</v>
      </c>
      <c r="W171">
        <v>0</v>
      </c>
      <c r="X171">
        <v>0</v>
      </c>
      <c r="Y171">
        <v>0</v>
      </c>
      <c r="Z171">
        <v>0</v>
      </c>
      <c r="AA171">
        <v>0</v>
      </c>
      <c r="AB171">
        <v>0</v>
      </c>
      <c r="AD171">
        <v>0</v>
      </c>
      <c r="AE171">
        <v>0</v>
      </c>
      <c r="AF171">
        <v>2136189</v>
      </c>
      <c r="AG171">
        <v>0</v>
      </c>
      <c r="AH171">
        <v>0</v>
      </c>
      <c r="AI171">
        <v>0</v>
      </c>
      <c r="AJ171">
        <v>0</v>
      </c>
      <c r="AK171">
        <v>0</v>
      </c>
      <c r="AL171">
        <v>0</v>
      </c>
      <c r="AN171">
        <v>0</v>
      </c>
      <c r="AP171">
        <v>0</v>
      </c>
      <c r="AQ171">
        <v>0</v>
      </c>
      <c r="AR171">
        <v>0</v>
      </c>
      <c r="AS171">
        <v>0</v>
      </c>
      <c r="AT171">
        <v>0</v>
      </c>
      <c r="AU171">
        <v>0</v>
      </c>
      <c r="AV171">
        <v>0</v>
      </c>
      <c r="AW171">
        <v>0</v>
      </c>
      <c r="AX171">
        <v>0</v>
      </c>
      <c r="AY171">
        <v>0</v>
      </c>
      <c r="AZ171">
        <v>0</v>
      </c>
      <c r="BA171">
        <v>0</v>
      </c>
      <c r="BB171">
        <v>0</v>
      </c>
      <c r="BC171">
        <v>0</v>
      </c>
      <c r="BD171">
        <v>0</v>
      </c>
      <c r="BE171">
        <v>969800</v>
      </c>
      <c r="BF171">
        <v>0</v>
      </c>
      <c r="BG171">
        <v>0</v>
      </c>
      <c r="BH171">
        <v>0</v>
      </c>
      <c r="BI171">
        <v>0</v>
      </c>
      <c r="BJ171">
        <v>0</v>
      </c>
      <c r="BK171">
        <v>0</v>
      </c>
      <c r="BL171">
        <v>0</v>
      </c>
      <c r="BM171">
        <v>0</v>
      </c>
      <c r="BN171">
        <v>0</v>
      </c>
      <c r="BO171">
        <v>0</v>
      </c>
      <c r="BP171">
        <v>0</v>
      </c>
      <c r="BQ171">
        <v>0</v>
      </c>
      <c r="BR171">
        <v>0</v>
      </c>
      <c r="BS171">
        <v>0</v>
      </c>
      <c r="BU171">
        <v>0</v>
      </c>
      <c r="BV171">
        <v>0</v>
      </c>
      <c r="BW171">
        <v>0</v>
      </c>
      <c r="BX171">
        <v>0</v>
      </c>
      <c r="BY171">
        <v>0</v>
      </c>
      <c r="BZ171">
        <v>0</v>
      </c>
      <c r="CA171">
        <v>0</v>
      </c>
      <c r="CB171">
        <v>0</v>
      </c>
      <c r="CC171">
        <v>0</v>
      </c>
      <c r="CD171">
        <v>62100</v>
      </c>
      <c r="CF171">
        <v>0</v>
      </c>
      <c r="CG171">
        <v>0</v>
      </c>
      <c r="CH171">
        <v>0</v>
      </c>
      <c r="CI171">
        <v>0</v>
      </c>
      <c r="CK171">
        <v>0</v>
      </c>
    </row>
    <row r="172" spans="1:89" x14ac:dyDescent="0.3">
      <c r="A172" s="155">
        <v>628</v>
      </c>
      <c r="B172" t="s">
        <v>904</v>
      </c>
      <c r="D172">
        <v>0</v>
      </c>
      <c r="E172">
        <v>16300</v>
      </c>
      <c r="F172">
        <v>318</v>
      </c>
      <c r="G172">
        <v>1500</v>
      </c>
      <c r="I172">
        <v>0</v>
      </c>
      <c r="J172">
        <v>0</v>
      </c>
      <c r="K172">
        <v>0</v>
      </c>
      <c r="L172">
        <v>0</v>
      </c>
      <c r="M172">
        <v>650529</v>
      </c>
      <c r="N172">
        <v>17000</v>
      </c>
      <c r="O172">
        <v>8722819</v>
      </c>
      <c r="P172">
        <v>0</v>
      </c>
      <c r="Q172">
        <v>690</v>
      </c>
      <c r="R172">
        <v>8022</v>
      </c>
      <c r="S172">
        <v>4655</v>
      </c>
      <c r="T172">
        <v>10202</v>
      </c>
      <c r="U172">
        <v>0</v>
      </c>
      <c r="V172">
        <v>0</v>
      </c>
      <c r="W172">
        <v>0</v>
      </c>
      <c r="X172">
        <v>2638312</v>
      </c>
      <c r="Y172">
        <v>30658000</v>
      </c>
      <c r="Z172">
        <v>214217</v>
      </c>
      <c r="AA172">
        <v>0</v>
      </c>
      <c r="AB172">
        <v>63067</v>
      </c>
      <c r="AD172">
        <v>82400</v>
      </c>
      <c r="AE172">
        <v>5496</v>
      </c>
      <c r="AF172">
        <v>402965</v>
      </c>
      <c r="AG172">
        <v>70075</v>
      </c>
      <c r="AH172">
        <v>0</v>
      </c>
      <c r="AI172">
        <v>211000</v>
      </c>
      <c r="AJ172">
        <v>1689</v>
      </c>
      <c r="AK172">
        <v>8050</v>
      </c>
      <c r="AL172">
        <v>2479</v>
      </c>
      <c r="AN172">
        <v>2375</v>
      </c>
      <c r="AP172">
        <v>0</v>
      </c>
      <c r="AQ172">
        <v>3269033</v>
      </c>
      <c r="AR172">
        <v>0</v>
      </c>
      <c r="AS172">
        <v>0</v>
      </c>
      <c r="AT172">
        <v>178034</v>
      </c>
      <c r="AU172">
        <v>8200</v>
      </c>
      <c r="AV172">
        <v>0</v>
      </c>
      <c r="AW172">
        <v>781578</v>
      </c>
      <c r="AX172">
        <v>0</v>
      </c>
      <c r="AY172">
        <v>29855</v>
      </c>
      <c r="AZ172">
        <v>30219</v>
      </c>
      <c r="BA172">
        <v>2456</v>
      </c>
      <c r="BB172">
        <v>0</v>
      </c>
      <c r="BC172">
        <v>0</v>
      </c>
      <c r="BD172">
        <v>0</v>
      </c>
      <c r="BE172">
        <v>439252</v>
      </c>
      <c r="BF172">
        <v>25552</v>
      </c>
      <c r="BG172">
        <v>0</v>
      </c>
      <c r="BH172">
        <v>0</v>
      </c>
      <c r="BI172">
        <v>50320</v>
      </c>
      <c r="BJ172">
        <v>0</v>
      </c>
      <c r="BK172">
        <v>0</v>
      </c>
      <c r="BL172">
        <v>5000</v>
      </c>
      <c r="BM172">
        <v>0</v>
      </c>
      <c r="BN172">
        <v>0</v>
      </c>
      <c r="BO172">
        <v>306716</v>
      </c>
      <c r="BP172">
        <v>6053727</v>
      </c>
      <c r="BQ172">
        <v>0</v>
      </c>
      <c r="BR172">
        <v>0</v>
      </c>
      <c r="BS172">
        <v>5629</v>
      </c>
      <c r="BU172">
        <v>0</v>
      </c>
      <c r="BV172">
        <v>0</v>
      </c>
      <c r="BW172">
        <v>0</v>
      </c>
      <c r="BX172">
        <v>85000</v>
      </c>
      <c r="BY172">
        <v>154523</v>
      </c>
      <c r="BZ172">
        <v>97817</v>
      </c>
      <c r="CA172">
        <v>1400</v>
      </c>
      <c r="CB172">
        <v>130269</v>
      </c>
      <c r="CC172">
        <v>0</v>
      </c>
      <c r="CD172">
        <v>9452</v>
      </c>
      <c r="CF172">
        <v>0</v>
      </c>
      <c r="CG172">
        <v>60000</v>
      </c>
      <c r="CH172">
        <v>12278</v>
      </c>
      <c r="CI172">
        <v>62460</v>
      </c>
      <c r="CK172">
        <v>0</v>
      </c>
    </row>
    <row r="173" spans="1:89" x14ac:dyDescent="0.3">
      <c r="A173" s="155">
        <v>629</v>
      </c>
      <c r="B173" t="s">
        <v>905</v>
      </c>
      <c r="D173">
        <v>0</v>
      </c>
      <c r="E173">
        <v>0</v>
      </c>
      <c r="F173">
        <v>0</v>
      </c>
      <c r="G173">
        <v>0</v>
      </c>
      <c r="I173">
        <v>0</v>
      </c>
      <c r="J173">
        <v>0</v>
      </c>
      <c r="K173">
        <v>0</v>
      </c>
      <c r="L173">
        <v>0</v>
      </c>
      <c r="M173">
        <v>85522</v>
      </c>
      <c r="N173">
        <v>0</v>
      </c>
      <c r="O173">
        <v>0</v>
      </c>
      <c r="P173">
        <v>0</v>
      </c>
      <c r="Q173">
        <v>0</v>
      </c>
      <c r="R173">
        <v>0</v>
      </c>
      <c r="S173">
        <v>0</v>
      </c>
      <c r="T173">
        <v>0</v>
      </c>
      <c r="U173">
        <v>0</v>
      </c>
      <c r="V173">
        <v>0</v>
      </c>
      <c r="W173">
        <v>0</v>
      </c>
      <c r="X173">
        <v>0</v>
      </c>
      <c r="Y173">
        <v>0</v>
      </c>
      <c r="Z173">
        <v>0</v>
      </c>
      <c r="AA173">
        <v>0</v>
      </c>
      <c r="AB173">
        <v>0</v>
      </c>
      <c r="AD173">
        <v>0</v>
      </c>
      <c r="AE173">
        <v>0</v>
      </c>
      <c r="AF173">
        <v>0</v>
      </c>
      <c r="AG173">
        <v>0</v>
      </c>
      <c r="AH173">
        <v>0</v>
      </c>
      <c r="AI173">
        <v>0</v>
      </c>
      <c r="AJ173">
        <v>0</v>
      </c>
      <c r="AK173">
        <v>0</v>
      </c>
      <c r="AL173">
        <v>0</v>
      </c>
      <c r="AN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U173">
        <v>0</v>
      </c>
      <c r="BV173">
        <v>0</v>
      </c>
      <c r="BW173">
        <v>0</v>
      </c>
      <c r="BX173">
        <v>0</v>
      </c>
      <c r="BY173">
        <v>0</v>
      </c>
      <c r="BZ173">
        <v>0</v>
      </c>
      <c r="CA173">
        <v>0</v>
      </c>
      <c r="CB173">
        <v>0</v>
      </c>
      <c r="CC173">
        <v>0</v>
      </c>
      <c r="CD173">
        <v>0</v>
      </c>
      <c r="CF173">
        <v>0</v>
      </c>
      <c r="CG173">
        <v>0</v>
      </c>
      <c r="CH173">
        <v>0</v>
      </c>
      <c r="CI173">
        <v>0</v>
      </c>
      <c r="CK173">
        <v>0</v>
      </c>
    </row>
    <row r="174" spans="1:89" x14ac:dyDescent="0.3">
      <c r="A174" s="155">
        <v>630</v>
      </c>
      <c r="B174" t="s">
        <v>906</v>
      </c>
      <c r="D174">
        <v>0</v>
      </c>
      <c r="E174">
        <v>235659</v>
      </c>
      <c r="F174">
        <v>0</v>
      </c>
      <c r="G174">
        <v>0</v>
      </c>
      <c r="I174">
        <v>34286</v>
      </c>
      <c r="J174">
        <v>0</v>
      </c>
      <c r="K174">
        <v>2717056</v>
      </c>
      <c r="L174">
        <v>0</v>
      </c>
      <c r="M174">
        <v>42070</v>
      </c>
      <c r="N174">
        <v>1303273</v>
      </c>
      <c r="O174">
        <v>68000</v>
      </c>
      <c r="P174">
        <v>14583</v>
      </c>
      <c r="Q174">
        <v>0</v>
      </c>
      <c r="R174">
        <v>268679</v>
      </c>
      <c r="S174">
        <v>1000</v>
      </c>
      <c r="T174">
        <v>0</v>
      </c>
      <c r="U174">
        <v>40305</v>
      </c>
      <c r="V174">
        <v>0</v>
      </c>
      <c r="W174">
        <v>0</v>
      </c>
      <c r="X174">
        <v>4709744</v>
      </c>
      <c r="Y174">
        <v>34478000</v>
      </c>
      <c r="Z174">
        <v>0</v>
      </c>
      <c r="AA174">
        <v>0</v>
      </c>
      <c r="AB174">
        <v>812129</v>
      </c>
      <c r="AD174">
        <v>0</v>
      </c>
      <c r="AE174">
        <v>0</v>
      </c>
      <c r="AF174">
        <v>3965712</v>
      </c>
      <c r="AG174">
        <v>1764</v>
      </c>
      <c r="AH174">
        <v>3738</v>
      </c>
      <c r="AI174">
        <v>0</v>
      </c>
      <c r="AJ174">
        <v>0</v>
      </c>
      <c r="AK174">
        <v>0</v>
      </c>
      <c r="AL174">
        <v>1056</v>
      </c>
      <c r="AN174">
        <v>0</v>
      </c>
      <c r="AP174">
        <v>0</v>
      </c>
      <c r="AQ174">
        <v>4076769</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51972</v>
      </c>
      <c r="BK174">
        <v>131252</v>
      </c>
      <c r="BL174">
        <v>0</v>
      </c>
      <c r="BM174">
        <v>0</v>
      </c>
      <c r="BN174">
        <v>591453</v>
      </c>
      <c r="BO174">
        <v>0</v>
      </c>
      <c r="BP174">
        <v>0</v>
      </c>
      <c r="BQ174">
        <v>35876</v>
      </c>
      <c r="BR174">
        <v>70650</v>
      </c>
      <c r="BS174">
        <v>0</v>
      </c>
      <c r="BU174">
        <v>0</v>
      </c>
      <c r="BV174">
        <v>0</v>
      </c>
      <c r="BW174">
        <v>0</v>
      </c>
      <c r="BX174">
        <v>0</v>
      </c>
      <c r="BY174">
        <v>0</v>
      </c>
      <c r="BZ174">
        <v>0</v>
      </c>
      <c r="CA174">
        <v>0</v>
      </c>
      <c r="CB174">
        <v>0</v>
      </c>
      <c r="CC174">
        <v>132578</v>
      </c>
      <c r="CD174">
        <v>0</v>
      </c>
      <c r="CF174">
        <v>0</v>
      </c>
      <c r="CG174">
        <v>0</v>
      </c>
      <c r="CH174">
        <v>0</v>
      </c>
      <c r="CI174">
        <v>0</v>
      </c>
      <c r="CK174">
        <v>0</v>
      </c>
    </row>
    <row r="175" spans="1:89" x14ac:dyDescent="0.3">
      <c r="A175" s="155">
        <v>631</v>
      </c>
      <c r="B175" t="s">
        <v>907</v>
      </c>
      <c r="D175">
        <v>0</v>
      </c>
      <c r="E175">
        <v>0</v>
      </c>
      <c r="F175">
        <v>0</v>
      </c>
      <c r="G175">
        <v>0</v>
      </c>
      <c r="I175">
        <v>0</v>
      </c>
      <c r="J175">
        <v>0</v>
      </c>
      <c r="K175">
        <v>0</v>
      </c>
      <c r="L175">
        <v>0</v>
      </c>
      <c r="M175">
        <v>294451</v>
      </c>
      <c r="N175">
        <v>0</v>
      </c>
      <c r="O175">
        <v>0</v>
      </c>
      <c r="P175">
        <v>0</v>
      </c>
      <c r="Q175">
        <v>0</v>
      </c>
      <c r="R175">
        <v>0</v>
      </c>
      <c r="S175">
        <v>0</v>
      </c>
      <c r="T175">
        <v>0</v>
      </c>
      <c r="U175">
        <v>0</v>
      </c>
      <c r="V175">
        <v>0</v>
      </c>
      <c r="W175">
        <v>0</v>
      </c>
      <c r="X175">
        <v>0</v>
      </c>
      <c r="Y175">
        <v>0</v>
      </c>
      <c r="Z175">
        <v>0</v>
      </c>
      <c r="AA175">
        <v>0</v>
      </c>
      <c r="AB175">
        <v>0</v>
      </c>
      <c r="AD175">
        <v>0</v>
      </c>
      <c r="AE175">
        <v>0</v>
      </c>
      <c r="AF175">
        <v>0</v>
      </c>
      <c r="AG175">
        <v>0</v>
      </c>
      <c r="AH175">
        <v>0</v>
      </c>
      <c r="AI175">
        <v>0</v>
      </c>
      <c r="AJ175">
        <v>0</v>
      </c>
      <c r="AK175">
        <v>0</v>
      </c>
      <c r="AL175">
        <v>0</v>
      </c>
      <c r="AN175">
        <v>0</v>
      </c>
      <c r="AP175">
        <v>0</v>
      </c>
      <c r="AQ175">
        <v>0</v>
      </c>
      <c r="AR175">
        <v>0</v>
      </c>
      <c r="AS175">
        <v>0</v>
      </c>
      <c r="AT175">
        <v>0</v>
      </c>
      <c r="AU175">
        <v>96822</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U175">
        <v>0</v>
      </c>
      <c r="BV175">
        <v>0</v>
      </c>
      <c r="BW175">
        <v>0</v>
      </c>
      <c r="BX175">
        <v>0</v>
      </c>
      <c r="BY175">
        <v>0</v>
      </c>
      <c r="BZ175">
        <v>0</v>
      </c>
      <c r="CA175">
        <v>0</v>
      </c>
      <c r="CB175">
        <v>0</v>
      </c>
      <c r="CC175">
        <v>0</v>
      </c>
      <c r="CD175">
        <v>0</v>
      </c>
      <c r="CF175">
        <v>0</v>
      </c>
      <c r="CG175">
        <v>0</v>
      </c>
      <c r="CH175">
        <v>0</v>
      </c>
      <c r="CI175">
        <v>0</v>
      </c>
      <c r="CK175">
        <v>0</v>
      </c>
    </row>
    <row r="176" spans="1:89" x14ac:dyDescent="0.3">
      <c r="A176" s="155">
        <v>632</v>
      </c>
      <c r="B176" t="s">
        <v>908</v>
      </c>
      <c r="D176">
        <v>0</v>
      </c>
      <c r="E176">
        <v>0</v>
      </c>
      <c r="F176">
        <v>0</v>
      </c>
      <c r="G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D176">
        <v>0</v>
      </c>
      <c r="AE176">
        <v>0</v>
      </c>
      <c r="AF176">
        <v>0</v>
      </c>
      <c r="AG176">
        <v>0</v>
      </c>
      <c r="AH176">
        <v>0</v>
      </c>
      <c r="AI176">
        <v>0</v>
      </c>
      <c r="AJ176">
        <v>0</v>
      </c>
      <c r="AK176">
        <v>0</v>
      </c>
      <c r="AL176">
        <v>0</v>
      </c>
      <c r="AN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U176">
        <v>0</v>
      </c>
      <c r="BV176">
        <v>0</v>
      </c>
      <c r="BW176">
        <v>0</v>
      </c>
      <c r="BX176">
        <v>0</v>
      </c>
      <c r="BY176">
        <v>0</v>
      </c>
      <c r="BZ176">
        <v>0</v>
      </c>
      <c r="CA176">
        <v>0</v>
      </c>
      <c r="CB176">
        <v>0</v>
      </c>
      <c r="CC176">
        <v>0</v>
      </c>
      <c r="CD176">
        <v>0</v>
      </c>
      <c r="CF176">
        <v>0</v>
      </c>
      <c r="CG176">
        <v>0</v>
      </c>
      <c r="CH176">
        <v>0</v>
      </c>
      <c r="CI176">
        <v>0</v>
      </c>
      <c r="CK176">
        <v>0</v>
      </c>
    </row>
    <row r="177" spans="1:89" x14ac:dyDescent="0.3">
      <c r="A177" s="155">
        <v>633</v>
      </c>
      <c r="B177" t="s">
        <v>371</v>
      </c>
      <c r="D177">
        <v>3003</v>
      </c>
      <c r="E177">
        <v>0</v>
      </c>
      <c r="F177">
        <v>22386</v>
      </c>
      <c r="G177">
        <v>198196</v>
      </c>
      <c r="I177">
        <v>445683</v>
      </c>
      <c r="J177">
        <v>0</v>
      </c>
      <c r="K177">
        <v>4352811</v>
      </c>
      <c r="L177">
        <v>0</v>
      </c>
      <c r="M177">
        <v>0</v>
      </c>
      <c r="N177">
        <v>4031623</v>
      </c>
      <c r="O177">
        <v>18419530</v>
      </c>
      <c r="P177">
        <v>0</v>
      </c>
      <c r="Q177">
        <v>0</v>
      </c>
      <c r="R177">
        <v>0</v>
      </c>
      <c r="S177">
        <v>0</v>
      </c>
      <c r="T177">
        <v>0</v>
      </c>
      <c r="U177">
        <v>0</v>
      </c>
      <c r="V177">
        <v>9724</v>
      </c>
      <c r="W177">
        <v>252246</v>
      </c>
      <c r="X177">
        <v>0</v>
      </c>
      <c r="Y177">
        <v>280657000</v>
      </c>
      <c r="Z177">
        <v>1471796</v>
      </c>
      <c r="AA177">
        <v>5301</v>
      </c>
      <c r="AB177">
        <v>0</v>
      </c>
      <c r="AD177">
        <v>356808</v>
      </c>
      <c r="AE177">
        <v>46126</v>
      </c>
      <c r="AF177">
        <v>10205573</v>
      </c>
      <c r="AG177">
        <v>0</v>
      </c>
      <c r="AH177">
        <v>12550</v>
      </c>
      <c r="AI177">
        <v>810635</v>
      </c>
      <c r="AJ177">
        <v>322664</v>
      </c>
      <c r="AK177">
        <v>123272</v>
      </c>
      <c r="AL177">
        <v>83943</v>
      </c>
      <c r="AN177">
        <v>142461</v>
      </c>
      <c r="AP177">
        <v>0</v>
      </c>
      <c r="AQ177">
        <v>5230060</v>
      </c>
      <c r="AR177">
        <v>0</v>
      </c>
      <c r="AS177">
        <v>0</v>
      </c>
      <c r="AT177">
        <v>711957</v>
      </c>
      <c r="AU177">
        <v>121367</v>
      </c>
      <c r="AV177">
        <v>0</v>
      </c>
      <c r="AW177">
        <v>0</v>
      </c>
      <c r="AX177">
        <v>105140</v>
      </c>
      <c r="AY177">
        <v>0</v>
      </c>
      <c r="AZ177">
        <v>0</v>
      </c>
      <c r="BA177">
        <v>61064</v>
      </c>
      <c r="BB177">
        <v>4750</v>
      </c>
      <c r="BC177">
        <v>322153</v>
      </c>
      <c r="BD177">
        <v>0</v>
      </c>
      <c r="BE177">
        <v>0</v>
      </c>
      <c r="BF177">
        <v>323795</v>
      </c>
      <c r="BG177">
        <v>0</v>
      </c>
      <c r="BH177">
        <v>0</v>
      </c>
      <c r="BI177">
        <v>216892</v>
      </c>
      <c r="BJ177">
        <v>0</v>
      </c>
      <c r="BK177">
        <v>201326</v>
      </c>
      <c r="BL177">
        <v>2156669</v>
      </c>
      <c r="BM177">
        <v>104305</v>
      </c>
      <c r="BN177">
        <v>0</v>
      </c>
      <c r="BO177">
        <v>2136184</v>
      </c>
      <c r="BP177">
        <v>42014017</v>
      </c>
      <c r="BQ177">
        <v>0</v>
      </c>
      <c r="BR177">
        <v>70673</v>
      </c>
      <c r="BS177">
        <v>34793</v>
      </c>
      <c r="BU177">
        <v>25850</v>
      </c>
      <c r="BV177">
        <v>0</v>
      </c>
      <c r="BW177">
        <v>2140597</v>
      </c>
      <c r="BX177">
        <v>186285</v>
      </c>
      <c r="BY177">
        <v>2408300</v>
      </c>
      <c r="BZ177">
        <v>296378</v>
      </c>
      <c r="CA177">
        <v>39425</v>
      </c>
      <c r="CB177">
        <v>246755</v>
      </c>
      <c r="CC177">
        <v>56073</v>
      </c>
      <c r="CD177">
        <v>108017</v>
      </c>
      <c r="CF177">
        <v>572647</v>
      </c>
      <c r="CG177">
        <v>0</v>
      </c>
      <c r="CH177">
        <v>159843</v>
      </c>
      <c r="CI177">
        <v>0</v>
      </c>
      <c r="CK177">
        <v>20129</v>
      </c>
    </row>
    <row r="178" spans="1:89" x14ac:dyDescent="0.3">
      <c r="A178" s="155">
        <v>634</v>
      </c>
      <c r="B178" t="s">
        <v>372</v>
      </c>
      <c r="D178">
        <v>0</v>
      </c>
      <c r="E178">
        <v>0</v>
      </c>
      <c r="F178">
        <v>0</v>
      </c>
      <c r="G178">
        <v>0</v>
      </c>
      <c r="I178">
        <v>0</v>
      </c>
      <c r="J178">
        <v>0</v>
      </c>
      <c r="K178">
        <v>0</v>
      </c>
      <c r="L178">
        <v>0</v>
      </c>
      <c r="M178">
        <v>0</v>
      </c>
      <c r="N178">
        <v>3448000</v>
      </c>
      <c r="O178">
        <v>0</v>
      </c>
      <c r="P178">
        <v>0</v>
      </c>
      <c r="Q178">
        <v>0</v>
      </c>
      <c r="R178">
        <v>0</v>
      </c>
      <c r="S178">
        <v>0</v>
      </c>
      <c r="T178">
        <v>0</v>
      </c>
      <c r="U178">
        <v>0</v>
      </c>
      <c r="V178">
        <v>0</v>
      </c>
      <c r="W178">
        <v>0</v>
      </c>
      <c r="X178">
        <v>0</v>
      </c>
      <c r="Y178">
        <v>0</v>
      </c>
      <c r="Z178">
        <v>0</v>
      </c>
      <c r="AA178">
        <v>0</v>
      </c>
      <c r="AB178">
        <v>0</v>
      </c>
      <c r="AD178">
        <v>0</v>
      </c>
      <c r="AE178">
        <v>0</v>
      </c>
      <c r="AF178">
        <v>1021169</v>
      </c>
      <c r="AG178">
        <v>0</v>
      </c>
      <c r="AH178">
        <v>0</v>
      </c>
      <c r="AI178">
        <v>98000</v>
      </c>
      <c r="AJ178">
        <v>0</v>
      </c>
      <c r="AK178">
        <v>0</v>
      </c>
      <c r="AL178">
        <v>0</v>
      </c>
      <c r="AN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141000</v>
      </c>
      <c r="BP178">
        <v>0</v>
      </c>
      <c r="BQ178">
        <v>0</v>
      </c>
      <c r="BR178">
        <v>0</v>
      </c>
      <c r="BS178">
        <v>0</v>
      </c>
      <c r="BU178">
        <v>0</v>
      </c>
      <c r="BV178">
        <v>0</v>
      </c>
      <c r="BW178">
        <v>0</v>
      </c>
      <c r="BX178">
        <v>0</v>
      </c>
      <c r="BY178">
        <v>0</v>
      </c>
      <c r="BZ178">
        <v>0</v>
      </c>
      <c r="CA178">
        <v>0</v>
      </c>
      <c r="CB178">
        <v>0</v>
      </c>
      <c r="CC178">
        <v>0</v>
      </c>
      <c r="CD178">
        <v>36000</v>
      </c>
      <c r="CF178">
        <v>0</v>
      </c>
      <c r="CG178">
        <v>0</v>
      </c>
      <c r="CH178">
        <v>0</v>
      </c>
      <c r="CI178">
        <v>0</v>
      </c>
      <c r="CK178">
        <v>0</v>
      </c>
    </row>
    <row r="179" spans="1:89" x14ac:dyDescent="0.3">
      <c r="A179" s="155">
        <v>635</v>
      </c>
      <c r="B179" t="s">
        <v>373</v>
      </c>
      <c r="D179">
        <v>0</v>
      </c>
      <c r="E179">
        <v>0</v>
      </c>
      <c r="F179">
        <v>2348</v>
      </c>
      <c r="G179">
        <v>1436</v>
      </c>
      <c r="I179">
        <v>49604</v>
      </c>
      <c r="J179">
        <v>0</v>
      </c>
      <c r="K179">
        <v>0</v>
      </c>
      <c r="L179">
        <v>0</v>
      </c>
      <c r="M179">
        <v>0</v>
      </c>
      <c r="N179">
        <v>1000</v>
      </c>
      <c r="O179">
        <v>1498489</v>
      </c>
      <c r="P179">
        <v>0</v>
      </c>
      <c r="Q179">
        <v>0</v>
      </c>
      <c r="R179">
        <v>0</v>
      </c>
      <c r="S179">
        <v>0</v>
      </c>
      <c r="T179">
        <v>0</v>
      </c>
      <c r="U179">
        <v>0</v>
      </c>
      <c r="V179">
        <v>0</v>
      </c>
      <c r="W179">
        <v>0</v>
      </c>
      <c r="X179">
        <v>0</v>
      </c>
      <c r="Y179">
        <v>3295000</v>
      </c>
      <c r="Z179">
        <v>53713</v>
      </c>
      <c r="AA179">
        <v>0</v>
      </c>
      <c r="AB179">
        <v>0</v>
      </c>
      <c r="AD179">
        <v>14500</v>
      </c>
      <c r="AE179">
        <v>1676</v>
      </c>
      <c r="AF179">
        <v>42598</v>
      </c>
      <c r="AG179">
        <v>0</v>
      </c>
      <c r="AH179">
        <v>0</v>
      </c>
      <c r="AI179">
        <v>59000</v>
      </c>
      <c r="AJ179">
        <v>2066</v>
      </c>
      <c r="AK179">
        <v>9231</v>
      </c>
      <c r="AL179">
        <v>0</v>
      </c>
      <c r="AN179">
        <v>1408</v>
      </c>
      <c r="AP179">
        <v>0</v>
      </c>
      <c r="AQ179">
        <v>298952</v>
      </c>
      <c r="AR179">
        <v>0</v>
      </c>
      <c r="AS179">
        <v>0</v>
      </c>
      <c r="AT179">
        <v>30383</v>
      </c>
      <c r="AU179">
        <v>0</v>
      </c>
      <c r="AV179">
        <v>0</v>
      </c>
      <c r="AW179">
        <v>0</v>
      </c>
      <c r="AX179">
        <v>0</v>
      </c>
      <c r="AY179">
        <v>0</v>
      </c>
      <c r="AZ179">
        <v>0</v>
      </c>
      <c r="BA179">
        <v>5252</v>
      </c>
      <c r="BB179">
        <v>0</v>
      </c>
      <c r="BC179">
        <v>0</v>
      </c>
      <c r="BD179">
        <v>0</v>
      </c>
      <c r="BE179">
        <v>0</v>
      </c>
      <c r="BF179">
        <v>28425</v>
      </c>
      <c r="BG179">
        <v>0</v>
      </c>
      <c r="BH179">
        <v>0</v>
      </c>
      <c r="BI179">
        <v>70340</v>
      </c>
      <c r="BJ179">
        <v>0</v>
      </c>
      <c r="BK179">
        <v>0</v>
      </c>
      <c r="BL179">
        <v>2000</v>
      </c>
      <c r="BM179">
        <v>0</v>
      </c>
      <c r="BN179">
        <v>0</v>
      </c>
      <c r="BO179">
        <v>0</v>
      </c>
      <c r="BP179">
        <v>1069374</v>
      </c>
      <c r="BQ179">
        <v>0</v>
      </c>
      <c r="BR179">
        <v>0</v>
      </c>
      <c r="BS179">
        <v>2822</v>
      </c>
      <c r="BU179">
        <v>0</v>
      </c>
      <c r="BV179">
        <v>0</v>
      </c>
      <c r="BW179">
        <v>0</v>
      </c>
      <c r="BX179">
        <v>15281</v>
      </c>
      <c r="BY179">
        <v>27785</v>
      </c>
      <c r="BZ179">
        <v>7713</v>
      </c>
      <c r="CA179">
        <v>3000</v>
      </c>
      <c r="CB179">
        <v>12030</v>
      </c>
      <c r="CC179">
        <v>0</v>
      </c>
      <c r="CD179">
        <v>3373</v>
      </c>
      <c r="CF179">
        <v>34677</v>
      </c>
      <c r="CG179">
        <v>0</v>
      </c>
      <c r="CH179">
        <v>7377</v>
      </c>
      <c r="CI179">
        <v>0</v>
      </c>
      <c r="CK179">
        <v>0</v>
      </c>
    </row>
    <row r="180" spans="1:89" x14ac:dyDescent="0.3">
      <c r="A180" s="155">
        <v>636</v>
      </c>
      <c r="B180" t="s">
        <v>1586</v>
      </c>
      <c r="D180">
        <v>0</v>
      </c>
      <c r="E180">
        <v>0</v>
      </c>
      <c r="F180">
        <v>0</v>
      </c>
      <c r="G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D180">
        <v>0</v>
      </c>
      <c r="AE180">
        <v>0</v>
      </c>
      <c r="AF180">
        <v>0</v>
      </c>
      <c r="AG180">
        <v>0</v>
      </c>
      <c r="AH180">
        <v>0</v>
      </c>
      <c r="AI180">
        <v>0</v>
      </c>
      <c r="AJ180">
        <v>0</v>
      </c>
      <c r="AK180">
        <v>0</v>
      </c>
      <c r="AL180">
        <v>0</v>
      </c>
      <c r="AN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U180">
        <v>0</v>
      </c>
      <c r="BV180">
        <v>0</v>
      </c>
      <c r="BW180">
        <v>0</v>
      </c>
      <c r="BX180">
        <v>0</v>
      </c>
      <c r="BY180">
        <v>0</v>
      </c>
      <c r="BZ180">
        <v>0</v>
      </c>
      <c r="CA180">
        <v>0</v>
      </c>
      <c r="CB180">
        <v>0</v>
      </c>
      <c r="CC180">
        <v>0</v>
      </c>
      <c r="CD180">
        <v>16842</v>
      </c>
      <c r="CF180">
        <v>0</v>
      </c>
      <c r="CG180">
        <v>0</v>
      </c>
      <c r="CH180">
        <v>0</v>
      </c>
      <c r="CI180">
        <v>0</v>
      </c>
      <c r="CK180">
        <v>0</v>
      </c>
    </row>
    <row r="181" spans="1:89" x14ac:dyDescent="0.3">
      <c r="A181" s="155">
        <v>637</v>
      </c>
      <c r="B181" t="s">
        <v>1587</v>
      </c>
      <c r="D181">
        <v>0</v>
      </c>
      <c r="E181">
        <v>0</v>
      </c>
      <c r="F181">
        <v>0</v>
      </c>
      <c r="G181">
        <v>3464</v>
      </c>
      <c r="I181">
        <v>6335</v>
      </c>
      <c r="J181">
        <v>0</v>
      </c>
      <c r="K181">
        <v>1961640</v>
      </c>
      <c r="L181">
        <v>0</v>
      </c>
      <c r="M181">
        <v>0</v>
      </c>
      <c r="N181">
        <v>35736</v>
      </c>
      <c r="O181">
        <v>0</v>
      </c>
      <c r="P181">
        <v>0</v>
      </c>
      <c r="Q181">
        <v>0</v>
      </c>
      <c r="R181">
        <v>0</v>
      </c>
      <c r="S181">
        <v>0</v>
      </c>
      <c r="T181">
        <v>0</v>
      </c>
      <c r="U181">
        <v>0</v>
      </c>
      <c r="V181">
        <v>0</v>
      </c>
      <c r="W181">
        <v>0</v>
      </c>
      <c r="X181">
        <v>0</v>
      </c>
      <c r="Y181">
        <v>0</v>
      </c>
      <c r="Z181">
        <v>81717</v>
      </c>
      <c r="AA181">
        <v>0</v>
      </c>
      <c r="AB181">
        <v>0</v>
      </c>
      <c r="AD181">
        <v>48754</v>
      </c>
      <c r="AE181">
        <v>0</v>
      </c>
      <c r="AF181">
        <v>0</v>
      </c>
      <c r="AG181">
        <v>0</v>
      </c>
      <c r="AH181">
        <v>12550</v>
      </c>
      <c r="AI181">
        <v>0</v>
      </c>
      <c r="AJ181">
        <v>249821</v>
      </c>
      <c r="AK181">
        <v>62876</v>
      </c>
      <c r="AL181">
        <v>3350</v>
      </c>
      <c r="AN181">
        <v>0</v>
      </c>
      <c r="AP181">
        <v>0</v>
      </c>
      <c r="AQ181">
        <v>0</v>
      </c>
      <c r="AR181">
        <v>0</v>
      </c>
      <c r="AS181">
        <v>0</v>
      </c>
      <c r="AT181">
        <v>0</v>
      </c>
      <c r="AU181">
        <v>0</v>
      </c>
      <c r="AV181">
        <v>0</v>
      </c>
      <c r="AW181">
        <v>0</v>
      </c>
      <c r="AX181">
        <v>0</v>
      </c>
      <c r="AY181">
        <v>0</v>
      </c>
      <c r="AZ181">
        <v>0</v>
      </c>
      <c r="BA181">
        <v>44188</v>
      </c>
      <c r="BB181">
        <v>4750</v>
      </c>
      <c r="BC181">
        <v>77254</v>
      </c>
      <c r="BD181">
        <v>0</v>
      </c>
      <c r="BE181">
        <v>0</v>
      </c>
      <c r="BF181">
        <v>48930</v>
      </c>
      <c r="BG181">
        <v>0</v>
      </c>
      <c r="BH181">
        <v>0</v>
      </c>
      <c r="BI181">
        <v>24658</v>
      </c>
      <c r="BJ181">
        <v>0</v>
      </c>
      <c r="BK181">
        <v>20837</v>
      </c>
      <c r="BL181">
        <v>0</v>
      </c>
      <c r="BM181">
        <v>22800</v>
      </c>
      <c r="BN181">
        <v>0</v>
      </c>
      <c r="BO181">
        <v>0</v>
      </c>
      <c r="BP181">
        <v>0</v>
      </c>
      <c r="BQ181">
        <v>0</v>
      </c>
      <c r="BR181">
        <v>3457</v>
      </c>
      <c r="BS181">
        <v>0</v>
      </c>
      <c r="BU181">
        <v>25850</v>
      </c>
      <c r="BV181">
        <v>0</v>
      </c>
      <c r="BW181">
        <v>366045</v>
      </c>
      <c r="BX181">
        <v>0</v>
      </c>
      <c r="BY181">
        <v>19407</v>
      </c>
      <c r="BZ181">
        <v>0</v>
      </c>
      <c r="CA181">
        <v>26515</v>
      </c>
      <c r="CB181">
        <v>41605</v>
      </c>
      <c r="CC181">
        <v>55420</v>
      </c>
      <c r="CD181">
        <v>0</v>
      </c>
      <c r="CF181">
        <v>47783</v>
      </c>
      <c r="CG181">
        <v>0</v>
      </c>
      <c r="CH181">
        <v>43145</v>
      </c>
      <c r="CI181">
        <v>0</v>
      </c>
      <c r="CK181">
        <v>0</v>
      </c>
    </row>
    <row r="182" spans="1:89" x14ac:dyDescent="0.3">
      <c r="A182" s="155">
        <v>638</v>
      </c>
      <c r="B182" t="s">
        <v>1588</v>
      </c>
      <c r="D182">
        <v>0</v>
      </c>
      <c r="E182">
        <v>0</v>
      </c>
      <c r="F182">
        <v>0</v>
      </c>
      <c r="G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D182">
        <v>0</v>
      </c>
      <c r="AE182">
        <v>0</v>
      </c>
      <c r="AF182">
        <v>0</v>
      </c>
      <c r="AG182">
        <v>0</v>
      </c>
      <c r="AH182">
        <v>0</v>
      </c>
      <c r="AI182">
        <v>0</v>
      </c>
      <c r="AJ182">
        <v>0</v>
      </c>
      <c r="AK182">
        <v>0</v>
      </c>
      <c r="AL182">
        <v>0</v>
      </c>
      <c r="AN182">
        <v>0</v>
      </c>
      <c r="AP182">
        <v>0</v>
      </c>
      <c r="AQ182">
        <v>0</v>
      </c>
      <c r="AR182">
        <v>0</v>
      </c>
      <c r="AS182">
        <v>0</v>
      </c>
      <c r="AT182">
        <v>0</v>
      </c>
      <c r="AU182">
        <v>52135</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U182">
        <v>0</v>
      </c>
      <c r="BV182">
        <v>0</v>
      </c>
      <c r="BW182">
        <v>0</v>
      </c>
      <c r="BX182">
        <v>0</v>
      </c>
      <c r="BY182">
        <v>0</v>
      </c>
      <c r="BZ182">
        <v>0</v>
      </c>
      <c r="CA182">
        <v>0</v>
      </c>
      <c r="CB182">
        <v>0</v>
      </c>
      <c r="CC182">
        <v>0</v>
      </c>
      <c r="CD182">
        <v>50249</v>
      </c>
      <c r="CF182">
        <v>0</v>
      </c>
      <c r="CG182">
        <v>0</v>
      </c>
      <c r="CH182">
        <v>0</v>
      </c>
      <c r="CI182">
        <v>0</v>
      </c>
      <c r="CK182">
        <v>0</v>
      </c>
    </row>
    <row r="183" spans="1:89" x14ac:dyDescent="0.3">
      <c r="A183" s="155">
        <v>639</v>
      </c>
      <c r="B183" t="s">
        <v>1589</v>
      </c>
      <c r="D183">
        <v>0</v>
      </c>
      <c r="E183">
        <v>0</v>
      </c>
      <c r="F183">
        <v>0</v>
      </c>
      <c r="G183">
        <v>0</v>
      </c>
      <c r="I183">
        <v>0</v>
      </c>
      <c r="J183">
        <v>0</v>
      </c>
      <c r="K183">
        <v>0</v>
      </c>
      <c r="L183">
        <v>0</v>
      </c>
      <c r="M183">
        <v>0</v>
      </c>
      <c r="N183">
        <v>0</v>
      </c>
      <c r="O183">
        <v>0</v>
      </c>
      <c r="P183">
        <v>0</v>
      </c>
      <c r="Q183">
        <v>0</v>
      </c>
      <c r="R183">
        <v>0</v>
      </c>
      <c r="S183">
        <v>0</v>
      </c>
      <c r="T183">
        <v>0</v>
      </c>
      <c r="U183">
        <v>0</v>
      </c>
      <c r="V183">
        <v>0</v>
      </c>
      <c r="W183">
        <v>0</v>
      </c>
      <c r="X183">
        <v>0</v>
      </c>
      <c r="Y183">
        <v>0</v>
      </c>
      <c r="Z183">
        <v>655367</v>
      </c>
      <c r="AA183">
        <v>0</v>
      </c>
      <c r="AB183">
        <v>0</v>
      </c>
      <c r="AD183">
        <v>0</v>
      </c>
      <c r="AE183">
        <v>0</v>
      </c>
      <c r="AF183">
        <v>2994458</v>
      </c>
      <c r="AG183">
        <v>0</v>
      </c>
      <c r="AH183">
        <v>0</v>
      </c>
      <c r="AI183">
        <v>0</v>
      </c>
      <c r="AJ183">
        <v>0</v>
      </c>
      <c r="AK183">
        <v>0</v>
      </c>
      <c r="AL183">
        <v>0</v>
      </c>
      <c r="AN183">
        <v>0</v>
      </c>
      <c r="AP183">
        <v>0</v>
      </c>
      <c r="AQ183">
        <v>12781324</v>
      </c>
      <c r="AR183">
        <v>0</v>
      </c>
      <c r="AS183">
        <v>0</v>
      </c>
      <c r="AT183">
        <v>0</v>
      </c>
      <c r="AU183">
        <v>0</v>
      </c>
      <c r="AV183">
        <v>0</v>
      </c>
      <c r="AW183">
        <v>1108656</v>
      </c>
      <c r="AX183">
        <v>0</v>
      </c>
      <c r="AY183">
        <v>0</v>
      </c>
      <c r="AZ183">
        <v>0</v>
      </c>
      <c r="BA183">
        <v>0</v>
      </c>
      <c r="BB183">
        <v>0</v>
      </c>
      <c r="BC183">
        <v>723720</v>
      </c>
      <c r="BD183">
        <v>0</v>
      </c>
      <c r="BE183">
        <v>0</v>
      </c>
      <c r="BF183">
        <v>0</v>
      </c>
      <c r="BG183">
        <v>0</v>
      </c>
      <c r="BH183">
        <v>0</v>
      </c>
      <c r="BI183">
        <v>0</v>
      </c>
      <c r="BJ183">
        <v>0</v>
      </c>
      <c r="BK183">
        <v>0</v>
      </c>
      <c r="BL183">
        <v>234258</v>
      </c>
      <c r="BM183">
        <v>0</v>
      </c>
      <c r="BN183">
        <v>0</v>
      </c>
      <c r="BO183">
        <v>0</v>
      </c>
      <c r="BP183">
        <v>0</v>
      </c>
      <c r="BQ183">
        <v>0</v>
      </c>
      <c r="BR183">
        <v>0</v>
      </c>
      <c r="BS183">
        <v>0</v>
      </c>
      <c r="BU183">
        <v>0</v>
      </c>
      <c r="BV183">
        <v>0</v>
      </c>
      <c r="BW183">
        <v>0</v>
      </c>
      <c r="BX183">
        <v>1124418</v>
      </c>
      <c r="BY183">
        <v>5960820</v>
      </c>
      <c r="BZ183">
        <v>0</v>
      </c>
      <c r="CA183">
        <v>0</v>
      </c>
      <c r="CB183">
        <v>0</v>
      </c>
      <c r="CC183">
        <v>0</v>
      </c>
      <c r="CD183">
        <v>0</v>
      </c>
      <c r="CF183">
        <v>0</v>
      </c>
      <c r="CG183">
        <v>0</v>
      </c>
      <c r="CH183">
        <v>572416</v>
      </c>
      <c r="CI183">
        <v>0</v>
      </c>
      <c r="CK183">
        <v>0</v>
      </c>
    </row>
    <row r="184" spans="1:89" x14ac:dyDescent="0.3">
      <c r="A184" s="155">
        <v>640</v>
      </c>
      <c r="B184" t="s">
        <v>1590</v>
      </c>
      <c r="D184">
        <v>0</v>
      </c>
      <c r="E184">
        <v>0</v>
      </c>
      <c r="F184">
        <v>0</v>
      </c>
      <c r="G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D184">
        <v>0</v>
      </c>
      <c r="AE184">
        <v>0</v>
      </c>
      <c r="AF184">
        <v>454396</v>
      </c>
      <c r="AG184">
        <v>0</v>
      </c>
      <c r="AH184">
        <v>0</v>
      </c>
      <c r="AI184">
        <v>0</v>
      </c>
      <c r="AJ184">
        <v>0</v>
      </c>
      <c r="AK184">
        <v>0</v>
      </c>
      <c r="AL184">
        <v>0</v>
      </c>
      <c r="AN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U184">
        <v>0</v>
      </c>
      <c r="BV184">
        <v>0</v>
      </c>
      <c r="BW184">
        <v>0</v>
      </c>
      <c r="BX184">
        <v>0</v>
      </c>
      <c r="BY184">
        <v>0</v>
      </c>
      <c r="BZ184">
        <v>0</v>
      </c>
      <c r="CA184">
        <v>0</v>
      </c>
      <c r="CB184">
        <v>0</v>
      </c>
      <c r="CC184">
        <v>0</v>
      </c>
      <c r="CD184">
        <v>0</v>
      </c>
      <c r="CF184">
        <v>0</v>
      </c>
      <c r="CG184">
        <v>0</v>
      </c>
      <c r="CH184">
        <v>0</v>
      </c>
      <c r="CI184">
        <v>0</v>
      </c>
      <c r="CK184">
        <v>0</v>
      </c>
    </row>
    <row r="185" spans="1:89" x14ac:dyDescent="0.3">
      <c r="A185" s="155">
        <v>641</v>
      </c>
      <c r="B185" t="s">
        <v>1591</v>
      </c>
      <c r="D185">
        <v>0</v>
      </c>
      <c r="E185">
        <v>0</v>
      </c>
      <c r="F185">
        <v>0</v>
      </c>
      <c r="G185">
        <v>0</v>
      </c>
      <c r="I185">
        <v>0</v>
      </c>
      <c r="J185">
        <v>0</v>
      </c>
      <c r="K185">
        <v>0</v>
      </c>
      <c r="L185">
        <v>0</v>
      </c>
      <c r="M185">
        <v>0</v>
      </c>
      <c r="N185">
        <v>0</v>
      </c>
      <c r="O185">
        <v>0</v>
      </c>
      <c r="P185">
        <v>0</v>
      </c>
      <c r="Q185">
        <v>0</v>
      </c>
      <c r="R185">
        <v>0</v>
      </c>
      <c r="S185">
        <v>0</v>
      </c>
      <c r="T185">
        <v>0</v>
      </c>
      <c r="U185">
        <v>0</v>
      </c>
      <c r="V185">
        <v>0</v>
      </c>
      <c r="W185">
        <v>0</v>
      </c>
      <c r="X185">
        <v>0</v>
      </c>
      <c r="Y185">
        <v>0</v>
      </c>
      <c r="Z185">
        <v>44253</v>
      </c>
      <c r="AA185">
        <v>0</v>
      </c>
      <c r="AB185">
        <v>0</v>
      </c>
      <c r="AD185">
        <v>0</v>
      </c>
      <c r="AE185">
        <v>0</v>
      </c>
      <c r="AF185">
        <v>29024</v>
      </c>
      <c r="AG185">
        <v>0</v>
      </c>
      <c r="AH185">
        <v>0</v>
      </c>
      <c r="AI185">
        <v>0</v>
      </c>
      <c r="AJ185">
        <v>0</v>
      </c>
      <c r="AK185">
        <v>0</v>
      </c>
      <c r="AL185">
        <v>0</v>
      </c>
      <c r="AN185">
        <v>0</v>
      </c>
      <c r="AP185">
        <v>0</v>
      </c>
      <c r="AQ185">
        <v>380603</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4000</v>
      </c>
      <c r="BM185">
        <v>0</v>
      </c>
      <c r="BN185">
        <v>0</v>
      </c>
      <c r="BO185">
        <v>0</v>
      </c>
      <c r="BP185">
        <v>0</v>
      </c>
      <c r="BQ185">
        <v>0</v>
      </c>
      <c r="BR185">
        <v>0</v>
      </c>
      <c r="BS185">
        <v>0</v>
      </c>
      <c r="BU185">
        <v>0</v>
      </c>
      <c r="BV185">
        <v>0</v>
      </c>
      <c r="BW185">
        <v>0</v>
      </c>
      <c r="BX185">
        <v>14918</v>
      </c>
      <c r="BY185">
        <v>74704</v>
      </c>
      <c r="BZ185">
        <v>0</v>
      </c>
      <c r="CA185">
        <v>0</v>
      </c>
      <c r="CB185">
        <v>0</v>
      </c>
      <c r="CC185">
        <v>0</v>
      </c>
      <c r="CD185">
        <v>0</v>
      </c>
      <c r="CF185">
        <v>0</v>
      </c>
      <c r="CG185">
        <v>0</v>
      </c>
      <c r="CH185">
        <v>9548</v>
      </c>
      <c r="CI185">
        <v>0</v>
      </c>
      <c r="CK185">
        <v>0</v>
      </c>
    </row>
    <row r="186" spans="1:89" x14ac:dyDescent="0.3">
      <c r="A186" s="155">
        <v>642</v>
      </c>
      <c r="B186" t="s">
        <v>1592</v>
      </c>
      <c r="D186">
        <v>0</v>
      </c>
      <c r="E186">
        <v>0</v>
      </c>
      <c r="F186">
        <v>0</v>
      </c>
      <c r="G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D186">
        <v>0</v>
      </c>
      <c r="AE186">
        <v>0</v>
      </c>
      <c r="AF186">
        <v>0</v>
      </c>
      <c r="AG186">
        <v>0</v>
      </c>
      <c r="AH186">
        <v>0</v>
      </c>
      <c r="AI186">
        <v>0</v>
      </c>
      <c r="AJ186">
        <v>0</v>
      </c>
      <c r="AK186">
        <v>0</v>
      </c>
      <c r="AL186">
        <v>0</v>
      </c>
      <c r="AN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U186">
        <v>0</v>
      </c>
      <c r="BV186">
        <v>0</v>
      </c>
      <c r="BW186">
        <v>0</v>
      </c>
      <c r="BX186">
        <v>0</v>
      </c>
      <c r="BY186">
        <v>0</v>
      </c>
      <c r="BZ186">
        <v>0</v>
      </c>
      <c r="CA186">
        <v>0</v>
      </c>
      <c r="CB186">
        <v>0</v>
      </c>
      <c r="CC186">
        <v>0</v>
      </c>
      <c r="CD186">
        <v>0</v>
      </c>
      <c r="CF186">
        <v>0</v>
      </c>
      <c r="CG186">
        <v>0</v>
      </c>
      <c r="CH186">
        <v>0</v>
      </c>
      <c r="CI186">
        <v>0</v>
      </c>
      <c r="CK186">
        <v>0</v>
      </c>
    </row>
    <row r="187" spans="1:89" x14ac:dyDescent="0.3">
      <c r="A187" s="155">
        <v>643</v>
      </c>
      <c r="B187" t="s">
        <v>1593</v>
      </c>
      <c r="D187">
        <v>0</v>
      </c>
      <c r="E187">
        <v>0</v>
      </c>
      <c r="F187">
        <v>0</v>
      </c>
      <c r="G187">
        <v>0</v>
      </c>
      <c r="I187">
        <v>0</v>
      </c>
      <c r="J187">
        <v>0</v>
      </c>
      <c r="K187">
        <v>0</v>
      </c>
      <c r="L187">
        <v>0</v>
      </c>
      <c r="M187">
        <v>0</v>
      </c>
      <c r="N187">
        <v>0</v>
      </c>
      <c r="O187">
        <v>0</v>
      </c>
      <c r="P187">
        <v>0</v>
      </c>
      <c r="Q187">
        <v>0</v>
      </c>
      <c r="R187">
        <v>0</v>
      </c>
      <c r="S187">
        <v>0</v>
      </c>
      <c r="T187">
        <v>0</v>
      </c>
      <c r="U187">
        <v>0</v>
      </c>
      <c r="V187">
        <v>0</v>
      </c>
      <c r="W187">
        <v>0</v>
      </c>
      <c r="X187">
        <v>0</v>
      </c>
      <c r="Y187">
        <v>0</v>
      </c>
      <c r="Z187">
        <v>150338</v>
      </c>
      <c r="AA187">
        <v>0</v>
      </c>
      <c r="AB187">
        <v>0</v>
      </c>
      <c r="AD187">
        <v>0</v>
      </c>
      <c r="AE187">
        <v>0</v>
      </c>
      <c r="AF187">
        <v>0</v>
      </c>
      <c r="AG187">
        <v>0</v>
      </c>
      <c r="AH187">
        <v>0</v>
      </c>
      <c r="AI187">
        <v>0</v>
      </c>
      <c r="AJ187">
        <v>0</v>
      </c>
      <c r="AK187">
        <v>0</v>
      </c>
      <c r="AL187">
        <v>0</v>
      </c>
      <c r="AN187">
        <v>0</v>
      </c>
      <c r="AP187">
        <v>0</v>
      </c>
      <c r="AQ187">
        <v>0</v>
      </c>
      <c r="AR187">
        <v>0</v>
      </c>
      <c r="AS187">
        <v>0</v>
      </c>
      <c r="AT187">
        <v>0</v>
      </c>
      <c r="AU187">
        <v>0</v>
      </c>
      <c r="AV187">
        <v>0</v>
      </c>
      <c r="AW187">
        <v>160454</v>
      </c>
      <c r="AX187">
        <v>0</v>
      </c>
      <c r="AY187">
        <v>0</v>
      </c>
      <c r="AZ187">
        <v>0</v>
      </c>
      <c r="BA187">
        <v>0</v>
      </c>
      <c r="BB187">
        <v>0</v>
      </c>
      <c r="BC187">
        <v>209184</v>
      </c>
      <c r="BD187">
        <v>0</v>
      </c>
      <c r="BE187">
        <v>0</v>
      </c>
      <c r="BF187">
        <v>0</v>
      </c>
      <c r="BG187">
        <v>0</v>
      </c>
      <c r="BH187">
        <v>0</v>
      </c>
      <c r="BI187">
        <v>0</v>
      </c>
      <c r="BJ187">
        <v>0</v>
      </c>
      <c r="BK187">
        <v>0</v>
      </c>
      <c r="BL187">
        <v>0</v>
      </c>
      <c r="BM187">
        <v>0</v>
      </c>
      <c r="BN187">
        <v>0</v>
      </c>
      <c r="BO187">
        <v>0</v>
      </c>
      <c r="BP187">
        <v>0</v>
      </c>
      <c r="BQ187">
        <v>0</v>
      </c>
      <c r="BR187">
        <v>0</v>
      </c>
      <c r="BS187">
        <v>0</v>
      </c>
      <c r="BU187">
        <v>0</v>
      </c>
      <c r="BV187">
        <v>0</v>
      </c>
      <c r="BW187">
        <v>0</v>
      </c>
      <c r="BX187">
        <v>0</v>
      </c>
      <c r="BY187">
        <v>771375</v>
      </c>
      <c r="BZ187">
        <v>0</v>
      </c>
      <c r="CA187">
        <v>0</v>
      </c>
      <c r="CB187">
        <v>0</v>
      </c>
      <c r="CC187">
        <v>0</v>
      </c>
      <c r="CD187">
        <v>0</v>
      </c>
      <c r="CF187">
        <v>0</v>
      </c>
      <c r="CG187">
        <v>0</v>
      </c>
      <c r="CH187">
        <v>102645</v>
      </c>
      <c r="CI187">
        <v>0</v>
      </c>
      <c r="CK187">
        <v>0</v>
      </c>
    </row>
    <row r="188" spans="1:89" x14ac:dyDescent="0.3">
      <c r="A188" s="155">
        <v>644</v>
      </c>
      <c r="B188" t="s">
        <v>1594</v>
      </c>
      <c r="D188">
        <v>0</v>
      </c>
      <c r="E188">
        <v>0</v>
      </c>
      <c r="F188">
        <v>0</v>
      </c>
      <c r="G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D188">
        <v>0</v>
      </c>
      <c r="AE188">
        <v>0</v>
      </c>
      <c r="AF188">
        <v>0</v>
      </c>
      <c r="AG188">
        <v>0</v>
      </c>
      <c r="AH188">
        <v>0</v>
      </c>
      <c r="AI188">
        <v>0</v>
      </c>
      <c r="AJ188">
        <v>0</v>
      </c>
      <c r="AK188">
        <v>0</v>
      </c>
      <c r="AL188">
        <v>0</v>
      </c>
      <c r="AN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U188">
        <v>0</v>
      </c>
      <c r="BV188">
        <v>0</v>
      </c>
      <c r="BW188">
        <v>0</v>
      </c>
      <c r="BX188">
        <v>0</v>
      </c>
      <c r="BY188">
        <v>0</v>
      </c>
      <c r="BZ188">
        <v>0</v>
      </c>
      <c r="CA188">
        <v>0</v>
      </c>
      <c r="CB188">
        <v>0</v>
      </c>
      <c r="CC188">
        <v>0</v>
      </c>
      <c r="CD188">
        <v>0</v>
      </c>
      <c r="CF188">
        <v>0</v>
      </c>
      <c r="CG188">
        <v>0</v>
      </c>
      <c r="CH188">
        <v>0</v>
      </c>
      <c r="CI188">
        <v>0</v>
      </c>
      <c r="CK188">
        <v>0</v>
      </c>
    </row>
    <row r="189" spans="1:89" x14ac:dyDescent="0.3">
      <c r="A189" s="155">
        <v>645</v>
      </c>
      <c r="B189" t="s">
        <v>384</v>
      </c>
      <c r="D189">
        <v>73084</v>
      </c>
      <c r="E189">
        <v>0</v>
      </c>
      <c r="F189">
        <v>0</v>
      </c>
      <c r="G189">
        <v>0</v>
      </c>
      <c r="I189">
        <v>453793</v>
      </c>
      <c r="J189">
        <v>0</v>
      </c>
      <c r="K189">
        <v>0</v>
      </c>
      <c r="L189">
        <v>291400</v>
      </c>
      <c r="M189">
        <v>2984722</v>
      </c>
      <c r="N189">
        <v>0</v>
      </c>
      <c r="O189">
        <v>43540138</v>
      </c>
      <c r="P189">
        <v>0</v>
      </c>
      <c r="Q189">
        <v>0</v>
      </c>
      <c r="R189">
        <v>0</v>
      </c>
      <c r="S189">
        <v>78837</v>
      </c>
      <c r="T189">
        <v>0</v>
      </c>
      <c r="U189">
        <v>29821</v>
      </c>
      <c r="V189">
        <v>0</v>
      </c>
      <c r="W189">
        <v>300364</v>
      </c>
      <c r="X189">
        <v>2980156</v>
      </c>
      <c r="Y189">
        <v>0</v>
      </c>
      <c r="Z189">
        <v>0</v>
      </c>
      <c r="AA189">
        <v>0</v>
      </c>
      <c r="AB189">
        <v>0</v>
      </c>
      <c r="AD189">
        <v>222396</v>
      </c>
      <c r="AE189">
        <v>0</v>
      </c>
      <c r="AF189">
        <v>9371041</v>
      </c>
      <c r="AG189">
        <v>1852027</v>
      </c>
      <c r="AH189">
        <v>459043</v>
      </c>
      <c r="AI189">
        <v>554189</v>
      </c>
      <c r="AJ189">
        <v>211993</v>
      </c>
      <c r="AK189">
        <v>0</v>
      </c>
      <c r="AL189">
        <v>415440</v>
      </c>
      <c r="AN189">
        <v>0</v>
      </c>
      <c r="AP189">
        <v>0</v>
      </c>
      <c r="AQ189">
        <v>0</v>
      </c>
      <c r="AR189">
        <v>0</v>
      </c>
      <c r="AS189">
        <v>389377</v>
      </c>
      <c r="AT189">
        <v>498304</v>
      </c>
      <c r="AU189">
        <v>126586</v>
      </c>
      <c r="AV189">
        <v>35921</v>
      </c>
      <c r="AW189">
        <v>786592</v>
      </c>
      <c r="AX189">
        <v>0</v>
      </c>
      <c r="AY189">
        <v>143157</v>
      </c>
      <c r="AZ189">
        <v>926178</v>
      </c>
      <c r="BA189">
        <v>3986</v>
      </c>
      <c r="BB189">
        <v>137994</v>
      </c>
      <c r="BC189">
        <v>487104</v>
      </c>
      <c r="BD189">
        <v>0</v>
      </c>
      <c r="BE189">
        <v>4123642</v>
      </c>
      <c r="BF189">
        <v>0</v>
      </c>
      <c r="BG189">
        <v>0</v>
      </c>
      <c r="BH189">
        <v>12443</v>
      </c>
      <c r="BI189">
        <v>0</v>
      </c>
      <c r="BJ189">
        <v>0</v>
      </c>
      <c r="BK189">
        <v>0</v>
      </c>
      <c r="BL189">
        <v>0</v>
      </c>
      <c r="BM189">
        <v>160272</v>
      </c>
      <c r="BN189">
        <v>120000</v>
      </c>
      <c r="BO189">
        <v>360000</v>
      </c>
      <c r="BP189">
        <v>0</v>
      </c>
      <c r="BQ189">
        <v>0</v>
      </c>
      <c r="BR189">
        <v>0</v>
      </c>
      <c r="BS189">
        <v>0</v>
      </c>
      <c r="BU189">
        <v>0</v>
      </c>
      <c r="BV189">
        <v>0</v>
      </c>
      <c r="BW189">
        <v>1000000</v>
      </c>
      <c r="BX189">
        <v>0</v>
      </c>
      <c r="BY189">
        <v>0</v>
      </c>
      <c r="BZ189">
        <v>223471</v>
      </c>
      <c r="CA189">
        <v>0</v>
      </c>
      <c r="CB189">
        <v>557254</v>
      </c>
      <c r="CC189">
        <v>391900</v>
      </c>
      <c r="CD189">
        <v>0</v>
      </c>
      <c r="CF189">
        <v>112249</v>
      </c>
      <c r="CG189">
        <v>0</v>
      </c>
      <c r="CH189">
        <v>125632</v>
      </c>
      <c r="CI189">
        <v>0</v>
      </c>
      <c r="CK189">
        <v>0</v>
      </c>
    </row>
    <row r="190" spans="1:89" x14ac:dyDescent="0.3">
      <c r="A190" s="155">
        <v>646</v>
      </c>
      <c r="B190" t="s">
        <v>359</v>
      </c>
      <c r="D190">
        <v>3232783</v>
      </c>
      <c r="E190">
        <v>1901289</v>
      </c>
      <c r="F190">
        <v>903076</v>
      </c>
      <c r="G190">
        <v>615266</v>
      </c>
      <c r="I190">
        <v>2231307</v>
      </c>
      <c r="J190">
        <v>2013425</v>
      </c>
      <c r="K190">
        <v>6971378</v>
      </c>
      <c r="L190">
        <v>4568566</v>
      </c>
      <c r="M190">
        <v>8365416</v>
      </c>
      <c r="N190">
        <v>1697072</v>
      </c>
      <c r="O190">
        <v>12414568</v>
      </c>
      <c r="P190">
        <v>84477</v>
      </c>
      <c r="Q190">
        <v>284901</v>
      </c>
      <c r="R190">
        <v>1067714</v>
      </c>
      <c r="S190">
        <v>1061810</v>
      </c>
      <c r="T190">
        <v>1250255</v>
      </c>
      <c r="U190">
        <v>265143</v>
      </c>
      <c r="V190">
        <v>296530</v>
      </c>
      <c r="W190">
        <v>1792513</v>
      </c>
      <c r="X190">
        <v>22241270</v>
      </c>
      <c r="Y190">
        <v>125568000</v>
      </c>
      <c r="Z190">
        <v>1220861</v>
      </c>
      <c r="AA190">
        <v>296898</v>
      </c>
      <c r="AB190">
        <v>2403992</v>
      </c>
      <c r="AD190">
        <v>3989005</v>
      </c>
      <c r="AE190">
        <v>2419777</v>
      </c>
      <c r="AF190">
        <v>11110765</v>
      </c>
      <c r="AG190">
        <v>5414532</v>
      </c>
      <c r="AH190">
        <v>2696585</v>
      </c>
      <c r="AI190">
        <v>33818293</v>
      </c>
      <c r="AJ190">
        <v>1045943</v>
      </c>
      <c r="AK190">
        <v>1653073</v>
      </c>
      <c r="AL190">
        <v>314223</v>
      </c>
      <c r="AN190">
        <v>982488</v>
      </c>
      <c r="AP190">
        <v>81287</v>
      </c>
      <c r="AQ190">
        <v>62388124</v>
      </c>
      <c r="AR190">
        <v>311096</v>
      </c>
      <c r="AS190">
        <v>1679257</v>
      </c>
      <c r="AT190">
        <v>8730605</v>
      </c>
      <c r="AU190">
        <v>368083</v>
      </c>
      <c r="AV190">
        <v>1065685</v>
      </c>
      <c r="AW190">
        <v>20103990</v>
      </c>
      <c r="AX190">
        <v>123019</v>
      </c>
      <c r="AY190">
        <v>3067236</v>
      </c>
      <c r="AZ190">
        <v>7942087</v>
      </c>
      <c r="BA190">
        <v>483642</v>
      </c>
      <c r="BB190">
        <v>147235</v>
      </c>
      <c r="BC190">
        <v>2672633</v>
      </c>
      <c r="BD190">
        <v>0</v>
      </c>
      <c r="BE190">
        <v>77875056</v>
      </c>
      <c r="BF190">
        <v>2333565</v>
      </c>
      <c r="BG190">
        <v>834567</v>
      </c>
      <c r="BH190">
        <v>504016</v>
      </c>
      <c r="BI190">
        <v>1425815</v>
      </c>
      <c r="BJ190">
        <v>3040823</v>
      </c>
      <c r="BK190">
        <v>14255</v>
      </c>
      <c r="BL190">
        <v>1976954</v>
      </c>
      <c r="BM190">
        <v>774857</v>
      </c>
      <c r="BN190">
        <v>7549154</v>
      </c>
      <c r="BO190">
        <v>3441740</v>
      </c>
      <c r="BP190">
        <v>73275508</v>
      </c>
      <c r="BQ190">
        <v>59793</v>
      </c>
      <c r="BR190">
        <v>176772</v>
      </c>
      <c r="BS190">
        <v>869511</v>
      </c>
      <c r="BU190">
        <v>1198224</v>
      </c>
      <c r="BV190">
        <v>6426789</v>
      </c>
      <c r="BW190">
        <v>8720082</v>
      </c>
      <c r="BX190">
        <v>2750581</v>
      </c>
      <c r="BY190">
        <v>3456963</v>
      </c>
      <c r="BZ190">
        <v>939125</v>
      </c>
      <c r="CA190">
        <v>666558</v>
      </c>
      <c r="CB190">
        <v>4643012</v>
      </c>
      <c r="CC190">
        <v>430588</v>
      </c>
      <c r="CD190">
        <v>291880</v>
      </c>
      <c r="CF190">
        <v>8229084</v>
      </c>
      <c r="CG190">
        <v>2469853</v>
      </c>
      <c r="CH190">
        <v>-97226</v>
      </c>
      <c r="CI190">
        <v>3312119</v>
      </c>
      <c r="CK190">
        <v>60792</v>
      </c>
    </row>
    <row r="191" spans="1:89" x14ac:dyDescent="0.3">
      <c r="A191" s="155">
        <v>647</v>
      </c>
      <c r="B191" t="s">
        <v>909</v>
      </c>
      <c r="D191">
        <v>0</v>
      </c>
      <c r="E191">
        <v>0</v>
      </c>
      <c r="F191">
        <v>0</v>
      </c>
      <c r="G191">
        <v>0</v>
      </c>
      <c r="I191">
        <v>0</v>
      </c>
      <c r="J191">
        <v>0</v>
      </c>
      <c r="K191">
        <v>0</v>
      </c>
      <c r="L191">
        <v>0</v>
      </c>
      <c r="M191">
        <v>0</v>
      </c>
      <c r="N191">
        <v>0</v>
      </c>
      <c r="O191">
        <v>0</v>
      </c>
      <c r="P191">
        <v>0</v>
      </c>
      <c r="Q191">
        <v>0</v>
      </c>
      <c r="R191">
        <v>0</v>
      </c>
      <c r="S191">
        <v>0</v>
      </c>
      <c r="T191">
        <v>0</v>
      </c>
      <c r="U191">
        <v>0</v>
      </c>
      <c r="V191">
        <v>0</v>
      </c>
      <c r="W191">
        <v>0</v>
      </c>
      <c r="X191">
        <v>10910172</v>
      </c>
      <c r="Y191">
        <v>202009000</v>
      </c>
      <c r="Z191">
        <v>0</v>
      </c>
      <c r="AA191">
        <v>0</v>
      </c>
      <c r="AB191">
        <v>0</v>
      </c>
      <c r="AD191">
        <v>0</v>
      </c>
      <c r="AE191">
        <v>0</v>
      </c>
      <c r="AF191">
        <v>0</v>
      </c>
      <c r="AG191">
        <v>0</v>
      </c>
      <c r="AH191">
        <v>0</v>
      </c>
      <c r="AI191">
        <v>0</v>
      </c>
      <c r="AJ191">
        <v>0</v>
      </c>
      <c r="AK191">
        <v>0</v>
      </c>
      <c r="AL191">
        <v>0</v>
      </c>
      <c r="AN191">
        <v>0</v>
      </c>
      <c r="AP191">
        <v>0</v>
      </c>
      <c r="AQ191">
        <v>0</v>
      </c>
      <c r="AR191">
        <v>0</v>
      </c>
      <c r="AS191">
        <v>0</v>
      </c>
      <c r="AT191">
        <v>0</v>
      </c>
      <c r="AU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43497203</v>
      </c>
      <c r="BQ191">
        <v>0</v>
      </c>
      <c r="BR191">
        <v>0</v>
      </c>
      <c r="BS191">
        <v>0</v>
      </c>
      <c r="BU191">
        <v>0</v>
      </c>
      <c r="BV191">
        <v>0</v>
      </c>
      <c r="BW191">
        <v>0</v>
      </c>
      <c r="BX191">
        <v>0</v>
      </c>
      <c r="BY191">
        <v>0</v>
      </c>
      <c r="BZ191">
        <v>0</v>
      </c>
      <c r="CA191">
        <v>0</v>
      </c>
      <c r="CB191">
        <v>0</v>
      </c>
      <c r="CC191">
        <v>0</v>
      </c>
      <c r="CD191">
        <v>0</v>
      </c>
      <c r="CF191">
        <v>0</v>
      </c>
      <c r="CG191">
        <v>0</v>
      </c>
      <c r="CH191">
        <v>0</v>
      </c>
      <c r="CI191">
        <v>0</v>
      </c>
      <c r="CK191">
        <v>0</v>
      </c>
    </row>
    <row r="192" spans="1:89" x14ac:dyDescent="0.3">
      <c r="A192" s="155">
        <v>648</v>
      </c>
      <c r="B192" t="s">
        <v>597</v>
      </c>
      <c r="D192">
        <v>0</v>
      </c>
      <c r="E192">
        <v>8.7499999999999994E-2</v>
      </c>
      <c r="F192">
        <v>0.47</v>
      </c>
      <c r="G192">
        <v>57.5</v>
      </c>
      <c r="I192">
        <v>0.54</v>
      </c>
      <c r="J192">
        <v>0.21249999999999999</v>
      </c>
      <c r="K192">
        <v>0.215</v>
      </c>
      <c r="L192">
        <v>0.1016</v>
      </c>
      <c r="M192">
        <v>0.60440000000000005</v>
      </c>
      <c r="N192">
        <v>0.505</v>
      </c>
      <c r="O192">
        <v>0.34499999999999997</v>
      </c>
      <c r="P192">
        <v>0.05</v>
      </c>
      <c r="Q192">
        <v>0.32</v>
      </c>
      <c r="R192">
        <v>0</v>
      </c>
      <c r="S192">
        <v>0.57999999999999996</v>
      </c>
      <c r="T192">
        <v>0.14749999999999999</v>
      </c>
      <c r="U192">
        <v>0.2</v>
      </c>
      <c r="V192">
        <v>0</v>
      </c>
      <c r="W192">
        <v>0.62</v>
      </c>
      <c r="X192">
        <v>0.52200000000000002</v>
      </c>
      <c r="Y192">
        <v>0</v>
      </c>
      <c r="Z192">
        <v>0.52</v>
      </c>
      <c r="AA192">
        <v>0.14000000000000001</v>
      </c>
      <c r="AB192">
        <v>0.54</v>
      </c>
      <c r="AD192">
        <v>0.49</v>
      </c>
      <c r="AE192">
        <v>0.61</v>
      </c>
      <c r="AF192">
        <v>0.57999999999999996</v>
      </c>
      <c r="AG192">
        <v>0.15</v>
      </c>
      <c r="AH192">
        <v>0.28000000000000003</v>
      </c>
      <c r="AI192">
        <v>0.4</v>
      </c>
      <c r="AJ192">
        <v>0.43</v>
      </c>
      <c r="AK192">
        <v>0.59</v>
      </c>
      <c r="AL192">
        <v>0.45</v>
      </c>
      <c r="AN192">
        <v>0.60099999999999998</v>
      </c>
      <c r="AP192">
        <v>0.3</v>
      </c>
      <c r="AQ192">
        <v>0.48</v>
      </c>
      <c r="AR192">
        <v>0.19</v>
      </c>
      <c r="AS192">
        <v>0.05</v>
      </c>
      <c r="AT192">
        <v>0.5</v>
      </c>
      <c r="AU192">
        <v>0.47</v>
      </c>
      <c r="AV192">
        <v>0</v>
      </c>
      <c r="AW192">
        <v>0.222</v>
      </c>
      <c r="AX192">
        <v>0.27</v>
      </c>
      <c r="AY192">
        <v>0.47499999999999998</v>
      </c>
      <c r="AZ192">
        <v>0.61499999999999999</v>
      </c>
      <c r="BA192">
        <v>0.5</v>
      </c>
      <c r="BB192">
        <v>0</v>
      </c>
      <c r="BC192">
        <v>0.42</v>
      </c>
      <c r="BD192">
        <v>0.27</v>
      </c>
      <c r="BE192">
        <v>0.28999999999999998</v>
      </c>
      <c r="BF192">
        <v>0.6</v>
      </c>
      <c r="BG192">
        <v>0.21</v>
      </c>
      <c r="BH192">
        <v>0.6</v>
      </c>
      <c r="BI192">
        <v>0.43</v>
      </c>
      <c r="BJ192">
        <v>0</v>
      </c>
      <c r="BK192">
        <v>0.28999999999999998</v>
      </c>
      <c r="BL192">
        <v>0.38</v>
      </c>
      <c r="BM192">
        <v>0.49</v>
      </c>
      <c r="BN192">
        <v>0.22</v>
      </c>
      <c r="BO192">
        <v>0.5</v>
      </c>
      <c r="BP192">
        <v>0.55769999999999997</v>
      </c>
      <c r="BQ192">
        <v>0.18</v>
      </c>
      <c r="BR192">
        <v>0.36</v>
      </c>
      <c r="BS192">
        <v>0.5</v>
      </c>
      <c r="BU192">
        <v>0.66</v>
      </c>
      <c r="BV192">
        <v>0.21</v>
      </c>
      <c r="BW192">
        <v>0</v>
      </c>
      <c r="BX192">
        <v>0.4</v>
      </c>
      <c r="BY192">
        <v>0.74</v>
      </c>
      <c r="BZ192">
        <v>0.61499999999999999</v>
      </c>
      <c r="CA192">
        <v>0.3</v>
      </c>
      <c r="CB192">
        <v>5.4999999999999997E-3</v>
      </c>
      <c r="CC192">
        <v>0.22</v>
      </c>
      <c r="CD192">
        <v>0.7</v>
      </c>
      <c r="CF192">
        <v>0.45</v>
      </c>
      <c r="CG192">
        <v>0.155</v>
      </c>
      <c r="CH192">
        <v>0.92700000000000005</v>
      </c>
      <c r="CI192">
        <v>0</v>
      </c>
      <c r="CK192">
        <v>0.6</v>
      </c>
    </row>
    <row r="193" spans="1:89" x14ac:dyDescent="0.3">
      <c r="A193" s="155">
        <v>654</v>
      </c>
      <c r="B193" t="s">
        <v>413</v>
      </c>
      <c r="D193">
        <v>173425</v>
      </c>
      <c r="E193">
        <v>0</v>
      </c>
      <c r="F193">
        <v>1241763</v>
      </c>
      <c r="G193">
        <v>398560</v>
      </c>
      <c r="I193">
        <v>5479242</v>
      </c>
      <c r="J193">
        <v>0</v>
      </c>
      <c r="K193">
        <v>8858304</v>
      </c>
      <c r="L193">
        <v>0</v>
      </c>
      <c r="M193">
        <v>0</v>
      </c>
      <c r="N193">
        <v>2874575</v>
      </c>
      <c r="O193">
        <v>280922160</v>
      </c>
      <c r="P193">
        <v>0</v>
      </c>
      <c r="Q193">
        <v>0</v>
      </c>
      <c r="R193">
        <v>0</v>
      </c>
      <c r="S193">
        <v>0</v>
      </c>
      <c r="T193">
        <v>0</v>
      </c>
      <c r="U193">
        <v>0</v>
      </c>
      <c r="V193">
        <v>190432</v>
      </c>
      <c r="W193">
        <v>2276053</v>
      </c>
      <c r="X193">
        <v>0</v>
      </c>
      <c r="Y193">
        <v>296522000</v>
      </c>
      <c r="Z193">
        <v>5190194</v>
      </c>
      <c r="AA193">
        <v>269879</v>
      </c>
      <c r="AB193">
        <v>0</v>
      </c>
      <c r="AD193">
        <v>4639806</v>
      </c>
      <c r="AE193">
        <v>785291</v>
      </c>
      <c r="AF193">
        <v>23707860</v>
      </c>
      <c r="AG193">
        <v>0</v>
      </c>
      <c r="AH193">
        <v>2938520</v>
      </c>
      <c r="AI193">
        <v>7490598</v>
      </c>
      <c r="AJ193">
        <v>1360478</v>
      </c>
      <c r="AK193">
        <v>976788</v>
      </c>
      <c r="AL193">
        <v>553024</v>
      </c>
      <c r="AN193">
        <v>3009829</v>
      </c>
      <c r="AP193">
        <v>0</v>
      </c>
      <c r="AQ193">
        <v>101345216</v>
      </c>
      <c r="AR193">
        <v>0</v>
      </c>
      <c r="AS193">
        <v>67946</v>
      </c>
      <c r="AT193">
        <v>10519852</v>
      </c>
      <c r="AU193">
        <v>1194770</v>
      </c>
      <c r="AV193">
        <v>0</v>
      </c>
      <c r="AW193">
        <v>0</v>
      </c>
      <c r="AX193">
        <v>132495</v>
      </c>
      <c r="AY193">
        <v>0</v>
      </c>
      <c r="AZ193">
        <v>0</v>
      </c>
      <c r="BA193">
        <v>416093</v>
      </c>
      <c r="BB193">
        <v>65210</v>
      </c>
      <c r="BC193">
        <v>3262153</v>
      </c>
      <c r="BD193">
        <v>0</v>
      </c>
      <c r="BE193">
        <v>0</v>
      </c>
      <c r="BF193">
        <v>1180784</v>
      </c>
      <c r="BG193">
        <v>0</v>
      </c>
      <c r="BH193">
        <v>0</v>
      </c>
      <c r="BI193">
        <v>1283021</v>
      </c>
      <c r="BJ193">
        <v>0</v>
      </c>
      <c r="BK193">
        <v>142995</v>
      </c>
      <c r="BL193">
        <v>2814352</v>
      </c>
      <c r="BM193">
        <v>438644</v>
      </c>
      <c r="BN193">
        <v>0</v>
      </c>
      <c r="BO193">
        <v>3776403</v>
      </c>
      <c r="BP193">
        <v>157523961</v>
      </c>
      <c r="BQ193">
        <v>0</v>
      </c>
      <c r="BR193">
        <v>124677</v>
      </c>
      <c r="BS193">
        <v>539792</v>
      </c>
      <c r="BU193">
        <v>340430</v>
      </c>
      <c r="BV193">
        <v>0</v>
      </c>
      <c r="BW193">
        <v>6435062</v>
      </c>
      <c r="BX193">
        <v>993938</v>
      </c>
      <c r="BY193">
        <v>10563893</v>
      </c>
      <c r="BZ193">
        <v>3625715</v>
      </c>
      <c r="CA193">
        <v>217900</v>
      </c>
      <c r="CB193">
        <v>3007684</v>
      </c>
      <c r="CC193">
        <v>1367016</v>
      </c>
      <c r="CD193">
        <v>164364</v>
      </c>
      <c r="CF193">
        <v>6207234</v>
      </c>
      <c r="CG193">
        <v>0</v>
      </c>
      <c r="CH193">
        <v>1128442</v>
      </c>
      <c r="CI193">
        <v>0</v>
      </c>
      <c r="CK193">
        <v>47531</v>
      </c>
    </row>
    <row r="194" spans="1:89" x14ac:dyDescent="0.3">
      <c r="A194" s="155">
        <v>655</v>
      </c>
      <c r="B194" t="s">
        <v>910</v>
      </c>
      <c r="D194">
        <v>0</v>
      </c>
      <c r="E194">
        <v>0</v>
      </c>
      <c r="F194">
        <v>28830</v>
      </c>
      <c r="G194">
        <v>130115</v>
      </c>
      <c r="I194">
        <v>6335</v>
      </c>
      <c r="J194">
        <v>0</v>
      </c>
      <c r="K194">
        <v>3459705</v>
      </c>
      <c r="L194">
        <v>0</v>
      </c>
      <c r="M194">
        <v>0</v>
      </c>
      <c r="N194">
        <v>1564619</v>
      </c>
      <c r="O194">
        <v>2079846</v>
      </c>
      <c r="P194">
        <v>0</v>
      </c>
      <c r="Q194">
        <v>0</v>
      </c>
      <c r="R194">
        <v>0</v>
      </c>
      <c r="S194">
        <v>0</v>
      </c>
      <c r="T194">
        <v>0</v>
      </c>
      <c r="U194">
        <v>0</v>
      </c>
      <c r="V194">
        <v>3480</v>
      </c>
      <c r="W194">
        <v>85054</v>
      </c>
      <c r="X194">
        <v>0</v>
      </c>
      <c r="Y194">
        <v>208000</v>
      </c>
      <c r="Z194">
        <v>2726267</v>
      </c>
      <c r="AA194">
        <v>0</v>
      </c>
      <c r="AB194">
        <v>0</v>
      </c>
      <c r="AD194">
        <v>298754</v>
      </c>
      <c r="AE194">
        <v>120959</v>
      </c>
      <c r="AF194">
        <v>10235468</v>
      </c>
      <c r="AG194">
        <v>0</v>
      </c>
      <c r="AH194">
        <v>12550</v>
      </c>
      <c r="AI194">
        <v>258728</v>
      </c>
      <c r="AJ194">
        <v>249821</v>
      </c>
      <c r="AK194">
        <v>62876</v>
      </c>
      <c r="AL194">
        <v>3350</v>
      </c>
      <c r="AN194">
        <v>112881</v>
      </c>
      <c r="AP194">
        <v>0</v>
      </c>
      <c r="AQ194">
        <v>0</v>
      </c>
      <c r="AR194">
        <v>0</v>
      </c>
      <c r="AS194">
        <v>0</v>
      </c>
      <c r="AT194">
        <v>140380</v>
      </c>
      <c r="AU194">
        <v>0</v>
      </c>
      <c r="AV194">
        <v>0</v>
      </c>
      <c r="AW194">
        <v>0</v>
      </c>
      <c r="AX194">
        <v>17749</v>
      </c>
      <c r="AY194">
        <v>0</v>
      </c>
      <c r="AZ194">
        <v>0</v>
      </c>
      <c r="BA194">
        <v>44188</v>
      </c>
      <c r="BB194">
        <v>4750</v>
      </c>
      <c r="BC194">
        <v>77254</v>
      </c>
      <c r="BD194">
        <v>0</v>
      </c>
      <c r="BE194">
        <v>0</v>
      </c>
      <c r="BF194">
        <v>98930</v>
      </c>
      <c r="BG194">
        <v>0</v>
      </c>
      <c r="BH194">
        <v>0</v>
      </c>
      <c r="BI194">
        <v>41067</v>
      </c>
      <c r="BJ194">
        <v>0</v>
      </c>
      <c r="BK194">
        <v>20837</v>
      </c>
      <c r="BL194">
        <v>0</v>
      </c>
      <c r="BM194">
        <v>22800</v>
      </c>
      <c r="BN194">
        <v>0</v>
      </c>
      <c r="BO194">
        <v>140736</v>
      </c>
      <c r="BP194">
        <v>0</v>
      </c>
      <c r="BQ194">
        <v>0</v>
      </c>
      <c r="BR194">
        <v>3457</v>
      </c>
      <c r="BS194">
        <v>11640</v>
      </c>
      <c r="BU194">
        <v>52500</v>
      </c>
      <c r="BV194">
        <v>0</v>
      </c>
      <c r="BW194">
        <v>366045</v>
      </c>
      <c r="BX194">
        <v>0</v>
      </c>
      <c r="BY194">
        <v>586168</v>
      </c>
      <c r="BZ194">
        <v>195290</v>
      </c>
      <c r="CA194">
        <v>26515</v>
      </c>
      <c r="CB194">
        <v>41605</v>
      </c>
      <c r="CC194">
        <v>186057</v>
      </c>
      <c r="CD194">
        <v>44036</v>
      </c>
      <c r="CF194">
        <v>292808</v>
      </c>
      <c r="CG194">
        <v>0</v>
      </c>
      <c r="CH194">
        <v>43145</v>
      </c>
      <c r="CI194">
        <v>0</v>
      </c>
      <c r="CK194">
        <v>8186</v>
      </c>
    </row>
    <row r="195" spans="1:89" x14ac:dyDescent="0.3">
      <c r="A195" s="155">
        <v>656</v>
      </c>
      <c r="B195" t="s">
        <v>419</v>
      </c>
      <c r="D195">
        <v>2</v>
      </c>
      <c r="E195">
        <v>0</v>
      </c>
      <c r="F195">
        <v>2</v>
      </c>
      <c r="G195">
        <v>0</v>
      </c>
      <c r="I195">
        <v>0</v>
      </c>
      <c r="J195">
        <v>2</v>
      </c>
      <c r="K195">
        <v>2</v>
      </c>
      <c r="L195">
        <v>2</v>
      </c>
      <c r="M195">
        <v>2</v>
      </c>
      <c r="N195">
        <v>2</v>
      </c>
      <c r="O195">
        <v>0</v>
      </c>
      <c r="P195">
        <v>0</v>
      </c>
      <c r="Q195">
        <v>0</v>
      </c>
      <c r="R195">
        <v>0</v>
      </c>
      <c r="S195">
        <v>0</v>
      </c>
      <c r="T195">
        <v>2</v>
      </c>
      <c r="U195">
        <v>2</v>
      </c>
      <c r="V195">
        <v>0</v>
      </c>
      <c r="W195">
        <v>2</v>
      </c>
      <c r="X195">
        <v>2</v>
      </c>
      <c r="Y195">
        <v>2</v>
      </c>
      <c r="Z195">
        <v>2</v>
      </c>
      <c r="AA195">
        <v>0</v>
      </c>
      <c r="AB195">
        <v>0</v>
      </c>
      <c r="AD195">
        <v>2</v>
      </c>
      <c r="AE195">
        <v>2</v>
      </c>
      <c r="AF195">
        <v>2</v>
      </c>
      <c r="AG195">
        <v>0</v>
      </c>
      <c r="AH195">
        <v>2</v>
      </c>
      <c r="AI195">
        <v>2</v>
      </c>
      <c r="AJ195">
        <v>0</v>
      </c>
      <c r="AK195">
        <v>2</v>
      </c>
      <c r="AL195">
        <v>2</v>
      </c>
      <c r="AN195">
        <v>0</v>
      </c>
      <c r="AP195">
        <v>0</v>
      </c>
      <c r="AQ195">
        <v>2</v>
      </c>
      <c r="AR195">
        <v>2</v>
      </c>
      <c r="AS195">
        <v>2</v>
      </c>
      <c r="AT195">
        <v>2</v>
      </c>
      <c r="AU195">
        <v>0</v>
      </c>
      <c r="AV195">
        <v>2</v>
      </c>
      <c r="AW195">
        <v>2</v>
      </c>
      <c r="AX195">
        <v>2</v>
      </c>
      <c r="AY195">
        <v>2</v>
      </c>
      <c r="AZ195">
        <v>2</v>
      </c>
      <c r="BA195">
        <v>0</v>
      </c>
      <c r="BB195">
        <v>2</v>
      </c>
      <c r="BC195">
        <v>2</v>
      </c>
      <c r="BD195">
        <v>2</v>
      </c>
      <c r="BE195">
        <v>0</v>
      </c>
      <c r="BF195">
        <v>2</v>
      </c>
      <c r="BG195">
        <v>2</v>
      </c>
      <c r="BH195">
        <v>2</v>
      </c>
      <c r="BI195">
        <v>2</v>
      </c>
      <c r="BJ195">
        <v>0</v>
      </c>
      <c r="BK195">
        <v>2</v>
      </c>
      <c r="BL195">
        <v>2</v>
      </c>
      <c r="BM195">
        <v>2</v>
      </c>
      <c r="BN195">
        <v>0</v>
      </c>
      <c r="BO195">
        <v>2</v>
      </c>
      <c r="BP195">
        <v>2</v>
      </c>
      <c r="BQ195">
        <v>0</v>
      </c>
      <c r="BR195">
        <v>2</v>
      </c>
      <c r="BS195">
        <v>0</v>
      </c>
      <c r="BU195">
        <v>2</v>
      </c>
      <c r="BV195">
        <v>2</v>
      </c>
      <c r="BW195">
        <v>2</v>
      </c>
      <c r="BX195">
        <v>2</v>
      </c>
      <c r="BY195">
        <v>2</v>
      </c>
      <c r="BZ195">
        <v>2</v>
      </c>
      <c r="CA195">
        <v>2</v>
      </c>
      <c r="CB195">
        <v>2</v>
      </c>
      <c r="CC195">
        <v>0</v>
      </c>
      <c r="CD195">
        <v>2</v>
      </c>
      <c r="CF195">
        <v>2</v>
      </c>
      <c r="CG195">
        <v>2</v>
      </c>
      <c r="CH195">
        <v>0</v>
      </c>
      <c r="CI195">
        <v>2</v>
      </c>
      <c r="CK195">
        <v>2</v>
      </c>
    </row>
    <row r="196" spans="1:89" x14ac:dyDescent="0.3">
      <c r="A196" s="155">
        <v>657</v>
      </c>
      <c r="B196" t="s">
        <v>911</v>
      </c>
      <c r="D196">
        <v>0</v>
      </c>
      <c r="E196">
        <v>0</v>
      </c>
      <c r="F196">
        <v>0</v>
      </c>
      <c r="G196">
        <v>0</v>
      </c>
      <c r="I196">
        <v>0</v>
      </c>
      <c r="J196">
        <v>0</v>
      </c>
      <c r="K196">
        <v>0</v>
      </c>
      <c r="L196">
        <v>0</v>
      </c>
      <c r="M196">
        <v>0</v>
      </c>
      <c r="N196">
        <v>0</v>
      </c>
      <c r="O196">
        <v>0</v>
      </c>
      <c r="P196">
        <v>0</v>
      </c>
      <c r="Q196">
        <v>0</v>
      </c>
      <c r="R196">
        <v>0</v>
      </c>
      <c r="S196">
        <v>0</v>
      </c>
      <c r="T196">
        <v>0</v>
      </c>
      <c r="U196">
        <v>0</v>
      </c>
      <c r="V196">
        <v>0</v>
      </c>
      <c r="W196">
        <v>0</v>
      </c>
      <c r="X196">
        <v>0</v>
      </c>
      <c r="Y196">
        <v>0</v>
      </c>
      <c r="Z196">
        <v>5068687</v>
      </c>
      <c r="AA196">
        <v>0</v>
      </c>
      <c r="AB196">
        <v>0</v>
      </c>
      <c r="AD196">
        <v>0</v>
      </c>
      <c r="AE196">
        <v>0</v>
      </c>
      <c r="AF196">
        <v>8449949</v>
      </c>
      <c r="AG196">
        <v>0</v>
      </c>
      <c r="AH196">
        <v>0</v>
      </c>
      <c r="AI196">
        <v>0</v>
      </c>
      <c r="AJ196">
        <v>0</v>
      </c>
      <c r="AK196">
        <v>0</v>
      </c>
      <c r="AL196">
        <v>0</v>
      </c>
      <c r="AN196">
        <v>0</v>
      </c>
      <c r="AP196">
        <v>0</v>
      </c>
      <c r="AQ196">
        <v>107991281</v>
      </c>
      <c r="AR196">
        <v>0</v>
      </c>
      <c r="AS196">
        <v>0</v>
      </c>
      <c r="AT196">
        <v>0</v>
      </c>
      <c r="AU196">
        <v>0</v>
      </c>
      <c r="AV196">
        <v>0</v>
      </c>
      <c r="AW196">
        <v>6749720</v>
      </c>
      <c r="AX196">
        <v>0</v>
      </c>
      <c r="AY196">
        <v>0</v>
      </c>
      <c r="AZ196">
        <v>0</v>
      </c>
      <c r="BA196">
        <v>0</v>
      </c>
      <c r="BB196">
        <v>0</v>
      </c>
      <c r="BC196">
        <v>6277180</v>
      </c>
      <c r="BD196">
        <v>0</v>
      </c>
      <c r="BE196">
        <v>0</v>
      </c>
      <c r="BF196">
        <v>0</v>
      </c>
      <c r="BG196">
        <v>0</v>
      </c>
      <c r="BH196">
        <v>0</v>
      </c>
      <c r="BI196">
        <v>0</v>
      </c>
      <c r="BJ196">
        <v>0</v>
      </c>
      <c r="BK196">
        <v>0</v>
      </c>
      <c r="BL196">
        <v>4321892</v>
      </c>
      <c r="BM196">
        <v>0</v>
      </c>
      <c r="BN196">
        <v>0</v>
      </c>
      <c r="BO196">
        <v>0</v>
      </c>
      <c r="BP196">
        <v>0</v>
      </c>
      <c r="BQ196">
        <v>0</v>
      </c>
      <c r="BR196">
        <v>0</v>
      </c>
      <c r="BS196">
        <v>0</v>
      </c>
      <c r="BU196">
        <v>0</v>
      </c>
      <c r="BV196">
        <v>0</v>
      </c>
      <c r="BW196">
        <v>0</v>
      </c>
      <c r="BX196">
        <v>2830935</v>
      </c>
      <c r="BY196">
        <v>16186960</v>
      </c>
      <c r="BZ196">
        <v>0</v>
      </c>
      <c r="CA196">
        <v>0</v>
      </c>
      <c r="CB196">
        <v>0</v>
      </c>
      <c r="CC196">
        <v>0</v>
      </c>
      <c r="CD196">
        <v>0</v>
      </c>
      <c r="CF196">
        <v>0</v>
      </c>
      <c r="CG196">
        <v>0</v>
      </c>
      <c r="CH196">
        <v>8214767</v>
      </c>
      <c r="CI196">
        <v>0</v>
      </c>
      <c r="CK196">
        <v>0</v>
      </c>
    </row>
    <row r="197" spans="1:89" x14ac:dyDescent="0.3">
      <c r="A197" s="155">
        <v>658</v>
      </c>
      <c r="B197" t="s">
        <v>912</v>
      </c>
      <c r="D197">
        <v>0</v>
      </c>
      <c r="E197">
        <v>0</v>
      </c>
      <c r="F197">
        <v>0</v>
      </c>
      <c r="G197">
        <v>0</v>
      </c>
      <c r="I197">
        <v>0</v>
      </c>
      <c r="J197">
        <v>0</v>
      </c>
      <c r="K197">
        <v>0</v>
      </c>
      <c r="L197">
        <v>0</v>
      </c>
      <c r="M197">
        <v>0</v>
      </c>
      <c r="N197">
        <v>0</v>
      </c>
      <c r="O197">
        <v>0</v>
      </c>
      <c r="P197">
        <v>0</v>
      </c>
      <c r="Q197">
        <v>0</v>
      </c>
      <c r="R197">
        <v>0</v>
      </c>
      <c r="S197">
        <v>0</v>
      </c>
      <c r="T197">
        <v>0</v>
      </c>
      <c r="U197">
        <v>0</v>
      </c>
      <c r="V197">
        <v>0</v>
      </c>
      <c r="W197">
        <v>0</v>
      </c>
      <c r="X197">
        <v>0</v>
      </c>
      <c r="Y197">
        <v>0</v>
      </c>
      <c r="Z197">
        <v>187877</v>
      </c>
      <c r="AA197">
        <v>0</v>
      </c>
      <c r="AB197">
        <v>0</v>
      </c>
      <c r="AD197">
        <v>0</v>
      </c>
      <c r="AE197">
        <v>0</v>
      </c>
      <c r="AF197">
        <v>0</v>
      </c>
      <c r="AG197">
        <v>0</v>
      </c>
      <c r="AH197">
        <v>0</v>
      </c>
      <c r="AI197">
        <v>0</v>
      </c>
      <c r="AJ197">
        <v>0</v>
      </c>
      <c r="AK197">
        <v>0</v>
      </c>
      <c r="AL197">
        <v>0</v>
      </c>
      <c r="AN197">
        <v>0</v>
      </c>
      <c r="AP197">
        <v>0</v>
      </c>
      <c r="AQ197">
        <v>0</v>
      </c>
      <c r="AR197">
        <v>0</v>
      </c>
      <c r="AS197">
        <v>0</v>
      </c>
      <c r="AT197">
        <v>0</v>
      </c>
      <c r="AU197">
        <v>0</v>
      </c>
      <c r="AV197">
        <v>0</v>
      </c>
      <c r="AW197">
        <v>160454</v>
      </c>
      <c r="AX197">
        <v>0</v>
      </c>
      <c r="AY197">
        <v>0</v>
      </c>
      <c r="AZ197">
        <v>0</v>
      </c>
      <c r="BA197">
        <v>0</v>
      </c>
      <c r="BB197">
        <v>0</v>
      </c>
      <c r="BC197">
        <v>209190</v>
      </c>
      <c r="BD197">
        <v>0</v>
      </c>
      <c r="BE197">
        <v>0</v>
      </c>
      <c r="BF197">
        <v>0</v>
      </c>
      <c r="BG197">
        <v>0</v>
      </c>
      <c r="BH197">
        <v>0</v>
      </c>
      <c r="BI197">
        <v>0</v>
      </c>
      <c r="BJ197">
        <v>0</v>
      </c>
      <c r="BK197">
        <v>0</v>
      </c>
      <c r="BL197">
        <v>0</v>
      </c>
      <c r="BM197">
        <v>0</v>
      </c>
      <c r="BN197">
        <v>0</v>
      </c>
      <c r="BO197">
        <v>0</v>
      </c>
      <c r="BP197">
        <v>0</v>
      </c>
      <c r="BQ197">
        <v>0</v>
      </c>
      <c r="BR197">
        <v>0</v>
      </c>
      <c r="BS197">
        <v>0</v>
      </c>
      <c r="BU197">
        <v>0</v>
      </c>
      <c r="BV197">
        <v>0</v>
      </c>
      <c r="BW197">
        <v>0</v>
      </c>
      <c r="BX197">
        <v>0</v>
      </c>
      <c r="BY197">
        <v>928245</v>
      </c>
      <c r="BZ197">
        <v>0</v>
      </c>
      <c r="CA197">
        <v>0</v>
      </c>
      <c r="CB197">
        <v>0</v>
      </c>
      <c r="CC197">
        <v>0</v>
      </c>
      <c r="CD197">
        <v>0</v>
      </c>
      <c r="CF197">
        <v>0</v>
      </c>
      <c r="CG197">
        <v>0</v>
      </c>
      <c r="CH197">
        <v>102645</v>
      </c>
      <c r="CI197">
        <v>0</v>
      </c>
      <c r="CK197">
        <v>0</v>
      </c>
    </row>
    <row r="198" spans="1:89" x14ac:dyDescent="0.3">
      <c r="A198" s="155">
        <v>659</v>
      </c>
      <c r="B198" t="s">
        <v>913</v>
      </c>
      <c r="D198">
        <v>0</v>
      </c>
      <c r="E198">
        <v>0</v>
      </c>
      <c r="F198">
        <v>0</v>
      </c>
      <c r="G198">
        <v>0</v>
      </c>
      <c r="I198">
        <v>0</v>
      </c>
      <c r="J198">
        <v>0</v>
      </c>
      <c r="K198">
        <v>10494305</v>
      </c>
      <c r="L198">
        <v>609440</v>
      </c>
      <c r="M198">
        <v>19922078</v>
      </c>
      <c r="N198">
        <v>0</v>
      </c>
      <c r="O198">
        <v>163722875</v>
      </c>
      <c r="P198">
        <v>0</v>
      </c>
      <c r="Q198">
        <v>0</v>
      </c>
      <c r="R198">
        <v>0</v>
      </c>
      <c r="S198">
        <v>250422</v>
      </c>
      <c r="T198">
        <v>0</v>
      </c>
      <c r="U198">
        <v>0</v>
      </c>
      <c r="V198">
        <v>0</v>
      </c>
      <c r="W198">
        <v>17822</v>
      </c>
      <c r="X198">
        <v>32856852</v>
      </c>
      <c r="Y198">
        <v>463295000</v>
      </c>
      <c r="Z198">
        <v>2454351</v>
      </c>
      <c r="AA198">
        <v>0</v>
      </c>
      <c r="AB198">
        <v>0</v>
      </c>
      <c r="AD198">
        <v>134988</v>
      </c>
      <c r="AE198">
        <v>0</v>
      </c>
      <c r="AF198">
        <v>1378008</v>
      </c>
      <c r="AG198">
        <v>0</v>
      </c>
      <c r="AH198">
        <v>0</v>
      </c>
      <c r="AI198">
        <v>3586228</v>
      </c>
      <c r="AJ198">
        <v>425716</v>
      </c>
      <c r="AK198">
        <v>0</v>
      </c>
      <c r="AL198">
        <v>0</v>
      </c>
      <c r="AN198">
        <v>831347</v>
      </c>
      <c r="AP198">
        <v>0</v>
      </c>
      <c r="AQ198">
        <v>47196295</v>
      </c>
      <c r="AR198">
        <v>0</v>
      </c>
      <c r="AS198">
        <v>0</v>
      </c>
      <c r="AT198">
        <v>0</v>
      </c>
      <c r="AU198">
        <v>0</v>
      </c>
      <c r="AV198">
        <v>0</v>
      </c>
      <c r="AW198">
        <v>2536874</v>
      </c>
      <c r="AX198">
        <v>0</v>
      </c>
      <c r="AY198">
        <v>800943</v>
      </c>
      <c r="AZ198">
        <v>2812872</v>
      </c>
      <c r="BA198">
        <v>0</v>
      </c>
      <c r="BB198">
        <v>0</v>
      </c>
      <c r="BC198">
        <v>283133</v>
      </c>
      <c r="BD198">
        <v>0</v>
      </c>
      <c r="BE198">
        <v>0</v>
      </c>
      <c r="BF198">
        <v>0</v>
      </c>
      <c r="BG198">
        <v>0</v>
      </c>
      <c r="BH198">
        <v>0</v>
      </c>
      <c r="BI198">
        <v>231334</v>
      </c>
      <c r="BJ198">
        <v>0</v>
      </c>
      <c r="BK198">
        <v>0</v>
      </c>
      <c r="BL198">
        <v>0</v>
      </c>
      <c r="BM198">
        <v>0</v>
      </c>
      <c r="BN198">
        <v>0</v>
      </c>
      <c r="BO198">
        <v>6438560</v>
      </c>
      <c r="BP198">
        <v>161244533</v>
      </c>
      <c r="BQ198">
        <v>0</v>
      </c>
      <c r="BR198">
        <v>0</v>
      </c>
      <c r="BS198">
        <v>0</v>
      </c>
      <c r="BU198">
        <v>0</v>
      </c>
      <c r="BV198">
        <v>19987</v>
      </c>
      <c r="BW198">
        <v>13584772</v>
      </c>
      <c r="BX198">
        <v>2125794</v>
      </c>
      <c r="BY198">
        <v>746949</v>
      </c>
      <c r="BZ198">
        <v>0</v>
      </c>
      <c r="CA198">
        <v>507708</v>
      </c>
      <c r="CB198">
        <v>37999</v>
      </c>
      <c r="CC198">
        <v>0</v>
      </c>
      <c r="CD198">
        <v>147791</v>
      </c>
      <c r="CF198">
        <v>0</v>
      </c>
      <c r="CG198">
        <v>0</v>
      </c>
      <c r="CH198">
        <v>0</v>
      </c>
      <c r="CI198">
        <v>722616</v>
      </c>
      <c r="CK198">
        <v>0</v>
      </c>
    </row>
    <row r="199" spans="1:89" x14ac:dyDescent="0.3">
      <c r="A199" s="155">
        <v>660</v>
      </c>
      <c r="B199" t="s">
        <v>914</v>
      </c>
      <c r="D199">
        <v>0</v>
      </c>
      <c r="E199">
        <v>0</v>
      </c>
      <c r="F199">
        <v>0</v>
      </c>
      <c r="G199">
        <v>0</v>
      </c>
      <c r="I199">
        <v>0</v>
      </c>
      <c r="J199">
        <v>0</v>
      </c>
      <c r="K199">
        <v>0</v>
      </c>
      <c r="L199">
        <v>0</v>
      </c>
      <c r="M199">
        <v>0</v>
      </c>
      <c r="N199">
        <v>0</v>
      </c>
      <c r="O199">
        <v>0</v>
      </c>
      <c r="P199">
        <v>0</v>
      </c>
      <c r="Q199">
        <v>0</v>
      </c>
      <c r="R199">
        <v>0</v>
      </c>
      <c r="S199">
        <v>0</v>
      </c>
      <c r="T199">
        <v>0</v>
      </c>
      <c r="U199">
        <v>0</v>
      </c>
      <c r="V199">
        <v>0</v>
      </c>
      <c r="W199">
        <v>0</v>
      </c>
      <c r="X199">
        <v>7029969</v>
      </c>
      <c r="Y199">
        <v>131184000</v>
      </c>
      <c r="Z199">
        <v>0</v>
      </c>
      <c r="AA199">
        <v>0</v>
      </c>
      <c r="AB199">
        <v>0</v>
      </c>
      <c r="AD199">
        <v>0</v>
      </c>
      <c r="AE199">
        <v>0</v>
      </c>
      <c r="AF199">
        <v>0</v>
      </c>
      <c r="AG199">
        <v>0</v>
      </c>
      <c r="AH199">
        <v>0</v>
      </c>
      <c r="AI199">
        <v>0</v>
      </c>
      <c r="AJ199">
        <v>0</v>
      </c>
      <c r="AK199">
        <v>0</v>
      </c>
      <c r="AL199">
        <v>0</v>
      </c>
      <c r="AN199">
        <v>0</v>
      </c>
      <c r="AP199">
        <v>0</v>
      </c>
      <c r="AQ199">
        <v>15159753</v>
      </c>
      <c r="AR199">
        <v>0</v>
      </c>
      <c r="AS199">
        <v>0</v>
      </c>
      <c r="AT199">
        <v>0</v>
      </c>
      <c r="AU199">
        <v>0</v>
      </c>
      <c r="AV199">
        <v>0</v>
      </c>
      <c r="AW199">
        <v>460413</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U199">
        <v>0</v>
      </c>
      <c r="BV199">
        <v>0</v>
      </c>
      <c r="BW199">
        <v>0</v>
      </c>
      <c r="BX199">
        <v>0</v>
      </c>
      <c r="BY199">
        <v>0</v>
      </c>
      <c r="BZ199">
        <v>0</v>
      </c>
      <c r="CA199">
        <v>0</v>
      </c>
      <c r="CB199">
        <v>0</v>
      </c>
      <c r="CC199">
        <v>0</v>
      </c>
      <c r="CD199">
        <v>0</v>
      </c>
      <c r="CF199">
        <v>0</v>
      </c>
      <c r="CG199">
        <v>0</v>
      </c>
      <c r="CH199">
        <v>0</v>
      </c>
      <c r="CI199">
        <v>0</v>
      </c>
      <c r="CK199">
        <v>0</v>
      </c>
    </row>
    <row r="200" spans="1:89" x14ac:dyDescent="0.3">
      <c r="A200" s="155">
        <v>661</v>
      </c>
      <c r="B200" t="s">
        <v>418</v>
      </c>
      <c r="D200">
        <v>0</v>
      </c>
      <c r="E200">
        <v>0</v>
      </c>
      <c r="F200">
        <v>0</v>
      </c>
      <c r="G200">
        <v>0</v>
      </c>
      <c r="I200">
        <v>0</v>
      </c>
      <c r="J200">
        <v>0</v>
      </c>
      <c r="K200">
        <v>0</v>
      </c>
      <c r="L200">
        <v>0</v>
      </c>
      <c r="M200">
        <v>0</v>
      </c>
      <c r="N200">
        <v>0</v>
      </c>
      <c r="O200">
        <v>0</v>
      </c>
      <c r="P200">
        <v>0</v>
      </c>
      <c r="Q200">
        <v>0</v>
      </c>
      <c r="R200">
        <v>0</v>
      </c>
      <c r="S200">
        <v>0</v>
      </c>
      <c r="T200">
        <v>0</v>
      </c>
      <c r="U200">
        <v>0</v>
      </c>
      <c r="V200">
        <v>0</v>
      </c>
      <c r="W200">
        <v>0</v>
      </c>
      <c r="X200">
        <v>21.4</v>
      </c>
      <c r="Y200">
        <v>28.3</v>
      </c>
      <c r="Z200">
        <v>0</v>
      </c>
      <c r="AA200">
        <v>0</v>
      </c>
      <c r="AB200">
        <v>0</v>
      </c>
      <c r="AD200">
        <v>0</v>
      </c>
      <c r="AE200">
        <v>0</v>
      </c>
      <c r="AF200">
        <v>0</v>
      </c>
      <c r="AG200">
        <v>0</v>
      </c>
      <c r="AH200">
        <v>0</v>
      </c>
      <c r="AI200">
        <v>0</v>
      </c>
      <c r="AJ200">
        <v>0</v>
      </c>
      <c r="AK200">
        <v>0</v>
      </c>
      <c r="AL200">
        <v>0</v>
      </c>
      <c r="AN200">
        <v>0</v>
      </c>
      <c r="AP200">
        <v>0</v>
      </c>
      <c r="AQ200">
        <v>32.1</v>
      </c>
      <c r="AR200">
        <v>0</v>
      </c>
      <c r="AS200">
        <v>0</v>
      </c>
      <c r="AT200">
        <v>0</v>
      </c>
      <c r="AU200">
        <v>0</v>
      </c>
      <c r="AV200">
        <v>0</v>
      </c>
      <c r="AW200">
        <v>18.100000000000001</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U200">
        <v>0</v>
      </c>
      <c r="BV200">
        <v>0</v>
      </c>
      <c r="BW200">
        <v>0</v>
      </c>
      <c r="BX200">
        <v>0</v>
      </c>
      <c r="BY200">
        <v>0</v>
      </c>
      <c r="BZ200">
        <v>0</v>
      </c>
      <c r="CA200">
        <v>0</v>
      </c>
      <c r="CB200">
        <v>0</v>
      </c>
      <c r="CC200">
        <v>0</v>
      </c>
      <c r="CD200">
        <v>0</v>
      </c>
      <c r="CF200">
        <v>0</v>
      </c>
      <c r="CG200">
        <v>0</v>
      </c>
      <c r="CH200">
        <v>0</v>
      </c>
      <c r="CI200">
        <v>0</v>
      </c>
      <c r="CK200">
        <v>0</v>
      </c>
    </row>
    <row r="201" spans="1:89" x14ac:dyDescent="0.3">
      <c r="A201" s="155">
        <v>662</v>
      </c>
      <c r="B201" t="s">
        <v>448</v>
      </c>
      <c r="I201">
        <v>0</v>
      </c>
      <c r="J201">
        <v>63838</v>
      </c>
      <c r="M201">
        <v>0</v>
      </c>
      <c r="N201">
        <v>0</v>
      </c>
      <c r="O201">
        <v>0</v>
      </c>
      <c r="T201">
        <v>25000</v>
      </c>
      <c r="X201">
        <v>3916</v>
      </c>
      <c r="Y201">
        <v>720538</v>
      </c>
      <c r="Z201">
        <v>0</v>
      </c>
      <c r="AG201">
        <v>0</v>
      </c>
      <c r="AQ201">
        <v>0</v>
      </c>
      <c r="AT201">
        <v>0</v>
      </c>
      <c r="AW201">
        <v>0</v>
      </c>
      <c r="BO201">
        <v>0</v>
      </c>
      <c r="BP201">
        <v>391076</v>
      </c>
      <c r="BW201">
        <v>0</v>
      </c>
      <c r="BX201">
        <v>0</v>
      </c>
      <c r="BY201">
        <v>0</v>
      </c>
      <c r="BZ201">
        <v>0</v>
      </c>
      <c r="CB201">
        <v>0</v>
      </c>
      <c r="CG201">
        <v>0</v>
      </c>
      <c r="CH201">
        <v>0</v>
      </c>
    </row>
    <row r="202" spans="1:89" x14ac:dyDescent="0.3">
      <c r="A202" s="155">
        <v>663</v>
      </c>
      <c r="B202" t="s">
        <v>915</v>
      </c>
      <c r="I202">
        <v>0</v>
      </c>
      <c r="J202">
        <v>0</v>
      </c>
      <c r="M202">
        <v>703066</v>
      </c>
      <c r="N202">
        <v>0</v>
      </c>
      <c r="O202">
        <v>1943047</v>
      </c>
      <c r="T202">
        <v>0</v>
      </c>
      <c r="X202">
        <v>8861696</v>
      </c>
      <c r="Y202">
        <v>158541027</v>
      </c>
      <c r="Z202">
        <v>0</v>
      </c>
      <c r="AG202">
        <v>0</v>
      </c>
      <c r="AQ202">
        <v>2452851</v>
      </c>
      <c r="AT202">
        <v>426500</v>
      </c>
      <c r="AW202">
        <v>0</v>
      </c>
      <c r="BO202">
        <v>0</v>
      </c>
      <c r="BP202">
        <v>27753815</v>
      </c>
      <c r="BW202">
        <v>0</v>
      </c>
      <c r="BX202">
        <v>0</v>
      </c>
      <c r="BY202">
        <v>198486</v>
      </c>
      <c r="BZ202">
        <v>0</v>
      </c>
      <c r="CB202">
        <v>25737</v>
      </c>
      <c r="CG202">
        <v>0</v>
      </c>
      <c r="CH202">
        <v>0</v>
      </c>
    </row>
    <row r="203" spans="1:89" x14ac:dyDescent="0.3">
      <c r="A203" s="155">
        <v>906</v>
      </c>
      <c r="B203" t="s">
        <v>916</v>
      </c>
      <c r="D203">
        <v>1</v>
      </c>
      <c r="E203">
        <v>1</v>
      </c>
      <c r="F203">
        <v>1</v>
      </c>
      <c r="G203">
        <v>1</v>
      </c>
      <c r="I203">
        <v>1</v>
      </c>
      <c r="J203">
        <v>1</v>
      </c>
      <c r="K203">
        <v>1</v>
      </c>
      <c r="L203">
        <v>1</v>
      </c>
      <c r="M203">
        <v>1</v>
      </c>
      <c r="N203">
        <v>1</v>
      </c>
      <c r="O203">
        <v>1</v>
      </c>
      <c r="P203">
        <v>1</v>
      </c>
      <c r="Q203">
        <v>1</v>
      </c>
      <c r="R203">
        <v>1</v>
      </c>
      <c r="S203">
        <v>1</v>
      </c>
      <c r="T203">
        <v>1</v>
      </c>
      <c r="U203">
        <v>1</v>
      </c>
      <c r="V203">
        <v>1</v>
      </c>
      <c r="W203">
        <v>1</v>
      </c>
      <c r="X203">
        <v>1</v>
      </c>
      <c r="Y203">
        <v>1</v>
      </c>
      <c r="Z203">
        <v>1</v>
      </c>
      <c r="AA203">
        <v>1</v>
      </c>
      <c r="AB203">
        <v>1</v>
      </c>
      <c r="AD203">
        <v>1</v>
      </c>
      <c r="AE203">
        <v>1</v>
      </c>
      <c r="AF203">
        <v>1</v>
      </c>
      <c r="AG203">
        <v>1</v>
      </c>
      <c r="AH203">
        <v>1</v>
      </c>
      <c r="AI203">
        <v>1</v>
      </c>
      <c r="AJ203">
        <v>1</v>
      </c>
      <c r="AK203">
        <v>1</v>
      </c>
      <c r="AL203">
        <v>1</v>
      </c>
      <c r="AN203">
        <v>1</v>
      </c>
      <c r="AP203">
        <v>1</v>
      </c>
      <c r="AQ203">
        <v>1</v>
      </c>
      <c r="AR203">
        <v>1</v>
      </c>
      <c r="AS203">
        <v>1</v>
      </c>
      <c r="AT203">
        <v>1</v>
      </c>
      <c r="AU203">
        <v>1</v>
      </c>
      <c r="AV203">
        <v>1</v>
      </c>
      <c r="AW203">
        <v>1</v>
      </c>
      <c r="AX203">
        <v>1</v>
      </c>
      <c r="AY203">
        <v>1</v>
      </c>
      <c r="AZ203">
        <v>1</v>
      </c>
      <c r="BA203">
        <v>1</v>
      </c>
      <c r="BB203">
        <v>1</v>
      </c>
      <c r="BC203">
        <v>1</v>
      </c>
      <c r="BD203">
        <v>1</v>
      </c>
      <c r="BE203">
        <v>1</v>
      </c>
      <c r="BF203">
        <v>1</v>
      </c>
      <c r="BG203">
        <v>1</v>
      </c>
      <c r="BH203">
        <v>1</v>
      </c>
      <c r="BI203">
        <v>1</v>
      </c>
      <c r="BJ203">
        <v>1</v>
      </c>
      <c r="BK203">
        <v>1</v>
      </c>
      <c r="BL203">
        <v>1</v>
      </c>
      <c r="BM203">
        <v>1</v>
      </c>
      <c r="BN203">
        <v>1</v>
      </c>
      <c r="BO203">
        <v>1</v>
      </c>
      <c r="BP203">
        <v>1</v>
      </c>
      <c r="BQ203">
        <v>1</v>
      </c>
      <c r="BR203">
        <v>1</v>
      </c>
      <c r="BS203">
        <v>1</v>
      </c>
      <c r="BU203">
        <v>1</v>
      </c>
      <c r="BV203">
        <v>1</v>
      </c>
      <c r="BW203">
        <v>1</v>
      </c>
      <c r="BX203">
        <v>1</v>
      </c>
      <c r="BY203">
        <v>1</v>
      </c>
      <c r="BZ203">
        <v>1</v>
      </c>
      <c r="CA203">
        <v>1</v>
      </c>
      <c r="CB203">
        <v>1</v>
      </c>
      <c r="CC203">
        <v>1</v>
      </c>
      <c r="CD203">
        <v>1</v>
      </c>
      <c r="CF203">
        <v>1</v>
      </c>
      <c r="CG203">
        <v>1</v>
      </c>
      <c r="CH203">
        <v>1</v>
      </c>
      <c r="CI203">
        <v>1</v>
      </c>
      <c r="CK203">
        <v>1</v>
      </c>
    </row>
    <row r="204" spans="1:89" x14ac:dyDescent="0.3">
      <c r="A204" s="155">
        <v>907</v>
      </c>
      <c r="B204" t="s">
        <v>917</v>
      </c>
      <c r="D204">
        <v>1</v>
      </c>
      <c r="E204">
        <v>1</v>
      </c>
      <c r="F204">
        <v>1</v>
      </c>
      <c r="G204">
        <v>1</v>
      </c>
      <c r="I204">
        <v>2</v>
      </c>
      <c r="J204">
        <v>1</v>
      </c>
      <c r="K204">
        <v>2</v>
      </c>
      <c r="L204">
        <v>2</v>
      </c>
      <c r="M204">
        <v>2</v>
      </c>
      <c r="N204">
        <v>1</v>
      </c>
      <c r="O204">
        <v>2</v>
      </c>
      <c r="P204">
        <v>1</v>
      </c>
      <c r="Q204">
        <v>1</v>
      </c>
      <c r="R204">
        <v>1</v>
      </c>
      <c r="S204">
        <v>2</v>
      </c>
      <c r="T204">
        <v>2</v>
      </c>
      <c r="U204">
        <v>2</v>
      </c>
      <c r="V204">
        <v>1</v>
      </c>
      <c r="W204">
        <v>2</v>
      </c>
      <c r="X204">
        <v>2</v>
      </c>
      <c r="Y204">
        <v>2</v>
      </c>
      <c r="Z204">
        <v>2</v>
      </c>
      <c r="AA204">
        <v>2</v>
      </c>
      <c r="AB204">
        <v>2</v>
      </c>
      <c r="AD204">
        <v>2</v>
      </c>
      <c r="AE204">
        <v>1</v>
      </c>
      <c r="AF204">
        <v>2</v>
      </c>
      <c r="AG204">
        <v>1</v>
      </c>
      <c r="AH204">
        <v>2</v>
      </c>
      <c r="AI204">
        <v>2</v>
      </c>
      <c r="AJ204">
        <v>2</v>
      </c>
      <c r="AK204">
        <v>1</v>
      </c>
      <c r="AL204">
        <v>2</v>
      </c>
      <c r="AN204">
        <v>1</v>
      </c>
      <c r="AP204">
        <v>2</v>
      </c>
      <c r="AQ204">
        <v>1</v>
      </c>
      <c r="AR204">
        <v>1</v>
      </c>
      <c r="AS204">
        <v>1</v>
      </c>
      <c r="AT204">
        <v>2</v>
      </c>
      <c r="AU204">
        <v>1</v>
      </c>
      <c r="AV204">
        <v>1</v>
      </c>
      <c r="AW204">
        <v>2</v>
      </c>
      <c r="AX204">
        <v>1</v>
      </c>
      <c r="AY204">
        <v>2</v>
      </c>
      <c r="AZ204">
        <v>2</v>
      </c>
      <c r="BA204">
        <v>2</v>
      </c>
      <c r="BB204">
        <v>2</v>
      </c>
      <c r="BC204">
        <v>2</v>
      </c>
      <c r="BD204">
        <v>1</v>
      </c>
      <c r="BE204">
        <v>2</v>
      </c>
      <c r="BF204">
        <v>2</v>
      </c>
      <c r="BG204">
        <v>1</v>
      </c>
      <c r="BH204">
        <v>1</v>
      </c>
      <c r="BI204">
        <v>2</v>
      </c>
      <c r="BJ204">
        <v>2</v>
      </c>
      <c r="BK204">
        <v>1</v>
      </c>
      <c r="BL204">
        <v>2</v>
      </c>
      <c r="BM204">
        <v>1</v>
      </c>
      <c r="BN204">
        <v>2</v>
      </c>
      <c r="BO204">
        <v>2</v>
      </c>
      <c r="BP204">
        <v>2</v>
      </c>
      <c r="BQ204">
        <v>1</v>
      </c>
      <c r="BR204">
        <v>1</v>
      </c>
      <c r="BS204">
        <v>2</v>
      </c>
      <c r="BU204">
        <v>2</v>
      </c>
      <c r="BV204">
        <v>1</v>
      </c>
      <c r="BW204">
        <v>2</v>
      </c>
      <c r="BX204">
        <v>2</v>
      </c>
      <c r="BY204">
        <v>2</v>
      </c>
      <c r="BZ204">
        <v>1</v>
      </c>
      <c r="CA204">
        <v>2</v>
      </c>
      <c r="CB204">
        <v>2</v>
      </c>
      <c r="CC204">
        <v>1</v>
      </c>
      <c r="CD204">
        <v>1</v>
      </c>
      <c r="CF204">
        <v>2</v>
      </c>
      <c r="CG204">
        <v>2</v>
      </c>
      <c r="CH204">
        <v>2</v>
      </c>
      <c r="CI204">
        <v>1</v>
      </c>
      <c r="CK204">
        <v>1</v>
      </c>
    </row>
    <row r="205" spans="1:89" x14ac:dyDescent="0.3">
      <c r="A205" s="155">
        <v>947</v>
      </c>
      <c r="B205" t="s">
        <v>918</v>
      </c>
      <c r="D205" t="s">
        <v>919</v>
      </c>
      <c r="E205" t="s">
        <v>2074</v>
      </c>
      <c r="F205" t="s">
        <v>2075</v>
      </c>
      <c r="G205" t="s">
        <v>2076</v>
      </c>
      <c r="I205" t="s">
        <v>2077</v>
      </c>
      <c r="J205" t="s">
        <v>2078</v>
      </c>
      <c r="K205" t="s">
        <v>2079</v>
      </c>
      <c r="L205" t="s">
        <v>1549</v>
      </c>
      <c r="M205" t="s">
        <v>2080</v>
      </c>
      <c r="N205" t="s">
        <v>2081</v>
      </c>
      <c r="O205" t="s">
        <v>2082</v>
      </c>
      <c r="P205" t="s">
        <v>2083</v>
      </c>
      <c r="Q205" t="s">
        <v>2084</v>
      </c>
      <c r="R205" t="s">
        <v>2085</v>
      </c>
      <c r="S205" t="s">
        <v>2086</v>
      </c>
      <c r="T205" t="s">
        <v>1595</v>
      </c>
      <c r="U205" t="s">
        <v>2087</v>
      </c>
      <c r="V205" t="s">
        <v>2088</v>
      </c>
      <c r="W205" t="s">
        <v>2089</v>
      </c>
      <c r="X205" t="s">
        <v>2090</v>
      </c>
      <c r="Y205" t="s">
        <v>2091</v>
      </c>
      <c r="Z205" t="s">
        <v>2092</v>
      </c>
      <c r="AA205" t="s">
        <v>2093</v>
      </c>
      <c r="AB205" t="s">
        <v>2094</v>
      </c>
      <c r="AD205" t="s">
        <v>2095</v>
      </c>
      <c r="AE205" t="s">
        <v>2096</v>
      </c>
      <c r="AF205" t="s">
        <v>2097</v>
      </c>
      <c r="AG205" t="s">
        <v>2098</v>
      </c>
      <c r="AH205" t="s">
        <v>2099</v>
      </c>
      <c r="AI205" t="s">
        <v>2100</v>
      </c>
      <c r="AJ205" t="s">
        <v>2101</v>
      </c>
      <c r="AK205" t="s">
        <v>2102</v>
      </c>
      <c r="AL205" t="s">
        <v>2103</v>
      </c>
      <c r="AN205" t="s">
        <v>2104</v>
      </c>
      <c r="AP205" t="s">
        <v>920</v>
      </c>
      <c r="AQ205" t="s">
        <v>2105</v>
      </c>
      <c r="AR205" t="s">
        <v>2106</v>
      </c>
      <c r="AS205" t="s">
        <v>1064</v>
      </c>
      <c r="AT205" t="s">
        <v>2107</v>
      </c>
      <c r="AU205" t="s">
        <v>2108</v>
      </c>
      <c r="AV205" t="s">
        <v>2109</v>
      </c>
      <c r="AW205" t="s">
        <v>2110</v>
      </c>
      <c r="AX205" t="s">
        <v>1551</v>
      </c>
      <c r="AY205" t="s">
        <v>2111</v>
      </c>
      <c r="AZ205" t="s">
        <v>2112</v>
      </c>
      <c r="BA205" t="s">
        <v>2113</v>
      </c>
      <c r="BB205" t="s">
        <v>2114</v>
      </c>
      <c r="BC205" t="s">
        <v>1988</v>
      </c>
      <c r="BD205" t="s">
        <v>2115</v>
      </c>
      <c r="BE205" t="s">
        <v>2116</v>
      </c>
      <c r="BF205" t="s">
        <v>2117</v>
      </c>
      <c r="BG205" t="s">
        <v>2079</v>
      </c>
      <c r="BH205" t="s">
        <v>1552</v>
      </c>
      <c r="BI205" t="s">
        <v>2118</v>
      </c>
      <c r="BJ205" t="s">
        <v>2119</v>
      </c>
      <c r="BK205" t="s">
        <v>2120</v>
      </c>
      <c r="BL205" t="s">
        <v>2121</v>
      </c>
      <c r="BM205" t="s">
        <v>2122</v>
      </c>
      <c r="BN205" t="s">
        <v>2123</v>
      </c>
      <c r="BO205" t="s">
        <v>1147</v>
      </c>
      <c r="BP205" t="s">
        <v>2124</v>
      </c>
      <c r="BQ205" t="s">
        <v>2125</v>
      </c>
      <c r="BR205" t="s">
        <v>2126</v>
      </c>
      <c r="BS205" t="s">
        <v>2127</v>
      </c>
      <c r="BU205" t="s">
        <v>2074</v>
      </c>
      <c r="BV205" t="s">
        <v>2128</v>
      </c>
      <c r="BW205" t="s">
        <v>2129</v>
      </c>
      <c r="BX205" t="s">
        <v>2130</v>
      </c>
      <c r="BY205" t="s">
        <v>2131</v>
      </c>
      <c r="BZ205" t="s">
        <v>2132</v>
      </c>
      <c r="CA205" t="s">
        <v>2133</v>
      </c>
      <c r="CB205" t="s">
        <v>2134</v>
      </c>
      <c r="CC205" t="s">
        <v>2091</v>
      </c>
      <c r="CD205" t="s">
        <v>2135</v>
      </c>
      <c r="CF205" t="s">
        <v>2099</v>
      </c>
      <c r="CG205" t="s">
        <v>1550</v>
      </c>
      <c r="CH205" t="s">
        <v>1987</v>
      </c>
      <c r="CI205" t="s">
        <v>1065</v>
      </c>
      <c r="CK205" t="s">
        <v>2119</v>
      </c>
    </row>
    <row r="206" spans="1:89" x14ac:dyDescent="0.3">
      <c r="A206" s="155">
        <v>948</v>
      </c>
      <c r="B206" t="s">
        <v>921</v>
      </c>
      <c r="D206" t="s">
        <v>2136</v>
      </c>
      <c r="E206" t="s">
        <v>2137</v>
      </c>
      <c r="F206" t="s">
        <v>2138</v>
      </c>
      <c r="G206" t="s">
        <v>2139</v>
      </c>
      <c r="I206" t="s">
        <v>1596</v>
      </c>
      <c r="J206" t="s">
        <v>2140</v>
      </c>
      <c r="K206" t="s">
        <v>2141</v>
      </c>
      <c r="L206" t="s">
        <v>2142</v>
      </c>
      <c r="M206" t="s">
        <v>2143</v>
      </c>
      <c r="N206" t="s">
        <v>1304</v>
      </c>
      <c r="O206" t="s">
        <v>2144</v>
      </c>
      <c r="P206" t="s">
        <v>2145</v>
      </c>
      <c r="Q206" t="s">
        <v>2146</v>
      </c>
      <c r="R206" t="s">
        <v>2147</v>
      </c>
      <c r="S206" t="s">
        <v>1597</v>
      </c>
      <c r="T206" t="s">
        <v>2148</v>
      </c>
      <c r="U206" t="s">
        <v>2149</v>
      </c>
      <c r="V206" t="s">
        <v>2150</v>
      </c>
      <c r="W206" t="s">
        <v>2151</v>
      </c>
      <c r="X206" t="s">
        <v>2152</v>
      </c>
      <c r="Y206" t="s">
        <v>1554</v>
      </c>
      <c r="Z206" t="s">
        <v>2153</v>
      </c>
      <c r="AA206" t="s">
        <v>2154</v>
      </c>
      <c r="AB206" t="s">
        <v>2155</v>
      </c>
      <c r="AD206" t="s">
        <v>2156</v>
      </c>
      <c r="AE206" t="s">
        <v>2157</v>
      </c>
      <c r="AF206" t="s">
        <v>2158</v>
      </c>
      <c r="AG206" t="s">
        <v>2159</v>
      </c>
      <c r="AH206" t="s">
        <v>2160</v>
      </c>
      <c r="AI206" t="s">
        <v>2161</v>
      </c>
      <c r="AJ206" t="s">
        <v>1213</v>
      </c>
      <c r="AK206" t="s">
        <v>2162</v>
      </c>
      <c r="AL206" t="s">
        <v>2163</v>
      </c>
      <c r="AN206" t="s">
        <v>2164</v>
      </c>
      <c r="AP206" t="s">
        <v>2165</v>
      </c>
      <c r="AQ206" t="s">
        <v>1597</v>
      </c>
      <c r="AR206" t="s">
        <v>2166</v>
      </c>
      <c r="AS206" t="s">
        <v>2167</v>
      </c>
      <c r="AT206" t="s">
        <v>2168</v>
      </c>
      <c r="AU206" t="s">
        <v>2169</v>
      </c>
      <c r="AV206" t="s">
        <v>2170</v>
      </c>
      <c r="AW206" t="s">
        <v>2171</v>
      </c>
      <c r="AX206" t="s">
        <v>1597</v>
      </c>
      <c r="AY206" t="s">
        <v>2172</v>
      </c>
      <c r="AZ206" t="s">
        <v>2173</v>
      </c>
      <c r="BA206" t="s">
        <v>2174</v>
      </c>
      <c r="BB206" t="s">
        <v>2175</v>
      </c>
      <c r="BC206" t="s">
        <v>1338</v>
      </c>
      <c r="BD206" t="s">
        <v>2176</v>
      </c>
      <c r="BE206" t="s">
        <v>2177</v>
      </c>
      <c r="BF206" t="s">
        <v>1556</v>
      </c>
      <c r="BG206" t="s">
        <v>2178</v>
      </c>
      <c r="BH206" t="s">
        <v>510</v>
      </c>
      <c r="BI206" t="s">
        <v>1299</v>
      </c>
      <c r="BJ206" t="s">
        <v>2179</v>
      </c>
      <c r="BK206" t="s">
        <v>1557</v>
      </c>
      <c r="BL206" t="s">
        <v>2180</v>
      </c>
      <c r="BM206" t="s">
        <v>2181</v>
      </c>
      <c r="BN206" t="s">
        <v>2182</v>
      </c>
      <c r="BO206" t="s">
        <v>2183</v>
      </c>
      <c r="BP206" t="s">
        <v>2184</v>
      </c>
      <c r="BQ206" t="s">
        <v>2185</v>
      </c>
      <c r="BR206" t="s">
        <v>2186</v>
      </c>
      <c r="BS206" t="s">
        <v>1304</v>
      </c>
      <c r="BU206" t="s">
        <v>2187</v>
      </c>
      <c r="BV206" t="s">
        <v>2188</v>
      </c>
      <c r="BW206" t="s">
        <v>2189</v>
      </c>
      <c r="BX206" t="s">
        <v>1554</v>
      </c>
      <c r="BY206" t="s">
        <v>2190</v>
      </c>
      <c r="BZ206" t="s">
        <v>2191</v>
      </c>
      <c r="CA206" t="s">
        <v>2192</v>
      </c>
      <c r="CB206" t="s">
        <v>2193</v>
      </c>
      <c r="CC206" t="s">
        <v>2194</v>
      </c>
      <c r="CD206" t="s">
        <v>1554</v>
      </c>
      <c r="CF206" t="s">
        <v>2195</v>
      </c>
      <c r="CG206" t="s">
        <v>2196</v>
      </c>
      <c r="CH206" t="s">
        <v>2197</v>
      </c>
      <c r="CI206" t="s">
        <v>1555</v>
      </c>
      <c r="CK206" t="s">
        <v>2198</v>
      </c>
    </row>
    <row r="207" spans="1:89" x14ac:dyDescent="0.3">
      <c r="A207" s="155">
        <v>949</v>
      </c>
      <c r="B207" t="s">
        <v>922</v>
      </c>
      <c r="D207" t="s">
        <v>410</v>
      </c>
      <c r="E207" t="s">
        <v>410</v>
      </c>
      <c r="F207" t="s">
        <v>410</v>
      </c>
      <c r="G207" t="s">
        <v>410</v>
      </c>
      <c r="I207" t="s">
        <v>410</v>
      </c>
      <c r="J207" t="s">
        <v>410</v>
      </c>
      <c r="K207" t="s">
        <v>410</v>
      </c>
      <c r="L207" t="s">
        <v>410</v>
      </c>
      <c r="M207" t="s">
        <v>410</v>
      </c>
      <c r="N207" t="s">
        <v>410</v>
      </c>
      <c r="O207" t="s">
        <v>410</v>
      </c>
      <c r="P207" t="s">
        <v>410</v>
      </c>
      <c r="Q207" t="s">
        <v>410</v>
      </c>
      <c r="R207" t="s">
        <v>410</v>
      </c>
      <c r="S207" t="s">
        <v>410</v>
      </c>
      <c r="T207" t="s">
        <v>410</v>
      </c>
      <c r="U207" t="s">
        <v>410</v>
      </c>
      <c r="V207" t="s">
        <v>410</v>
      </c>
      <c r="W207" t="s">
        <v>410</v>
      </c>
      <c r="X207" t="s">
        <v>410</v>
      </c>
      <c r="Y207" t="s">
        <v>410</v>
      </c>
      <c r="Z207" t="s">
        <v>410</v>
      </c>
      <c r="AA207" t="s">
        <v>410</v>
      </c>
      <c r="AB207" t="s">
        <v>410</v>
      </c>
      <c r="AD207" t="s">
        <v>410</v>
      </c>
      <c r="AE207" t="s">
        <v>410</v>
      </c>
      <c r="AF207" t="s">
        <v>410</v>
      </c>
      <c r="AG207" t="s">
        <v>410</v>
      </c>
      <c r="AH207" t="s">
        <v>410</v>
      </c>
      <c r="AI207" t="s">
        <v>410</v>
      </c>
      <c r="AJ207" t="s">
        <v>410</v>
      </c>
      <c r="AK207" t="s">
        <v>410</v>
      </c>
      <c r="AL207" t="s">
        <v>410</v>
      </c>
      <c r="AN207" t="s">
        <v>410</v>
      </c>
      <c r="AP207" t="s">
        <v>1991</v>
      </c>
      <c r="AQ207" t="s">
        <v>410</v>
      </c>
      <c r="AR207" t="s">
        <v>410</v>
      </c>
      <c r="AS207" t="s">
        <v>410</v>
      </c>
      <c r="AT207" t="s">
        <v>410</v>
      </c>
      <c r="AU207" t="s">
        <v>410</v>
      </c>
      <c r="AV207" t="s">
        <v>410</v>
      </c>
      <c r="AW207" t="s">
        <v>410</v>
      </c>
      <c r="AX207" t="s">
        <v>410</v>
      </c>
      <c r="AY207" t="s">
        <v>410</v>
      </c>
      <c r="AZ207" t="s">
        <v>410</v>
      </c>
      <c r="BA207" t="s">
        <v>410</v>
      </c>
      <c r="BB207" t="s">
        <v>410</v>
      </c>
      <c r="BC207" t="s">
        <v>410</v>
      </c>
      <c r="BD207" t="s">
        <v>410</v>
      </c>
      <c r="BE207" t="s">
        <v>410</v>
      </c>
      <c r="BF207" t="s">
        <v>410</v>
      </c>
      <c r="BG207" t="s">
        <v>410</v>
      </c>
      <c r="BH207" t="s">
        <v>410</v>
      </c>
      <c r="BI207" t="s">
        <v>410</v>
      </c>
      <c r="BJ207" t="s">
        <v>410</v>
      </c>
      <c r="BK207" t="s">
        <v>410</v>
      </c>
      <c r="BL207" t="s">
        <v>410</v>
      </c>
      <c r="BM207" t="s">
        <v>410</v>
      </c>
      <c r="BN207" t="s">
        <v>410</v>
      </c>
      <c r="BO207" t="s">
        <v>410</v>
      </c>
      <c r="BP207" t="s">
        <v>410</v>
      </c>
      <c r="BQ207" t="s">
        <v>410</v>
      </c>
      <c r="BR207" t="s">
        <v>428</v>
      </c>
      <c r="BS207" t="s">
        <v>410</v>
      </c>
      <c r="BU207" t="s">
        <v>410</v>
      </c>
      <c r="BV207" t="s">
        <v>1991</v>
      </c>
      <c r="BW207" t="s">
        <v>410</v>
      </c>
      <c r="BX207" t="s">
        <v>410</v>
      </c>
      <c r="BY207" t="s">
        <v>410</v>
      </c>
      <c r="BZ207" t="s">
        <v>410</v>
      </c>
      <c r="CA207" t="s">
        <v>410</v>
      </c>
      <c r="CB207" t="s">
        <v>410</v>
      </c>
      <c r="CC207" t="s">
        <v>410</v>
      </c>
      <c r="CD207" t="s">
        <v>410</v>
      </c>
      <c r="CF207" t="s">
        <v>410</v>
      </c>
      <c r="CG207" t="s">
        <v>410</v>
      </c>
      <c r="CH207" t="s">
        <v>410</v>
      </c>
      <c r="CI207" t="s">
        <v>410</v>
      </c>
      <c r="CK207" t="s">
        <v>410</v>
      </c>
    </row>
    <row r="208" spans="1:89" x14ac:dyDescent="0.3">
      <c r="A208" s="155">
        <v>950</v>
      </c>
      <c r="B208" t="s">
        <v>923</v>
      </c>
      <c r="D208" t="s">
        <v>50</v>
      </c>
      <c r="E208" t="s">
        <v>50</v>
      </c>
      <c r="F208" t="s">
        <v>50</v>
      </c>
      <c r="G208" t="s">
        <v>50</v>
      </c>
      <c r="I208" t="s">
        <v>50</v>
      </c>
      <c r="J208" t="s">
        <v>50</v>
      </c>
      <c r="K208" t="s">
        <v>50</v>
      </c>
      <c r="L208" t="s">
        <v>50</v>
      </c>
      <c r="M208" t="s">
        <v>50</v>
      </c>
      <c r="N208" t="s">
        <v>50</v>
      </c>
      <c r="O208" t="s">
        <v>50</v>
      </c>
      <c r="P208" t="s">
        <v>50</v>
      </c>
      <c r="Q208" t="s">
        <v>50</v>
      </c>
      <c r="R208" t="s">
        <v>50</v>
      </c>
      <c r="S208" t="s">
        <v>50</v>
      </c>
      <c r="T208" t="s">
        <v>50</v>
      </c>
      <c r="U208" t="s">
        <v>50</v>
      </c>
      <c r="V208" t="s">
        <v>50</v>
      </c>
      <c r="W208" t="s">
        <v>50</v>
      </c>
      <c r="X208" t="s">
        <v>50</v>
      </c>
      <c r="Y208" t="s">
        <v>50</v>
      </c>
      <c r="Z208" t="s">
        <v>50</v>
      </c>
      <c r="AA208" t="s">
        <v>50</v>
      </c>
      <c r="AB208" t="s">
        <v>50</v>
      </c>
      <c r="AD208" t="s">
        <v>50</v>
      </c>
      <c r="AE208" t="s">
        <v>50</v>
      </c>
      <c r="AF208" t="s">
        <v>50</v>
      </c>
      <c r="AG208" t="s">
        <v>50</v>
      </c>
      <c r="AH208" t="s">
        <v>50</v>
      </c>
      <c r="AI208" t="s">
        <v>50</v>
      </c>
      <c r="AJ208" t="s">
        <v>50</v>
      </c>
      <c r="AK208" t="s">
        <v>50</v>
      </c>
      <c r="AL208" t="s">
        <v>50</v>
      </c>
      <c r="AN208" t="s">
        <v>50</v>
      </c>
      <c r="AP208" t="s">
        <v>50</v>
      </c>
      <c r="AQ208" t="s">
        <v>50</v>
      </c>
      <c r="AR208" t="s">
        <v>50</v>
      </c>
      <c r="AS208" t="s">
        <v>50</v>
      </c>
      <c r="AT208" t="s">
        <v>50</v>
      </c>
      <c r="AU208" t="s">
        <v>50</v>
      </c>
      <c r="AV208" t="s">
        <v>50</v>
      </c>
      <c r="AW208" t="s">
        <v>50</v>
      </c>
      <c r="AX208" t="s">
        <v>50</v>
      </c>
      <c r="AY208" t="s">
        <v>50</v>
      </c>
      <c r="AZ208" t="s">
        <v>50</v>
      </c>
      <c r="BA208" t="s">
        <v>50</v>
      </c>
      <c r="BB208" t="s">
        <v>50</v>
      </c>
      <c r="BC208" t="s">
        <v>50</v>
      </c>
      <c r="BD208" t="s">
        <v>50</v>
      </c>
      <c r="BE208" t="s">
        <v>50</v>
      </c>
      <c r="BF208" t="s">
        <v>50</v>
      </c>
      <c r="BG208" t="s">
        <v>50</v>
      </c>
      <c r="BH208" t="s">
        <v>50</v>
      </c>
      <c r="BI208" t="s">
        <v>51</v>
      </c>
      <c r="BJ208" t="s">
        <v>50</v>
      </c>
      <c r="BK208" t="s">
        <v>50</v>
      </c>
      <c r="BL208" t="s">
        <v>50</v>
      </c>
      <c r="BM208" t="s">
        <v>2199</v>
      </c>
      <c r="BN208" t="s">
        <v>50</v>
      </c>
      <c r="BO208" t="s">
        <v>50</v>
      </c>
      <c r="BP208" t="s">
        <v>50</v>
      </c>
      <c r="BQ208" t="s">
        <v>50</v>
      </c>
      <c r="BR208" t="s">
        <v>50</v>
      </c>
      <c r="BS208" t="s">
        <v>50</v>
      </c>
      <c r="BU208" t="s">
        <v>50</v>
      </c>
      <c r="BV208" t="s">
        <v>1600</v>
      </c>
      <c r="BW208" t="s">
        <v>50</v>
      </c>
      <c r="BX208" t="s">
        <v>50</v>
      </c>
      <c r="BY208" t="s">
        <v>50</v>
      </c>
      <c r="BZ208" t="s">
        <v>50</v>
      </c>
      <c r="CA208" t="s">
        <v>50</v>
      </c>
      <c r="CB208" t="s">
        <v>50</v>
      </c>
      <c r="CC208" t="s">
        <v>50</v>
      </c>
      <c r="CD208" t="s">
        <v>50</v>
      </c>
      <c r="CF208" t="s">
        <v>50</v>
      </c>
      <c r="CG208" t="s">
        <v>50</v>
      </c>
      <c r="CH208" t="s">
        <v>50</v>
      </c>
      <c r="CI208" t="s">
        <v>50</v>
      </c>
      <c r="CK208" t="s">
        <v>50</v>
      </c>
    </row>
    <row r="209" spans="1:89" x14ac:dyDescent="0.3">
      <c r="A209" s="155">
        <v>951</v>
      </c>
      <c r="B209" t="s">
        <v>924</v>
      </c>
      <c r="D209">
        <v>2</v>
      </c>
      <c r="E209">
        <v>2</v>
      </c>
      <c r="F209">
        <v>2</v>
      </c>
      <c r="G209">
        <v>1</v>
      </c>
      <c r="I209">
        <v>2</v>
      </c>
      <c r="J209">
        <v>2</v>
      </c>
      <c r="K209">
        <v>2</v>
      </c>
      <c r="L209">
        <v>2</v>
      </c>
      <c r="M209">
        <v>2</v>
      </c>
      <c r="N209">
        <v>2</v>
      </c>
      <c r="O209">
        <v>2</v>
      </c>
      <c r="P209">
        <v>1</v>
      </c>
      <c r="Q209">
        <v>1</v>
      </c>
      <c r="R209">
        <v>2</v>
      </c>
      <c r="S209">
        <v>2</v>
      </c>
      <c r="T209">
        <v>2</v>
      </c>
      <c r="U209">
        <v>2</v>
      </c>
      <c r="V209">
        <v>1</v>
      </c>
      <c r="W209">
        <v>2</v>
      </c>
      <c r="X209">
        <v>2</v>
      </c>
      <c r="Y209">
        <v>2</v>
      </c>
      <c r="Z209">
        <v>2</v>
      </c>
      <c r="AA209">
        <v>2</v>
      </c>
      <c r="AB209">
        <v>2</v>
      </c>
      <c r="AD209">
        <v>2</v>
      </c>
      <c r="AE209">
        <v>2</v>
      </c>
      <c r="AF209">
        <v>2</v>
      </c>
      <c r="AG209">
        <v>2</v>
      </c>
      <c r="AH209">
        <v>2</v>
      </c>
      <c r="AI209">
        <v>2</v>
      </c>
      <c r="AJ209">
        <v>2</v>
      </c>
      <c r="AK209">
        <v>2</v>
      </c>
      <c r="AL209">
        <v>2</v>
      </c>
      <c r="AN209">
        <v>2</v>
      </c>
      <c r="AP209">
        <v>2</v>
      </c>
      <c r="AQ209">
        <v>2</v>
      </c>
      <c r="AR209">
        <v>1</v>
      </c>
      <c r="AS209">
        <v>2</v>
      </c>
      <c r="AT209">
        <v>2</v>
      </c>
      <c r="AU209">
        <v>1</v>
      </c>
      <c r="AV209">
        <v>2</v>
      </c>
      <c r="AW209">
        <v>2</v>
      </c>
      <c r="AX209">
        <v>2</v>
      </c>
      <c r="AY209">
        <v>2</v>
      </c>
      <c r="AZ209">
        <v>2</v>
      </c>
      <c r="BA209">
        <v>2</v>
      </c>
      <c r="BB209">
        <v>2</v>
      </c>
      <c r="BC209">
        <v>2</v>
      </c>
      <c r="BD209">
        <v>2</v>
      </c>
      <c r="BE209">
        <v>2</v>
      </c>
      <c r="BF209">
        <v>2</v>
      </c>
      <c r="BG209">
        <v>2</v>
      </c>
      <c r="BH209">
        <v>2</v>
      </c>
      <c r="BI209">
        <v>2</v>
      </c>
      <c r="BJ209">
        <v>2</v>
      </c>
      <c r="BK209">
        <v>2</v>
      </c>
      <c r="BL209">
        <v>2</v>
      </c>
      <c r="BM209">
        <v>2</v>
      </c>
      <c r="BN209">
        <v>2</v>
      </c>
      <c r="BO209">
        <v>2</v>
      </c>
      <c r="BP209">
        <v>2</v>
      </c>
      <c r="BQ209">
        <v>1</v>
      </c>
      <c r="BR209">
        <v>2</v>
      </c>
      <c r="BS209">
        <v>2</v>
      </c>
      <c r="BU209">
        <v>2</v>
      </c>
      <c r="BV209">
        <v>2</v>
      </c>
      <c r="BW209">
        <v>2</v>
      </c>
      <c r="BX209">
        <v>2</v>
      </c>
      <c r="BY209">
        <v>2</v>
      </c>
      <c r="BZ209">
        <v>2</v>
      </c>
      <c r="CA209">
        <v>2</v>
      </c>
      <c r="CB209">
        <v>2</v>
      </c>
      <c r="CC209">
        <v>1</v>
      </c>
      <c r="CD209">
        <v>2</v>
      </c>
      <c r="CF209">
        <v>2</v>
      </c>
      <c r="CG209">
        <v>2</v>
      </c>
      <c r="CH209">
        <v>2</v>
      </c>
      <c r="CI209">
        <v>2</v>
      </c>
      <c r="CK209">
        <v>1</v>
      </c>
    </row>
    <row r="210" spans="1:89" x14ac:dyDescent="0.3">
      <c r="A210" s="155">
        <v>952</v>
      </c>
      <c r="B210" t="s">
        <v>925</v>
      </c>
      <c r="D210" t="s">
        <v>2200</v>
      </c>
      <c r="E210" t="s">
        <v>2201</v>
      </c>
      <c r="F210" t="s">
        <v>2202</v>
      </c>
      <c r="G210" t="s">
        <v>2203</v>
      </c>
      <c r="I210" t="s">
        <v>2204</v>
      </c>
      <c r="J210" t="s">
        <v>2205</v>
      </c>
      <c r="K210" t="s">
        <v>2206</v>
      </c>
      <c r="L210" t="s">
        <v>927</v>
      </c>
      <c r="M210" t="s">
        <v>2207</v>
      </c>
      <c r="P210" t="s">
        <v>2204</v>
      </c>
      <c r="S210" t="s">
        <v>2208</v>
      </c>
      <c r="V210" t="s">
        <v>2209</v>
      </c>
      <c r="W210" t="s">
        <v>2210</v>
      </c>
      <c r="X210" t="s">
        <v>2211</v>
      </c>
      <c r="Y210" t="s">
        <v>2212</v>
      </c>
      <c r="Z210" t="s">
        <v>2213</v>
      </c>
      <c r="AB210" t="s">
        <v>2214</v>
      </c>
      <c r="AD210" t="s">
        <v>2215</v>
      </c>
      <c r="AE210" t="s">
        <v>2216</v>
      </c>
      <c r="AF210" t="s">
        <v>2217</v>
      </c>
      <c r="AG210" t="s">
        <v>2218</v>
      </c>
      <c r="AH210" t="s">
        <v>2219</v>
      </c>
      <c r="AI210" t="s">
        <v>2220</v>
      </c>
      <c r="AJ210" t="s">
        <v>2221</v>
      </c>
      <c r="AK210" t="s">
        <v>2222</v>
      </c>
      <c r="AL210" t="s">
        <v>2223</v>
      </c>
      <c r="AN210" t="s">
        <v>2224</v>
      </c>
      <c r="AQ210" t="s">
        <v>2225</v>
      </c>
      <c r="AR210" t="s">
        <v>2226</v>
      </c>
      <c r="AS210" t="s">
        <v>2227</v>
      </c>
      <c r="AT210" t="s">
        <v>2228</v>
      </c>
      <c r="AV210" t="s">
        <v>926</v>
      </c>
      <c r="AW210" t="s">
        <v>2229</v>
      </c>
      <c r="AX210" t="s">
        <v>2230</v>
      </c>
      <c r="AY210" t="s">
        <v>2231</v>
      </c>
      <c r="AZ210" t="s">
        <v>2232</v>
      </c>
      <c r="BA210" t="s">
        <v>2233</v>
      </c>
      <c r="BB210" t="s">
        <v>2234</v>
      </c>
      <c r="BC210" t="s">
        <v>2235</v>
      </c>
      <c r="BD210" t="s">
        <v>2236</v>
      </c>
      <c r="BE210" t="s">
        <v>2204</v>
      </c>
      <c r="BF210" t="s">
        <v>928</v>
      </c>
      <c r="BG210" t="s">
        <v>2237</v>
      </c>
      <c r="BH210" t="s">
        <v>2217</v>
      </c>
      <c r="BJ210" t="s">
        <v>2238</v>
      </c>
      <c r="BL210" t="s">
        <v>2239</v>
      </c>
      <c r="BM210" t="s">
        <v>2240</v>
      </c>
      <c r="BN210" t="s">
        <v>2241</v>
      </c>
      <c r="BO210" t="s">
        <v>2242</v>
      </c>
      <c r="BP210" t="s">
        <v>2243</v>
      </c>
      <c r="BQ210" t="s">
        <v>2244</v>
      </c>
      <c r="BR210" t="s">
        <v>1613</v>
      </c>
      <c r="BS210" t="s">
        <v>2245</v>
      </c>
      <c r="BU210" t="s">
        <v>928</v>
      </c>
      <c r="BV210" t="s">
        <v>2246</v>
      </c>
      <c r="BW210" t="s">
        <v>2247</v>
      </c>
      <c r="BX210" t="s">
        <v>2248</v>
      </c>
      <c r="CA210" t="s">
        <v>2222</v>
      </c>
      <c r="CB210" t="s">
        <v>928</v>
      </c>
      <c r="CC210" t="s">
        <v>2249</v>
      </c>
      <c r="CD210" t="s">
        <v>2217</v>
      </c>
      <c r="CF210" t="s">
        <v>2250</v>
      </c>
      <c r="CG210" t="s">
        <v>2251</v>
      </c>
      <c r="CH210" t="s">
        <v>2252</v>
      </c>
      <c r="CI210" t="s">
        <v>2253</v>
      </c>
      <c r="CK210" t="s">
        <v>2254</v>
      </c>
    </row>
    <row r="211" spans="1:89" x14ac:dyDescent="0.3">
      <c r="A211" s="155">
        <v>953</v>
      </c>
      <c r="B211" t="s">
        <v>929</v>
      </c>
      <c r="D211">
        <v>2</v>
      </c>
      <c r="E211">
        <v>2</v>
      </c>
      <c r="F211">
        <v>2</v>
      </c>
      <c r="G211">
        <v>2</v>
      </c>
      <c r="I211">
        <v>2</v>
      </c>
      <c r="J211">
        <v>2</v>
      </c>
      <c r="K211">
        <v>2</v>
      </c>
      <c r="L211">
        <v>2</v>
      </c>
      <c r="M211">
        <v>2</v>
      </c>
      <c r="N211">
        <v>2</v>
      </c>
      <c r="O211">
        <v>2</v>
      </c>
      <c r="P211">
        <v>2</v>
      </c>
      <c r="Q211">
        <v>2</v>
      </c>
      <c r="R211">
        <v>2</v>
      </c>
      <c r="S211">
        <v>2</v>
      </c>
      <c r="T211">
        <v>2</v>
      </c>
      <c r="U211">
        <v>2</v>
      </c>
      <c r="V211">
        <v>2</v>
      </c>
      <c r="W211">
        <v>2</v>
      </c>
      <c r="X211">
        <v>2</v>
      </c>
      <c r="Y211">
        <v>2</v>
      </c>
      <c r="Z211">
        <v>2</v>
      </c>
      <c r="AA211">
        <v>2</v>
      </c>
      <c r="AB211">
        <v>2</v>
      </c>
      <c r="AD211">
        <v>2</v>
      </c>
      <c r="AE211">
        <v>2</v>
      </c>
      <c r="AF211">
        <v>2</v>
      </c>
      <c r="AG211">
        <v>2</v>
      </c>
      <c r="AH211">
        <v>2</v>
      </c>
      <c r="AI211">
        <v>2</v>
      </c>
      <c r="AJ211">
        <v>2</v>
      </c>
      <c r="AK211">
        <v>2</v>
      </c>
      <c r="AL211">
        <v>2</v>
      </c>
      <c r="AN211">
        <v>2</v>
      </c>
      <c r="AP211">
        <v>2</v>
      </c>
      <c r="AQ211">
        <v>2</v>
      </c>
      <c r="AR211">
        <v>2</v>
      </c>
      <c r="AS211">
        <v>2</v>
      </c>
      <c r="AT211">
        <v>2</v>
      </c>
      <c r="AU211">
        <v>2</v>
      </c>
      <c r="AV211">
        <v>2</v>
      </c>
      <c r="AW211">
        <v>2</v>
      </c>
      <c r="AX211">
        <v>2</v>
      </c>
      <c r="AY211">
        <v>2</v>
      </c>
      <c r="AZ211">
        <v>2</v>
      </c>
      <c r="BA211">
        <v>2</v>
      </c>
      <c r="BB211">
        <v>2</v>
      </c>
      <c r="BC211">
        <v>2</v>
      </c>
      <c r="BD211">
        <v>2</v>
      </c>
      <c r="BE211">
        <v>2</v>
      </c>
      <c r="BF211">
        <v>2</v>
      </c>
      <c r="BG211">
        <v>2</v>
      </c>
      <c r="BH211">
        <v>2</v>
      </c>
      <c r="BI211">
        <v>2</v>
      </c>
      <c r="BJ211">
        <v>2</v>
      </c>
      <c r="BK211">
        <v>2</v>
      </c>
      <c r="BL211">
        <v>2</v>
      </c>
      <c r="BM211">
        <v>2</v>
      </c>
      <c r="BN211">
        <v>2</v>
      </c>
      <c r="BO211">
        <v>2</v>
      </c>
      <c r="BP211">
        <v>2</v>
      </c>
      <c r="BQ211">
        <v>2</v>
      </c>
      <c r="BR211">
        <v>2</v>
      </c>
      <c r="BS211">
        <v>2</v>
      </c>
      <c r="BU211">
        <v>2</v>
      </c>
      <c r="BV211">
        <v>2</v>
      </c>
      <c r="BW211">
        <v>2</v>
      </c>
      <c r="BX211">
        <v>2</v>
      </c>
      <c r="BY211">
        <v>2</v>
      </c>
      <c r="BZ211">
        <v>2</v>
      </c>
      <c r="CA211">
        <v>2</v>
      </c>
      <c r="CB211">
        <v>2</v>
      </c>
      <c r="CC211">
        <v>2</v>
      </c>
      <c r="CD211">
        <v>2</v>
      </c>
      <c r="CF211">
        <v>2</v>
      </c>
      <c r="CG211">
        <v>2</v>
      </c>
      <c r="CH211">
        <v>2</v>
      </c>
      <c r="CI211">
        <v>2</v>
      </c>
      <c r="CK211">
        <v>2</v>
      </c>
    </row>
    <row r="212" spans="1:89" x14ac:dyDescent="0.3">
      <c r="A212" s="155">
        <v>954</v>
      </c>
      <c r="B212" t="s">
        <v>408</v>
      </c>
      <c r="D212" t="s">
        <v>50</v>
      </c>
      <c r="E212" t="s">
        <v>50</v>
      </c>
      <c r="F212" t="s">
        <v>50</v>
      </c>
      <c r="G212" t="s">
        <v>50</v>
      </c>
      <c r="I212" t="s">
        <v>50</v>
      </c>
      <c r="J212" t="s">
        <v>50</v>
      </c>
      <c r="K212" t="s">
        <v>50</v>
      </c>
      <c r="L212" t="s">
        <v>50</v>
      </c>
      <c r="M212" t="s">
        <v>50</v>
      </c>
      <c r="N212" t="s">
        <v>50</v>
      </c>
      <c r="O212" t="s">
        <v>50</v>
      </c>
      <c r="P212" t="s">
        <v>50</v>
      </c>
      <c r="Q212" t="s">
        <v>50</v>
      </c>
      <c r="R212" t="s">
        <v>50</v>
      </c>
      <c r="S212" t="s">
        <v>50</v>
      </c>
      <c r="T212" t="s">
        <v>50</v>
      </c>
      <c r="U212" t="s">
        <v>50</v>
      </c>
      <c r="V212" t="s">
        <v>50</v>
      </c>
      <c r="W212" t="s">
        <v>50</v>
      </c>
      <c r="X212" t="s">
        <v>50</v>
      </c>
      <c r="Y212" t="s">
        <v>50</v>
      </c>
      <c r="Z212" t="s">
        <v>50</v>
      </c>
      <c r="AA212" t="s">
        <v>50</v>
      </c>
      <c r="AB212" t="s">
        <v>50</v>
      </c>
      <c r="AD212" t="s">
        <v>50</v>
      </c>
      <c r="AE212" t="s">
        <v>50</v>
      </c>
      <c r="AF212" t="s">
        <v>50</v>
      </c>
      <c r="AG212" t="s">
        <v>50</v>
      </c>
      <c r="AH212" t="s">
        <v>50</v>
      </c>
      <c r="AI212" t="s">
        <v>50</v>
      </c>
      <c r="AJ212" t="s">
        <v>50</v>
      </c>
      <c r="AK212" t="s">
        <v>50</v>
      </c>
      <c r="AL212" t="s">
        <v>50</v>
      </c>
      <c r="AN212" t="s">
        <v>50</v>
      </c>
      <c r="AP212" t="s">
        <v>50</v>
      </c>
      <c r="AQ212" t="s">
        <v>50</v>
      </c>
      <c r="AR212" t="s">
        <v>50</v>
      </c>
      <c r="AS212" t="s">
        <v>50</v>
      </c>
      <c r="AT212" t="s">
        <v>50</v>
      </c>
      <c r="AU212" t="s">
        <v>50</v>
      </c>
      <c r="AV212" t="s">
        <v>50</v>
      </c>
      <c r="AW212" t="s">
        <v>50</v>
      </c>
      <c r="AX212" t="s">
        <v>50</v>
      </c>
      <c r="AY212" t="s">
        <v>50</v>
      </c>
      <c r="AZ212" t="s">
        <v>50</v>
      </c>
      <c r="BA212" t="s">
        <v>50</v>
      </c>
      <c r="BB212" t="s">
        <v>50</v>
      </c>
      <c r="BC212" t="s">
        <v>50</v>
      </c>
      <c r="BD212" t="s">
        <v>50</v>
      </c>
      <c r="BE212" t="s">
        <v>50</v>
      </c>
      <c r="BF212" t="s">
        <v>50</v>
      </c>
      <c r="BG212" t="s">
        <v>50</v>
      </c>
      <c r="BH212" t="s">
        <v>50</v>
      </c>
      <c r="BI212" t="s">
        <v>50</v>
      </c>
      <c r="BJ212" t="s">
        <v>50</v>
      </c>
      <c r="BK212" t="s">
        <v>50</v>
      </c>
      <c r="BL212" t="s">
        <v>50</v>
      </c>
      <c r="BM212" t="s">
        <v>50</v>
      </c>
      <c r="BN212" t="s">
        <v>50</v>
      </c>
      <c r="BO212" t="s">
        <v>50</v>
      </c>
      <c r="BP212" t="s">
        <v>50</v>
      </c>
      <c r="BQ212" t="s">
        <v>50</v>
      </c>
      <c r="BR212" t="s">
        <v>50</v>
      </c>
      <c r="BS212" t="s">
        <v>50</v>
      </c>
      <c r="BU212" t="s">
        <v>50</v>
      </c>
      <c r="BV212" t="s">
        <v>50</v>
      </c>
      <c r="BW212" t="s">
        <v>50</v>
      </c>
      <c r="BX212" t="s">
        <v>50</v>
      </c>
      <c r="BY212" t="s">
        <v>50</v>
      </c>
      <c r="BZ212" t="s">
        <v>50</v>
      </c>
      <c r="CA212" t="s">
        <v>50</v>
      </c>
      <c r="CB212" t="s">
        <v>50</v>
      </c>
      <c r="CC212" t="s">
        <v>50</v>
      </c>
      <c r="CD212" t="s">
        <v>50</v>
      </c>
      <c r="CF212" t="s">
        <v>50</v>
      </c>
      <c r="CG212" t="s">
        <v>50</v>
      </c>
      <c r="CH212" t="s">
        <v>50</v>
      </c>
      <c r="CI212" t="s">
        <v>50</v>
      </c>
      <c r="CK212" t="s">
        <v>51</v>
      </c>
    </row>
    <row r="213" spans="1:89" x14ac:dyDescent="0.3">
      <c r="A213" s="155">
        <v>955</v>
      </c>
      <c r="B213" t="s">
        <v>930</v>
      </c>
      <c r="D213">
        <v>2</v>
      </c>
      <c r="E213">
        <v>0</v>
      </c>
      <c r="F213">
        <v>1</v>
      </c>
      <c r="G213">
        <v>1</v>
      </c>
      <c r="I213">
        <v>0</v>
      </c>
      <c r="J213">
        <v>0</v>
      </c>
      <c r="K213">
        <v>0</v>
      </c>
      <c r="L213">
        <v>0</v>
      </c>
      <c r="M213">
        <v>0</v>
      </c>
      <c r="N213">
        <v>0</v>
      </c>
      <c r="O213">
        <v>0</v>
      </c>
      <c r="P213">
        <v>0</v>
      </c>
      <c r="Q213">
        <v>0</v>
      </c>
      <c r="R213">
        <v>0</v>
      </c>
      <c r="S213">
        <v>0</v>
      </c>
      <c r="T213">
        <v>0</v>
      </c>
      <c r="U213">
        <v>0</v>
      </c>
      <c r="V213">
        <v>1</v>
      </c>
      <c r="W213">
        <v>0</v>
      </c>
      <c r="X213">
        <v>0</v>
      </c>
      <c r="Y213">
        <v>0</v>
      </c>
      <c r="Z213">
        <v>0</v>
      </c>
      <c r="AA213">
        <v>0</v>
      </c>
      <c r="AB213">
        <v>0</v>
      </c>
      <c r="AD213">
        <v>0</v>
      </c>
      <c r="AE213">
        <v>0</v>
      </c>
      <c r="AF213">
        <v>1</v>
      </c>
      <c r="AG213">
        <v>0</v>
      </c>
      <c r="AH213">
        <v>0</v>
      </c>
      <c r="AI213">
        <v>0</v>
      </c>
      <c r="AJ213">
        <v>0</v>
      </c>
      <c r="AK213">
        <v>0</v>
      </c>
      <c r="AL213">
        <v>2</v>
      </c>
      <c r="AN213">
        <v>2</v>
      </c>
      <c r="AP213">
        <v>0</v>
      </c>
      <c r="AQ213">
        <v>0</v>
      </c>
      <c r="AR213">
        <v>0</v>
      </c>
      <c r="AS213">
        <v>2</v>
      </c>
      <c r="AT213">
        <v>1</v>
      </c>
      <c r="AU213">
        <v>1</v>
      </c>
      <c r="AV213">
        <v>0</v>
      </c>
      <c r="AW213">
        <v>0</v>
      </c>
      <c r="AX213">
        <v>2</v>
      </c>
      <c r="AY213">
        <v>0</v>
      </c>
      <c r="AZ213">
        <v>0</v>
      </c>
      <c r="BA213">
        <v>0</v>
      </c>
      <c r="BB213">
        <v>0</v>
      </c>
      <c r="BC213">
        <v>0</v>
      </c>
      <c r="BD213">
        <v>0</v>
      </c>
      <c r="BE213">
        <v>0</v>
      </c>
      <c r="BF213">
        <v>0</v>
      </c>
      <c r="BG213">
        <v>1</v>
      </c>
      <c r="BH213">
        <v>0</v>
      </c>
      <c r="BI213">
        <v>0</v>
      </c>
      <c r="BJ213">
        <v>0</v>
      </c>
      <c r="BK213">
        <v>3</v>
      </c>
      <c r="BL213">
        <v>1</v>
      </c>
      <c r="BM213">
        <v>1</v>
      </c>
      <c r="BN213">
        <v>0</v>
      </c>
      <c r="BO213">
        <v>0</v>
      </c>
      <c r="BP213">
        <v>0</v>
      </c>
      <c r="BQ213">
        <v>0</v>
      </c>
      <c r="BR213">
        <v>0</v>
      </c>
      <c r="BS213">
        <v>0</v>
      </c>
      <c r="BU213">
        <v>1</v>
      </c>
      <c r="BV213">
        <v>1</v>
      </c>
      <c r="BW213">
        <v>0</v>
      </c>
      <c r="BX213">
        <v>0</v>
      </c>
      <c r="BY213">
        <v>0</v>
      </c>
      <c r="BZ213">
        <v>1</v>
      </c>
      <c r="CA213">
        <v>0</v>
      </c>
      <c r="CB213">
        <v>0</v>
      </c>
      <c r="CC213">
        <v>0</v>
      </c>
      <c r="CD213">
        <v>0</v>
      </c>
      <c r="CF213">
        <v>0</v>
      </c>
      <c r="CG213">
        <v>0</v>
      </c>
      <c r="CH213">
        <v>0</v>
      </c>
      <c r="CI213">
        <v>0</v>
      </c>
      <c r="CK213">
        <v>2</v>
      </c>
    </row>
    <row r="214" spans="1:89" x14ac:dyDescent="0.3">
      <c r="A214" s="155">
        <v>956</v>
      </c>
      <c r="B214" t="s">
        <v>409</v>
      </c>
      <c r="D214" t="s">
        <v>50</v>
      </c>
      <c r="E214" t="s">
        <v>50</v>
      </c>
      <c r="F214" t="s">
        <v>50</v>
      </c>
      <c r="G214" t="s">
        <v>50</v>
      </c>
      <c r="I214" t="s">
        <v>50</v>
      </c>
      <c r="J214" t="s">
        <v>50</v>
      </c>
      <c r="K214" t="s">
        <v>50</v>
      </c>
      <c r="L214" t="s">
        <v>50</v>
      </c>
      <c r="M214" t="s">
        <v>50</v>
      </c>
      <c r="N214" t="s">
        <v>50</v>
      </c>
      <c r="O214" t="s">
        <v>50</v>
      </c>
      <c r="P214" t="s">
        <v>50</v>
      </c>
      <c r="Q214" t="s">
        <v>50</v>
      </c>
      <c r="R214" t="s">
        <v>50</v>
      </c>
      <c r="S214" t="s">
        <v>50</v>
      </c>
      <c r="T214" t="s">
        <v>50</v>
      </c>
      <c r="U214" t="s">
        <v>50</v>
      </c>
      <c r="V214" t="s">
        <v>50</v>
      </c>
      <c r="W214" t="s">
        <v>50</v>
      </c>
      <c r="X214" t="s">
        <v>50</v>
      </c>
      <c r="Y214" t="s">
        <v>50</v>
      </c>
      <c r="Z214" t="s">
        <v>50</v>
      </c>
      <c r="AA214" t="s">
        <v>50</v>
      </c>
      <c r="AB214" t="s">
        <v>50</v>
      </c>
      <c r="AD214" t="s">
        <v>50</v>
      </c>
      <c r="AE214" t="s">
        <v>50</v>
      </c>
      <c r="AF214" t="s">
        <v>50</v>
      </c>
      <c r="AG214" t="s">
        <v>50</v>
      </c>
      <c r="AH214" t="s">
        <v>50</v>
      </c>
      <c r="AI214" t="s">
        <v>50</v>
      </c>
      <c r="AJ214" t="s">
        <v>50</v>
      </c>
      <c r="AK214" t="s">
        <v>50</v>
      </c>
      <c r="AL214" t="s">
        <v>50</v>
      </c>
      <c r="AN214" t="s">
        <v>50</v>
      </c>
      <c r="AP214" t="s">
        <v>50</v>
      </c>
      <c r="AQ214" t="s">
        <v>50</v>
      </c>
      <c r="AR214" t="s">
        <v>50</v>
      </c>
      <c r="AS214" t="s">
        <v>50</v>
      </c>
      <c r="AT214" t="s">
        <v>50</v>
      </c>
      <c r="AU214" t="s">
        <v>50</v>
      </c>
      <c r="AV214" t="s">
        <v>50</v>
      </c>
      <c r="AW214" t="s">
        <v>50</v>
      </c>
      <c r="AX214" t="s">
        <v>50</v>
      </c>
      <c r="AY214" t="s">
        <v>50</v>
      </c>
      <c r="AZ214" t="s">
        <v>50</v>
      </c>
      <c r="BA214" t="s">
        <v>50</v>
      </c>
      <c r="BB214" t="s">
        <v>50</v>
      </c>
      <c r="BC214" t="s">
        <v>50</v>
      </c>
      <c r="BD214" t="s">
        <v>50</v>
      </c>
      <c r="BE214" t="s">
        <v>50</v>
      </c>
      <c r="BF214" t="s">
        <v>50</v>
      </c>
      <c r="BG214" t="s">
        <v>50</v>
      </c>
      <c r="BH214" t="s">
        <v>50</v>
      </c>
      <c r="BI214" t="s">
        <v>50</v>
      </c>
      <c r="BJ214" t="s">
        <v>50</v>
      </c>
      <c r="BK214" t="s">
        <v>50</v>
      </c>
      <c r="BL214" t="s">
        <v>50</v>
      </c>
      <c r="BM214" t="s">
        <v>50</v>
      </c>
      <c r="BN214" t="s">
        <v>50</v>
      </c>
      <c r="BO214" t="s">
        <v>50</v>
      </c>
      <c r="BP214" t="s">
        <v>50</v>
      </c>
      <c r="BQ214" t="s">
        <v>50</v>
      </c>
      <c r="BR214" t="s">
        <v>50</v>
      </c>
      <c r="BS214" t="s">
        <v>50</v>
      </c>
      <c r="BU214" t="s">
        <v>50</v>
      </c>
      <c r="BV214" t="s">
        <v>50</v>
      </c>
      <c r="BW214" t="s">
        <v>50</v>
      </c>
      <c r="BX214" t="s">
        <v>50</v>
      </c>
      <c r="BY214" t="s">
        <v>50</v>
      </c>
      <c r="BZ214" t="s">
        <v>50</v>
      </c>
      <c r="CA214" t="s">
        <v>50</v>
      </c>
      <c r="CB214" t="s">
        <v>50</v>
      </c>
      <c r="CC214" t="s">
        <v>50</v>
      </c>
      <c r="CD214" t="s">
        <v>50</v>
      </c>
      <c r="CF214" t="s">
        <v>50</v>
      </c>
      <c r="CG214" t="s">
        <v>50</v>
      </c>
      <c r="CH214" t="s">
        <v>50</v>
      </c>
      <c r="CI214" t="s">
        <v>50</v>
      </c>
      <c r="CK214" t="s">
        <v>51</v>
      </c>
    </row>
    <row r="215" spans="1:89" x14ac:dyDescent="0.3">
      <c r="A215" s="155">
        <v>957</v>
      </c>
      <c r="B215" t="s">
        <v>931</v>
      </c>
      <c r="D215">
        <v>0</v>
      </c>
      <c r="E215">
        <v>0</v>
      </c>
      <c r="F215">
        <v>0</v>
      </c>
      <c r="G215">
        <v>1</v>
      </c>
      <c r="I215">
        <v>0</v>
      </c>
      <c r="J215">
        <v>1</v>
      </c>
      <c r="K215">
        <v>0</v>
      </c>
      <c r="L215">
        <v>0</v>
      </c>
      <c r="M215">
        <v>1</v>
      </c>
      <c r="N215">
        <v>5</v>
      </c>
      <c r="O215">
        <v>0</v>
      </c>
      <c r="P215">
        <v>0</v>
      </c>
      <c r="Q215">
        <v>0</v>
      </c>
      <c r="R215">
        <v>0</v>
      </c>
      <c r="S215">
        <v>0</v>
      </c>
      <c r="T215">
        <v>0</v>
      </c>
      <c r="U215">
        <v>0</v>
      </c>
      <c r="V215">
        <v>0</v>
      </c>
      <c r="W215">
        <v>0</v>
      </c>
      <c r="X215">
        <v>0</v>
      </c>
      <c r="Y215">
        <v>1</v>
      </c>
      <c r="Z215">
        <v>0</v>
      </c>
      <c r="AA215">
        <v>1</v>
      </c>
      <c r="AB215">
        <v>0</v>
      </c>
      <c r="AD215">
        <v>0</v>
      </c>
      <c r="AE215">
        <v>0</v>
      </c>
      <c r="AF215">
        <v>0</v>
      </c>
      <c r="AG215">
        <v>1</v>
      </c>
      <c r="AH215">
        <v>0</v>
      </c>
      <c r="AI215">
        <v>0</v>
      </c>
      <c r="AJ215">
        <v>0</v>
      </c>
      <c r="AK215">
        <v>1</v>
      </c>
      <c r="AL215">
        <v>4</v>
      </c>
      <c r="AN215">
        <v>0</v>
      </c>
      <c r="AP215">
        <v>0</v>
      </c>
      <c r="AQ215">
        <v>0</v>
      </c>
      <c r="AR215">
        <v>10</v>
      </c>
      <c r="AS215">
        <v>0</v>
      </c>
      <c r="AT215">
        <v>1</v>
      </c>
      <c r="AU215">
        <v>0</v>
      </c>
      <c r="AV215">
        <v>0</v>
      </c>
      <c r="AW215">
        <v>0</v>
      </c>
      <c r="AX215">
        <v>0</v>
      </c>
      <c r="AY215">
        <v>0</v>
      </c>
      <c r="AZ215">
        <v>0</v>
      </c>
      <c r="BA215">
        <v>3</v>
      </c>
      <c r="BB215">
        <v>0</v>
      </c>
      <c r="BC215">
        <v>0</v>
      </c>
      <c r="BD215">
        <v>0</v>
      </c>
      <c r="BE215">
        <v>0</v>
      </c>
      <c r="BF215">
        <v>0</v>
      </c>
      <c r="BG215">
        <v>0</v>
      </c>
      <c r="BH215">
        <v>0</v>
      </c>
      <c r="BI215">
        <v>0</v>
      </c>
      <c r="BJ215">
        <v>0</v>
      </c>
      <c r="BK215">
        <v>7</v>
      </c>
      <c r="BL215">
        <v>0</v>
      </c>
      <c r="BM215">
        <v>0</v>
      </c>
      <c r="BN215">
        <v>0</v>
      </c>
      <c r="BO215">
        <v>2</v>
      </c>
      <c r="BP215">
        <v>0</v>
      </c>
      <c r="BQ215">
        <v>0</v>
      </c>
      <c r="BR215">
        <v>5</v>
      </c>
      <c r="BS215">
        <v>0</v>
      </c>
      <c r="BU215">
        <v>2</v>
      </c>
      <c r="BV215">
        <v>0</v>
      </c>
      <c r="BW215">
        <v>0</v>
      </c>
      <c r="BX215">
        <v>0</v>
      </c>
      <c r="BY215">
        <v>6</v>
      </c>
      <c r="BZ215">
        <v>0</v>
      </c>
      <c r="CA215">
        <v>0</v>
      </c>
      <c r="CB215">
        <v>0</v>
      </c>
      <c r="CC215">
        <v>0</v>
      </c>
      <c r="CD215">
        <v>1</v>
      </c>
      <c r="CF215">
        <v>0</v>
      </c>
      <c r="CG215">
        <v>0</v>
      </c>
      <c r="CH215">
        <v>1</v>
      </c>
      <c r="CI215">
        <v>0</v>
      </c>
      <c r="CK215">
        <v>1</v>
      </c>
    </row>
    <row r="216" spans="1:89" x14ac:dyDescent="0.3">
      <c r="A216" s="155">
        <v>958</v>
      </c>
      <c r="B216" t="s">
        <v>932</v>
      </c>
      <c r="D216" t="s">
        <v>50</v>
      </c>
      <c r="E216" t="s">
        <v>50</v>
      </c>
      <c r="F216" t="s">
        <v>50</v>
      </c>
      <c r="G216" t="s">
        <v>50</v>
      </c>
      <c r="I216" t="s">
        <v>50</v>
      </c>
      <c r="J216" t="s">
        <v>50</v>
      </c>
      <c r="K216" t="s">
        <v>50</v>
      </c>
      <c r="L216" t="s">
        <v>50</v>
      </c>
      <c r="M216" t="s">
        <v>50</v>
      </c>
      <c r="N216" t="s">
        <v>50</v>
      </c>
      <c r="O216" t="s">
        <v>50</v>
      </c>
      <c r="P216" t="s">
        <v>50</v>
      </c>
      <c r="Q216" t="s">
        <v>50</v>
      </c>
      <c r="R216" t="s">
        <v>50</v>
      </c>
      <c r="S216" t="s">
        <v>50</v>
      </c>
      <c r="T216" t="s">
        <v>50</v>
      </c>
      <c r="U216" t="s">
        <v>50</v>
      </c>
      <c r="V216" t="s">
        <v>50</v>
      </c>
      <c r="W216" t="s">
        <v>50</v>
      </c>
      <c r="X216" t="s">
        <v>50</v>
      </c>
      <c r="Y216" t="s">
        <v>50</v>
      </c>
      <c r="Z216" t="s">
        <v>50</v>
      </c>
      <c r="AA216" t="s">
        <v>50</v>
      </c>
      <c r="AB216" t="s">
        <v>50</v>
      </c>
      <c r="AD216" t="s">
        <v>50</v>
      </c>
      <c r="AE216" t="s">
        <v>1600</v>
      </c>
      <c r="AF216" t="s">
        <v>50</v>
      </c>
      <c r="AG216" t="s">
        <v>50</v>
      </c>
      <c r="AH216" t="s">
        <v>50</v>
      </c>
      <c r="AI216" t="s">
        <v>50</v>
      </c>
      <c r="AJ216" t="s">
        <v>50</v>
      </c>
      <c r="AK216" t="s">
        <v>50</v>
      </c>
      <c r="AL216" t="s">
        <v>50</v>
      </c>
      <c r="AN216" t="s">
        <v>50</v>
      </c>
      <c r="AP216" t="s">
        <v>50</v>
      </c>
      <c r="AQ216" t="s">
        <v>50</v>
      </c>
      <c r="AR216" t="s">
        <v>51</v>
      </c>
      <c r="AS216" t="s">
        <v>50</v>
      </c>
      <c r="AT216" t="s">
        <v>50</v>
      </c>
      <c r="AU216" t="s">
        <v>50</v>
      </c>
      <c r="AV216" t="s">
        <v>50</v>
      </c>
      <c r="AW216" t="s">
        <v>50</v>
      </c>
      <c r="AX216" t="s">
        <v>50</v>
      </c>
      <c r="AY216" t="s">
        <v>50</v>
      </c>
      <c r="AZ216" t="s">
        <v>50</v>
      </c>
      <c r="BA216" t="s">
        <v>50</v>
      </c>
      <c r="BB216" t="s">
        <v>50</v>
      </c>
      <c r="BC216" t="s">
        <v>50</v>
      </c>
      <c r="BD216" t="s">
        <v>50</v>
      </c>
      <c r="BE216" t="s">
        <v>50</v>
      </c>
      <c r="BF216" t="s">
        <v>50</v>
      </c>
      <c r="BG216" t="s">
        <v>50</v>
      </c>
      <c r="BH216" t="s">
        <v>50</v>
      </c>
      <c r="BI216" t="s">
        <v>50</v>
      </c>
      <c r="BJ216" t="s">
        <v>50</v>
      </c>
      <c r="BK216" t="s">
        <v>51</v>
      </c>
      <c r="BL216" t="s">
        <v>50</v>
      </c>
      <c r="BM216" t="s">
        <v>50</v>
      </c>
      <c r="BN216" t="s">
        <v>50</v>
      </c>
      <c r="BO216" t="s">
        <v>50</v>
      </c>
      <c r="BP216" t="s">
        <v>50</v>
      </c>
      <c r="BQ216" t="s">
        <v>50</v>
      </c>
      <c r="BR216" t="s">
        <v>50</v>
      </c>
      <c r="BS216" t="s">
        <v>50</v>
      </c>
      <c r="BU216" t="s">
        <v>50</v>
      </c>
      <c r="BV216" t="s">
        <v>50</v>
      </c>
      <c r="BW216" t="s">
        <v>50</v>
      </c>
      <c r="BX216" t="s">
        <v>50</v>
      </c>
      <c r="BY216" t="s">
        <v>50</v>
      </c>
      <c r="BZ216" t="s">
        <v>50</v>
      </c>
      <c r="CA216" t="s">
        <v>50</v>
      </c>
      <c r="CB216" t="s">
        <v>50</v>
      </c>
      <c r="CC216" t="s">
        <v>50</v>
      </c>
      <c r="CD216" t="s">
        <v>50</v>
      </c>
      <c r="CF216" t="s">
        <v>50</v>
      </c>
      <c r="CG216" t="s">
        <v>50</v>
      </c>
      <c r="CH216" t="s">
        <v>50</v>
      </c>
      <c r="CI216" t="s">
        <v>50</v>
      </c>
      <c r="CK216" t="s">
        <v>51</v>
      </c>
    </row>
    <row r="217" spans="1:89" x14ac:dyDescent="0.3">
      <c r="A217" s="155">
        <v>959</v>
      </c>
      <c r="B217" t="s">
        <v>933</v>
      </c>
      <c r="D217">
        <v>2</v>
      </c>
      <c r="E217">
        <v>2</v>
      </c>
      <c r="F217">
        <v>2</v>
      </c>
      <c r="G217">
        <v>2</v>
      </c>
      <c r="I217">
        <v>2</v>
      </c>
      <c r="J217">
        <v>2</v>
      </c>
      <c r="K217">
        <v>2</v>
      </c>
      <c r="L217">
        <v>3</v>
      </c>
      <c r="M217">
        <v>2</v>
      </c>
      <c r="N217">
        <v>2</v>
      </c>
      <c r="O217">
        <v>2</v>
      </c>
      <c r="P217">
        <v>3</v>
      </c>
      <c r="Q217">
        <v>3</v>
      </c>
      <c r="R217">
        <v>3</v>
      </c>
      <c r="S217">
        <v>3</v>
      </c>
      <c r="T217">
        <v>2</v>
      </c>
      <c r="U217">
        <v>2</v>
      </c>
      <c r="V217">
        <v>2</v>
      </c>
      <c r="W217">
        <v>2</v>
      </c>
      <c r="X217">
        <v>2</v>
      </c>
      <c r="Y217">
        <v>2</v>
      </c>
      <c r="Z217">
        <v>2</v>
      </c>
      <c r="AA217">
        <v>2</v>
      </c>
      <c r="AB217">
        <v>2</v>
      </c>
      <c r="AD217">
        <v>2</v>
      </c>
      <c r="AE217">
        <v>3</v>
      </c>
      <c r="AF217">
        <v>2</v>
      </c>
      <c r="AG217">
        <v>3</v>
      </c>
      <c r="AH217">
        <v>2</v>
      </c>
      <c r="AI217">
        <v>2</v>
      </c>
      <c r="AJ217">
        <v>2</v>
      </c>
      <c r="AK217">
        <v>2</v>
      </c>
      <c r="AL217">
        <v>2</v>
      </c>
      <c r="AN217">
        <v>2</v>
      </c>
      <c r="AP217">
        <v>2</v>
      </c>
      <c r="AQ217">
        <v>3</v>
      </c>
      <c r="AR217">
        <v>3</v>
      </c>
      <c r="AS217">
        <v>2</v>
      </c>
      <c r="AT217">
        <v>2</v>
      </c>
      <c r="AU217">
        <v>2</v>
      </c>
      <c r="AV217">
        <v>2</v>
      </c>
      <c r="AW217">
        <v>2</v>
      </c>
      <c r="AX217">
        <v>2</v>
      </c>
      <c r="AY217">
        <v>2</v>
      </c>
      <c r="AZ217">
        <v>2</v>
      </c>
      <c r="BA217">
        <v>2</v>
      </c>
      <c r="BB217">
        <v>2</v>
      </c>
      <c r="BC217">
        <v>2</v>
      </c>
      <c r="BD217">
        <v>3</v>
      </c>
      <c r="BE217">
        <v>2</v>
      </c>
      <c r="BF217">
        <v>2</v>
      </c>
      <c r="BG217">
        <v>3</v>
      </c>
      <c r="BH217">
        <v>2</v>
      </c>
      <c r="BI217">
        <v>2</v>
      </c>
      <c r="BJ217">
        <v>3</v>
      </c>
      <c r="BK217">
        <v>2</v>
      </c>
      <c r="BL217">
        <v>2</v>
      </c>
      <c r="BM217">
        <v>2</v>
      </c>
      <c r="BN217">
        <v>2</v>
      </c>
      <c r="BO217">
        <v>2</v>
      </c>
      <c r="BP217">
        <v>2</v>
      </c>
      <c r="BQ217">
        <v>3</v>
      </c>
      <c r="BR217">
        <v>3</v>
      </c>
      <c r="BS217">
        <v>2</v>
      </c>
      <c r="BU217">
        <v>2</v>
      </c>
      <c r="BV217">
        <v>2</v>
      </c>
      <c r="BW217">
        <v>2</v>
      </c>
      <c r="BX217">
        <v>2</v>
      </c>
      <c r="BY217">
        <v>2</v>
      </c>
      <c r="BZ217">
        <v>2</v>
      </c>
      <c r="CA217">
        <v>2</v>
      </c>
      <c r="CB217">
        <v>2</v>
      </c>
      <c r="CC217">
        <v>3</v>
      </c>
      <c r="CD217">
        <v>2</v>
      </c>
      <c r="CF217">
        <v>2</v>
      </c>
      <c r="CG217">
        <v>2</v>
      </c>
      <c r="CH217">
        <v>2</v>
      </c>
      <c r="CI217">
        <v>2</v>
      </c>
      <c r="CK217">
        <v>3</v>
      </c>
    </row>
    <row r="218" spans="1:89" x14ac:dyDescent="0.3">
      <c r="A218" s="155">
        <v>960</v>
      </c>
      <c r="B218" t="s">
        <v>934</v>
      </c>
      <c r="D218" t="s">
        <v>2255</v>
      </c>
      <c r="E218" t="s">
        <v>2256</v>
      </c>
      <c r="F218" t="s">
        <v>2257</v>
      </c>
      <c r="G218" t="s">
        <v>2258</v>
      </c>
      <c r="I218" t="s">
        <v>2259</v>
      </c>
      <c r="J218" t="s">
        <v>2260</v>
      </c>
      <c r="K218" t="s">
        <v>2261</v>
      </c>
      <c r="L218" t="s">
        <v>2262</v>
      </c>
      <c r="M218" t="s">
        <v>2263</v>
      </c>
      <c r="N218" t="s">
        <v>2264</v>
      </c>
      <c r="O218" t="s">
        <v>2265</v>
      </c>
      <c r="P218" t="s">
        <v>2266</v>
      </c>
      <c r="Q218" t="s">
        <v>2267</v>
      </c>
      <c r="R218" t="s">
        <v>2268</v>
      </c>
      <c r="S218" t="s">
        <v>2269</v>
      </c>
      <c r="T218" t="s">
        <v>2270</v>
      </c>
      <c r="U218" t="s">
        <v>2271</v>
      </c>
      <c r="V218" t="s">
        <v>2272</v>
      </c>
      <c r="W218" t="s">
        <v>2273</v>
      </c>
      <c r="X218" t="s">
        <v>2274</v>
      </c>
      <c r="Y218" t="s">
        <v>2275</v>
      </c>
      <c r="Z218" t="s">
        <v>2276</v>
      </c>
      <c r="AA218" t="s">
        <v>2277</v>
      </c>
      <c r="AB218" t="s">
        <v>2278</v>
      </c>
      <c r="AD218" t="s">
        <v>2279</v>
      </c>
      <c r="AE218" t="s">
        <v>2280</v>
      </c>
      <c r="AF218" t="s">
        <v>2281</v>
      </c>
      <c r="AG218" t="s">
        <v>2282</v>
      </c>
      <c r="AH218" t="s">
        <v>2283</v>
      </c>
      <c r="AI218" t="s">
        <v>2284</v>
      </c>
      <c r="AJ218" t="s">
        <v>2285</v>
      </c>
      <c r="AK218" t="s">
        <v>2286</v>
      </c>
      <c r="AL218" t="s">
        <v>2287</v>
      </c>
      <c r="AN218" t="s">
        <v>2288</v>
      </c>
      <c r="AP218" t="s">
        <v>2289</v>
      </c>
      <c r="AQ218" t="s">
        <v>2290</v>
      </c>
      <c r="AR218" t="s">
        <v>2291</v>
      </c>
      <c r="AS218" t="s">
        <v>2292</v>
      </c>
      <c r="AT218" t="s">
        <v>2293</v>
      </c>
      <c r="AU218" t="s">
        <v>2294</v>
      </c>
      <c r="AV218" t="s">
        <v>2295</v>
      </c>
      <c r="AW218" t="s">
        <v>2296</v>
      </c>
      <c r="AX218" t="s">
        <v>2297</v>
      </c>
      <c r="AY218" t="s">
        <v>2298</v>
      </c>
      <c r="AZ218" t="s">
        <v>2299</v>
      </c>
      <c r="BA218" t="s">
        <v>2300</v>
      </c>
      <c r="BB218" t="s">
        <v>2301</v>
      </c>
      <c r="BC218" t="s">
        <v>2302</v>
      </c>
      <c r="BD218" t="s">
        <v>2303</v>
      </c>
      <c r="BE218" t="s">
        <v>2304</v>
      </c>
      <c r="BF218" t="s">
        <v>2305</v>
      </c>
      <c r="BG218" t="s">
        <v>2306</v>
      </c>
      <c r="BH218" t="s">
        <v>2307</v>
      </c>
      <c r="BI218" t="s">
        <v>2308</v>
      </c>
      <c r="BJ218" t="s">
        <v>2309</v>
      </c>
      <c r="BK218" t="s">
        <v>2310</v>
      </c>
      <c r="BL218" t="s">
        <v>2311</v>
      </c>
      <c r="BM218" t="s">
        <v>2312</v>
      </c>
      <c r="BN218" t="s">
        <v>2123</v>
      </c>
      <c r="BO218" t="s">
        <v>2313</v>
      </c>
      <c r="BP218" t="s">
        <v>2314</v>
      </c>
      <c r="BQ218" t="s">
        <v>2315</v>
      </c>
      <c r="BR218" t="s">
        <v>2316</v>
      </c>
      <c r="BS218" t="s">
        <v>2317</v>
      </c>
      <c r="BU218" t="s">
        <v>2318</v>
      </c>
      <c r="BV218" t="s">
        <v>2128</v>
      </c>
      <c r="BW218" t="s">
        <v>2319</v>
      </c>
      <c r="BX218" t="s">
        <v>2320</v>
      </c>
      <c r="BY218" t="s">
        <v>2321</v>
      </c>
      <c r="BZ218" t="s">
        <v>2322</v>
      </c>
      <c r="CA218" t="s">
        <v>2323</v>
      </c>
      <c r="CB218" t="s">
        <v>2324</v>
      </c>
      <c r="CC218" t="s">
        <v>2325</v>
      </c>
      <c r="CD218" t="s">
        <v>2326</v>
      </c>
      <c r="CF218" t="s">
        <v>2327</v>
      </c>
      <c r="CG218" t="s">
        <v>2328</v>
      </c>
      <c r="CH218" t="s">
        <v>2329</v>
      </c>
      <c r="CI218" t="s">
        <v>2330</v>
      </c>
      <c r="CK218" t="s">
        <v>2331</v>
      </c>
    </row>
    <row r="219" spans="1:89" x14ac:dyDescent="0.3">
      <c r="A219" s="155">
        <v>962</v>
      </c>
      <c r="B219" t="s">
        <v>935</v>
      </c>
      <c r="D219" t="s">
        <v>937</v>
      </c>
      <c r="E219" t="s">
        <v>2332</v>
      </c>
      <c r="F219" t="s">
        <v>940</v>
      </c>
      <c r="G219" t="s">
        <v>939</v>
      </c>
      <c r="I219" t="s">
        <v>2333</v>
      </c>
      <c r="J219" t="s">
        <v>937</v>
      </c>
      <c r="K219" t="s">
        <v>936</v>
      </c>
      <c r="L219" t="s">
        <v>937</v>
      </c>
      <c r="M219" t="s">
        <v>936</v>
      </c>
      <c r="N219" t="s">
        <v>937</v>
      </c>
      <c r="O219" t="s">
        <v>936</v>
      </c>
      <c r="P219" t="s">
        <v>937</v>
      </c>
      <c r="Q219" t="s">
        <v>2334</v>
      </c>
      <c r="R219" t="s">
        <v>937</v>
      </c>
      <c r="S219" t="s">
        <v>1994</v>
      </c>
      <c r="T219" t="s">
        <v>941</v>
      </c>
      <c r="U219" t="s">
        <v>937</v>
      </c>
      <c r="V219" t="s">
        <v>940</v>
      </c>
      <c r="W219" t="s">
        <v>937</v>
      </c>
      <c r="X219" t="s">
        <v>2335</v>
      </c>
      <c r="Y219" t="s">
        <v>1996</v>
      </c>
      <c r="Z219" t="s">
        <v>937</v>
      </c>
      <c r="AA219" t="s">
        <v>937</v>
      </c>
      <c r="AB219" t="s">
        <v>936</v>
      </c>
      <c r="AD219" t="s">
        <v>936</v>
      </c>
      <c r="AE219" t="s">
        <v>937</v>
      </c>
      <c r="AF219" t="s">
        <v>1993</v>
      </c>
      <c r="AG219" t="s">
        <v>937</v>
      </c>
      <c r="AH219" t="s">
        <v>937</v>
      </c>
      <c r="AI219" t="s">
        <v>937</v>
      </c>
      <c r="AJ219" t="s">
        <v>1059</v>
      </c>
      <c r="AK219" t="s">
        <v>936</v>
      </c>
      <c r="AL219" t="s">
        <v>2336</v>
      </c>
      <c r="AN219" t="s">
        <v>939</v>
      </c>
      <c r="AP219" t="s">
        <v>937</v>
      </c>
      <c r="AQ219" t="s">
        <v>936</v>
      </c>
      <c r="AR219" t="s">
        <v>937</v>
      </c>
      <c r="AS219" t="s">
        <v>937</v>
      </c>
      <c r="AT219" t="s">
        <v>936</v>
      </c>
      <c r="AU219" t="s">
        <v>939</v>
      </c>
      <c r="AV219" t="s">
        <v>937</v>
      </c>
      <c r="AW219" t="s">
        <v>936</v>
      </c>
      <c r="AX219" t="s">
        <v>937</v>
      </c>
      <c r="AY219" t="s">
        <v>936</v>
      </c>
      <c r="AZ219" t="s">
        <v>936</v>
      </c>
      <c r="BA219" t="s">
        <v>937</v>
      </c>
      <c r="BB219" t="s">
        <v>937</v>
      </c>
      <c r="BC219" t="s">
        <v>936</v>
      </c>
      <c r="BD219" t="s">
        <v>2337</v>
      </c>
      <c r="BE219" t="s">
        <v>936</v>
      </c>
      <c r="BF219" t="s">
        <v>2338</v>
      </c>
      <c r="BG219" t="s">
        <v>2339</v>
      </c>
      <c r="BH219" t="s">
        <v>937</v>
      </c>
      <c r="BI219" t="s">
        <v>2340</v>
      </c>
      <c r="BJ219" t="s">
        <v>2341</v>
      </c>
      <c r="BK219" t="s">
        <v>937</v>
      </c>
      <c r="BL219" t="s">
        <v>937</v>
      </c>
      <c r="BM219" t="s">
        <v>939</v>
      </c>
      <c r="BN219" t="s">
        <v>2182</v>
      </c>
      <c r="BO219" t="s">
        <v>936</v>
      </c>
      <c r="BP219" t="s">
        <v>936</v>
      </c>
      <c r="BQ219" t="s">
        <v>2342</v>
      </c>
      <c r="BR219" t="s">
        <v>2343</v>
      </c>
      <c r="BS219" t="s">
        <v>937</v>
      </c>
      <c r="BU219" t="s">
        <v>2344</v>
      </c>
      <c r="BV219" t="s">
        <v>2188</v>
      </c>
      <c r="BW219" t="s">
        <v>2345</v>
      </c>
      <c r="BX219" t="s">
        <v>937</v>
      </c>
      <c r="BY219" t="s">
        <v>937</v>
      </c>
      <c r="BZ219" t="s">
        <v>939</v>
      </c>
      <c r="CA219" t="s">
        <v>937</v>
      </c>
      <c r="CB219" t="s">
        <v>936</v>
      </c>
      <c r="CC219" t="s">
        <v>2342</v>
      </c>
      <c r="CD219" t="s">
        <v>940</v>
      </c>
      <c r="CF219" t="s">
        <v>936</v>
      </c>
      <c r="CG219" t="s">
        <v>936</v>
      </c>
      <c r="CH219" t="s">
        <v>936</v>
      </c>
      <c r="CI219" t="s">
        <v>937</v>
      </c>
      <c r="CK219" t="s">
        <v>940</v>
      </c>
    </row>
    <row r="220" spans="1:89" x14ac:dyDescent="0.3">
      <c r="A220" s="155">
        <v>964</v>
      </c>
      <c r="B220" t="s">
        <v>942</v>
      </c>
      <c r="D220" t="s">
        <v>1610</v>
      </c>
      <c r="E220" t="s">
        <v>1608</v>
      </c>
      <c r="F220" t="s">
        <v>1609</v>
      </c>
      <c r="G220" t="s">
        <v>2346</v>
      </c>
      <c r="I220" t="s">
        <v>1603</v>
      </c>
      <c r="J220" t="s">
        <v>2347</v>
      </c>
      <c r="K220" t="s">
        <v>2348</v>
      </c>
      <c r="L220" t="s">
        <v>1974</v>
      </c>
      <c r="M220" t="s">
        <v>2349</v>
      </c>
      <c r="N220" t="s">
        <v>1976</v>
      </c>
      <c r="O220" t="s">
        <v>2350</v>
      </c>
      <c r="P220" t="s">
        <v>1614</v>
      </c>
      <c r="Q220" t="s">
        <v>2351</v>
      </c>
      <c r="R220" t="s">
        <v>1615</v>
      </c>
      <c r="S220" t="s">
        <v>2352</v>
      </c>
      <c r="T220" t="s">
        <v>2353</v>
      </c>
      <c r="U220" t="s">
        <v>2354</v>
      </c>
      <c r="V220" t="s">
        <v>2353</v>
      </c>
      <c r="W220" t="s">
        <v>1621</v>
      </c>
      <c r="X220" t="s">
        <v>1609</v>
      </c>
      <c r="Y220" t="s">
        <v>1628</v>
      </c>
      <c r="Z220" t="s">
        <v>1603</v>
      </c>
      <c r="AA220" t="s">
        <v>2355</v>
      </c>
      <c r="AB220" t="s">
        <v>2356</v>
      </c>
      <c r="AD220" t="s">
        <v>2357</v>
      </c>
      <c r="AE220" t="s">
        <v>1614</v>
      </c>
      <c r="AF220" t="s">
        <v>1606</v>
      </c>
      <c r="AG220" t="s">
        <v>1603</v>
      </c>
      <c r="AH220" t="s">
        <v>1618</v>
      </c>
      <c r="AI220" t="s">
        <v>1616</v>
      </c>
      <c r="AJ220" t="s">
        <v>2358</v>
      </c>
      <c r="AK220" t="s">
        <v>1599</v>
      </c>
      <c r="AL220" t="s">
        <v>2359</v>
      </c>
      <c r="AN220" t="s">
        <v>2360</v>
      </c>
      <c r="AP220" t="s">
        <v>2361</v>
      </c>
      <c r="AQ220" t="s">
        <v>2362</v>
      </c>
      <c r="AR220" t="s">
        <v>1617</v>
      </c>
      <c r="AS220" t="s">
        <v>1618</v>
      </c>
      <c r="AT220" t="s">
        <v>1615</v>
      </c>
      <c r="AU220" t="s">
        <v>2363</v>
      </c>
      <c r="AV220" t="s">
        <v>1611</v>
      </c>
      <c r="AW220" t="s">
        <v>1604</v>
      </c>
      <c r="AX220" t="s">
        <v>2359</v>
      </c>
      <c r="AY220" t="s">
        <v>1627</v>
      </c>
      <c r="AZ220" t="s">
        <v>2364</v>
      </c>
      <c r="BA220" t="s">
        <v>1635</v>
      </c>
      <c r="BB220" t="s">
        <v>1605</v>
      </c>
      <c r="BC220" t="s">
        <v>1603</v>
      </c>
      <c r="BD220" t="s">
        <v>2365</v>
      </c>
      <c r="BE220" t="s">
        <v>1614</v>
      </c>
      <c r="BF220" t="s">
        <v>1618</v>
      </c>
      <c r="BG220" t="s">
        <v>1610</v>
      </c>
      <c r="BH220" t="s">
        <v>2217</v>
      </c>
      <c r="BI220" t="s">
        <v>2366</v>
      </c>
      <c r="BJ220" t="s">
        <v>1602</v>
      </c>
      <c r="BK220" t="s">
        <v>1980</v>
      </c>
      <c r="BL220" t="s">
        <v>1611</v>
      </c>
      <c r="BM220" t="s">
        <v>2367</v>
      </c>
      <c r="BN220" t="s">
        <v>1601</v>
      </c>
      <c r="BO220" t="s">
        <v>1632</v>
      </c>
      <c r="BP220" t="s">
        <v>1602</v>
      </c>
      <c r="BQ220" t="s">
        <v>2368</v>
      </c>
      <c r="BR220" t="s">
        <v>2005</v>
      </c>
      <c r="BS220" t="s">
        <v>1603</v>
      </c>
      <c r="BU220" t="s">
        <v>1977</v>
      </c>
      <c r="BV220" t="s">
        <v>2369</v>
      </c>
      <c r="BW220" t="s">
        <v>2370</v>
      </c>
      <c r="BX220" t="s">
        <v>1631</v>
      </c>
      <c r="BY220" t="s">
        <v>1979</v>
      </c>
      <c r="BZ220" t="s">
        <v>2371</v>
      </c>
      <c r="CA220" t="s">
        <v>1612</v>
      </c>
      <c r="CB220" t="s">
        <v>2372</v>
      </c>
      <c r="CC220" t="s">
        <v>2373</v>
      </c>
      <c r="CD220" t="s">
        <v>2374</v>
      </c>
      <c r="CF220" t="s">
        <v>1630</v>
      </c>
      <c r="CG220" t="s">
        <v>2250</v>
      </c>
      <c r="CH220" t="s">
        <v>1614</v>
      </c>
      <c r="CI220" t="s">
        <v>1603</v>
      </c>
      <c r="CK220" t="s">
        <v>2375</v>
      </c>
    </row>
    <row r="221" spans="1:89" x14ac:dyDescent="0.3">
      <c r="A221" s="155">
        <v>966</v>
      </c>
      <c r="B221" t="s">
        <v>943</v>
      </c>
      <c r="D221" t="s">
        <v>2376</v>
      </c>
      <c r="E221" t="s">
        <v>2377</v>
      </c>
      <c r="F221" t="s">
        <v>2378</v>
      </c>
      <c r="G221" t="s">
        <v>2379</v>
      </c>
      <c r="I221" t="s">
        <v>2380</v>
      </c>
      <c r="J221" t="s">
        <v>2381</v>
      </c>
      <c r="K221" t="s">
        <v>2382</v>
      </c>
      <c r="L221" t="s">
        <v>2383</v>
      </c>
      <c r="M221" t="s">
        <v>2384</v>
      </c>
      <c r="N221" t="s">
        <v>2385</v>
      </c>
      <c r="O221" t="s">
        <v>2386</v>
      </c>
      <c r="P221" t="s">
        <v>2387</v>
      </c>
      <c r="Q221" t="s">
        <v>2388</v>
      </c>
      <c r="R221" t="s">
        <v>2389</v>
      </c>
      <c r="S221" t="s">
        <v>2390</v>
      </c>
      <c r="T221" t="s">
        <v>2391</v>
      </c>
      <c r="U221" t="s">
        <v>2392</v>
      </c>
      <c r="V221" t="s">
        <v>2393</v>
      </c>
      <c r="W221" t="s">
        <v>2394</v>
      </c>
      <c r="X221" t="s">
        <v>2395</v>
      </c>
      <c r="Y221" t="s">
        <v>2396</v>
      </c>
      <c r="Z221" t="s">
        <v>2397</v>
      </c>
      <c r="AA221" t="s">
        <v>2398</v>
      </c>
      <c r="AB221" t="s">
        <v>2399</v>
      </c>
      <c r="AD221" t="s">
        <v>2400</v>
      </c>
      <c r="AE221" t="s">
        <v>2401</v>
      </c>
      <c r="AF221" t="s">
        <v>2402</v>
      </c>
      <c r="AG221" t="s">
        <v>2403</v>
      </c>
      <c r="AH221" t="s">
        <v>2404</v>
      </c>
      <c r="AI221" t="s">
        <v>2405</v>
      </c>
      <c r="AJ221" t="s">
        <v>2406</v>
      </c>
      <c r="AK221" t="s">
        <v>2407</v>
      </c>
      <c r="AL221" t="s">
        <v>2408</v>
      </c>
      <c r="AN221" t="s">
        <v>2409</v>
      </c>
      <c r="AP221" t="s">
        <v>2410</v>
      </c>
      <c r="AQ221" t="s">
        <v>2411</v>
      </c>
      <c r="AR221" t="s">
        <v>2412</v>
      </c>
      <c r="AS221" t="s">
        <v>2413</v>
      </c>
      <c r="AT221" t="s">
        <v>2414</v>
      </c>
      <c r="AU221" t="s">
        <v>2415</v>
      </c>
      <c r="AV221" t="s">
        <v>2416</v>
      </c>
      <c r="AW221" t="s">
        <v>2417</v>
      </c>
      <c r="AX221" t="s">
        <v>2418</v>
      </c>
      <c r="AY221" t="s">
        <v>2419</v>
      </c>
      <c r="AZ221" t="s">
        <v>2420</v>
      </c>
      <c r="BA221" t="s">
        <v>2421</v>
      </c>
      <c r="BB221" t="s">
        <v>2422</v>
      </c>
      <c r="BC221" t="s">
        <v>2423</v>
      </c>
      <c r="BD221" t="s">
        <v>2424</v>
      </c>
      <c r="BE221" t="s">
        <v>2425</v>
      </c>
      <c r="BF221" t="s">
        <v>2426</v>
      </c>
      <c r="BG221" t="s">
        <v>2427</v>
      </c>
      <c r="BH221" t="s">
        <v>2428</v>
      </c>
      <c r="BI221" t="s">
        <v>2429</v>
      </c>
      <c r="BJ221" t="s">
        <v>2430</v>
      </c>
      <c r="BK221" t="s">
        <v>2431</v>
      </c>
      <c r="BL221" t="s">
        <v>2432</v>
      </c>
      <c r="BM221" t="s">
        <v>2433</v>
      </c>
      <c r="BN221" t="s">
        <v>2434</v>
      </c>
      <c r="BO221" t="s">
        <v>2435</v>
      </c>
      <c r="BP221" t="s">
        <v>2436</v>
      </c>
      <c r="BQ221" t="s">
        <v>2437</v>
      </c>
      <c r="BR221" t="s">
        <v>2438</v>
      </c>
      <c r="BS221" t="s">
        <v>2439</v>
      </c>
      <c r="BU221" t="s">
        <v>2440</v>
      </c>
      <c r="BV221" t="s">
        <v>2441</v>
      </c>
      <c r="BW221" t="s">
        <v>2442</v>
      </c>
      <c r="BX221" t="s">
        <v>2443</v>
      </c>
      <c r="BY221" t="s">
        <v>2444</v>
      </c>
      <c r="BZ221" t="s">
        <v>2445</v>
      </c>
      <c r="CA221" t="s">
        <v>2446</v>
      </c>
      <c r="CB221" t="s">
        <v>2447</v>
      </c>
      <c r="CC221" t="s">
        <v>2448</v>
      </c>
      <c r="CD221" t="s">
        <v>2449</v>
      </c>
      <c r="CF221" t="s">
        <v>2450</v>
      </c>
      <c r="CG221" t="s">
        <v>2451</v>
      </c>
      <c r="CH221" t="s">
        <v>2452</v>
      </c>
      <c r="CI221" t="s">
        <v>2453</v>
      </c>
      <c r="CK221" t="s">
        <v>2454</v>
      </c>
    </row>
    <row r="222" spans="1:89" x14ac:dyDescent="0.3">
      <c r="A222" s="155">
        <v>968</v>
      </c>
      <c r="B222" t="s">
        <v>944</v>
      </c>
      <c r="D222" t="s">
        <v>2455</v>
      </c>
      <c r="E222" t="s">
        <v>2456</v>
      </c>
      <c r="F222" t="s">
        <v>2457</v>
      </c>
      <c r="G222" t="s">
        <v>2458</v>
      </c>
      <c r="I222" t="s">
        <v>2459</v>
      </c>
      <c r="J222" t="s">
        <v>2460</v>
      </c>
      <c r="K222" t="s">
        <v>2461</v>
      </c>
      <c r="L222" t="s">
        <v>2462</v>
      </c>
      <c r="M222" t="s">
        <v>2463</v>
      </c>
      <c r="N222" t="s">
        <v>2464</v>
      </c>
      <c r="O222" t="s">
        <v>2465</v>
      </c>
      <c r="P222" t="s">
        <v>2466</v>
      </c>
      <c r="Q222" t="s">
        <v>2467</v>
      </c>
      <c r="R222" t="s">
        <v>2468</v>
      </c>
      <c r="S222" t="s">
        <v>2469</v>
      </c>
      <c r="T222" t="s">
        <v>2470</v>
      </c>
      <c r="U222" t="s">
        <v>2471</v>
      </c>
      <c r="V222" t="s">
        <v>2472</v>
      </c>
      <c r="W222" t="s">
        <v>2473</v>
      </c>
      <c r="X222" t="s">
        <v>2474</v>
      </c>
      <c r="Y222" t="s">
        <v>2475</v>
      </c>
      <c r="Z222" t="s">
        <v>2476</v>
      </c>
      <c r="AA222" t="s">
        <v>2477</v>
      </c>
      <c r="AB222" t="s">
        <v>2478</v>
      </c>
      <c r="AD222" t="s">
        <v>2479</v>
      </c>
      <c r="AE222" t="s">
        <v>2480</v>
      </c>
      <c r="AF222" t="s">
        <v>2481</v>
      </c>
      <c r="AG222" t="s">
        <v>2482</v>
      </c>
      <c r="AH222" t="s">
        <v>2483</v>
      </c>
      <c r="AI222" t="s">
        <v>2484</v>
      </c>
      <c r="AJ222" t="s">
        <v>2485</v>
      </c>
      <c r="AK222" t="s">
        <v>2486</v>
      </c>
      <c r="AL222" t="s">
        <v>2487</v>
      </c>
      <c r="AN222" t="s">
        <v>2488</v>
      </c>
      <c r="AP222" t="s">
        <v>2489</v>
      </c>
      <c r="AQ222" t="s">
        <v>2490</v>
      </c>
      <c r="AR222" t="s">
        <v>2491</v>
      </c>
      <c r="AS222" t="s">
        <v>2492</v>
      </c>
      <c r="AT222" t="s">
        <v>2493</v>
      </c>
      <c r="AU222" t="s">
        <v>2494</v>
      </c>
      <c r="AV222" t="s">
        <v>2495</v>
      </c>
      <c r="AW222" t="s">
        <v>2496</v>
      </c>
      <c r="AX222" t="s">
        <v>2497</v>
      </c>
      <c r="AY222" t="s">
        <v>2498</v>
      </c>
      <c r="AZ222" t="s">
        <v>2499</v>
      </c>
      <c r="BA222" t="s">
        <v>2500</v>
      </c>
      <c r="BB222" t="s">
        <v>2501</v>
      </c>
      <c r="BC222" t="s">
        <v>2502</v>
      </c>
      <c r="BD222" t="s">
        <v>2503</v>
      </c>
      <c r="BE222" t="s">
        <v>2504</v>
      </c>
      <c r="BF222" t="s">
        <v>2505</v>
      </c>
      <c r="BG222" t="s">
        <v>2506</v>
      </c>
      <c r="BH222" t="s">
        <v>2507</v>
      </c>
      <c r="BI222" t="s">
        <v>2508</v>
      </c>
      <c r="BJ222" t="s">
        <v>2509</v>
      </c>
      <c r="BK222" t="s">
        <v>2510</v>
      </c>
      <c r="BL222" t="s">
        <v>2511</v>
      </c>
      <c r="BM222" t="s">
        <v>2512</v>
      </c>
      <c r="BN222" t="s">
        <v>2513</v>
      </c>
      <c r="BO222" t="s">
        <v>2514</v>
      </c>
      <c r="BP222" t="s">
        <v>2515</v>
      </c>
      <c r="BQ222" t="s">
        <v>2516</v>
      </c>
      <c r="BR222" t="s">
        <v>2517</v>
      </c>
      <c r="BS222" t="s">
        <v>2518</v>
      </c>
      <c r="BU222" t="s">
        <v>2519</v>
      </c>
      <c r="BV222" t="s">
        <v>2520</v>
      </c>
      <c r="BW222" t="s">
        <v>2521</v>
      </c>
      <c r="BX222" t="s">
        <v>2522</v>
      </c>
      <c r="BY222" t="s">
        <v>2523</v>
      </c>
      <c r="BZ222" t="s">
        <v>2524</v>
      </c>
      <c r="CA222" t="s">
        <v>2525</v>
      </c>
      <c r="CB222" t="s">
        <v>2526</v>
      </c>
      <c r="CC222" t="s">
        <v>2527</v>
      </c>
      <c r="CD222" t="s">
        <v>2528</v>
      </c>
      <c r="CF222" t="s">
        <v>2529</v>
      </c>
      <c r="CG222" t="s">
        <v>2530</v>
      </c>
      <c r="CH222" t="s">
        <v>2531</v>
      </c>
      <c r="CI222" t="s">
        <v>2532</v>
      </c>
      <c r="CK222" t="s">
        <v>2533</v>
      </c>
    </row>
    <row r="223" spans="1:89" x14ac:dyDescent="0.3">
      <c r="A223" s="155">
        <v>973</v>
      </c>
      <c r="B223" t="s">
        <v>1622</v>
      </c>
      <c r="D223">
        <v>0</v>
      </c>
      <c r="E223">
        <v>0</v>
      </c>
      <c r="F223">
        <v>0</v>
      </c>
      <c r="G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D223">
        <v>0</v>
      </c>
      <c r="AE223">
        <v>0</v>
      </c>
      <c r="AF223">
        <v>0</v>
      </c>
      <c r="AG223">
        <v>0</v>
      </c>
      <c r="AH223">
        <v>0</v>
      </c>
      <c r="AI223">
        <v>0</v>
      </c>
      <c r="AJ223">
        <v>0</v>
      </c>
      <c r="AK223">
        <v>0</v>
      </c>
      <c r="AL223">
        <v>0</v>
      </c>
      <c r="AN223">
        <v>0</v>
      </c>
      <c r="AP223">
        <v>0</v>
      </c>
      <c r="AQ223">
        <v>0</v>
      </c>
      <c r="AR223">
        <v>1</v>
      </c>
      <c r="AS223">
        <v>0</v>
      </c>
      <c r="AT223">
        <v>0</v>
      </c>
      <c r="AU223">
        <v>0</v>
      </c>
      <c r="AV223">
        <v>0</v>
      </c>
      <c r="AW223">
        <v>0</v>
      </c>
      <c r="AX223">
        <v>1</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U223">
        <v>0</v>
      </c>
      <c r="BV223">
        <v>0</v>
      </c>
      <c r="BW223">
        <v>0</v>
      </c>
      <c r="BX223">
        <v>0</v>
      </c>
      <c r="BY223">
        <v>1</v>
      </c>
      <c r="BZ223">
        <v>0</v>
      </c>
      <c r="CA223">
        <v>0</v>
      </c>
      <c r="CB223">
        <v>0</v>
      </c>
      <c r="CC223">
        <v>0</v>
      </c>
      <c r="CD223">
        <v>0</v>
      </c>
      <c r="CF223">
        <v>0</v>
      </c>
      <c r="CG223">
        <v>0</v>
      </c>
      <c r="CH223">
        <v>0</v>
      </c>
      <c r="CI223">
        <v>0</v>
      </c>
      <c r="CK223">
        <v>1</v>
      </c>
    </row>
    <row r="224" spans="1:89" x14ac:dyDescent="0.3">
      <c r="A224" s="155">
        <v>974</v>
      </c>
      <c r="B224" t="s">
        <v>945</v>
      </c>
      <c r="D224">
        <v>2</v>
      </c>
      <c r="E224">
        <v>2</v>
      </c>
      <c r="F224">
        <v>2</v>
      </c>
      <c r="G224">
        <v>2</v>
      </c>
      <c r="I224">
        <v>2</v>
      </c>
      <c r="J224">
        <v>2</v>
      </c>
      <c r="K224">
        <v>2</v>
      </c>
      <c r="L224">
        <v>3</v>
      </c>
      <c r="M224">
        <v>2</v>
      </c>
      <c r="N224">
        <v>1</v>
      </c>
      <c r="O224">
        <v>2</v>
      </c>
      <c r="P224">
        <v>3</v>
      </c>
      <c r="Q224">
        <v>3</v>
      </c>
      <c r="R224">
        <v>3</v>
      </c>
      <c r="S224">
        <v>3</v>
      </c>
      <c r="T224">
        <v>2</v>
      </c>
      <c r="U224">
        <v>2</v>
      </c>
      <c r="V224">
        <v>3</v>
      </c>
      <c r="W224">
        <v>2</v>
      </c>
      <c r="X224">
        <v>2</v>
      </c>
      <c r="Y224">
        <v>2</v>
      </c>
      <c r="Z224">
        <v>2</v>
      </c>
      <c r="AA224">
        <v>2</v>
      </c>
      <c r="AB224">
        <v>2</v>
      </c>
      <c r="AD224">
        <v>2</v>
      </c>
      <c r="AE224">
        <v>3</v>
      </c>
      <c r="AF224">
        <v>2</v>
      </c>
      <c r="AG224">
        <v>3</v>
      </c>
      <c r="AH224">
        <v>3</v>
      </c>
      <c r="AI224">
        <v>2</v>
      </c>
      <c r="AJ224">
        <v>2</v>
      </c>
      <c r="AK224">
        <v>2</v>
      </c>
      <c r="AL224">
        <v>2</v>
      </c>
      <c r="AN224">
        <v>1</v>
      </c>
      <c r="AP224">
        <v>2</v>
      </c>
      <c r="AQ224">
        <v>2</v>
      </c>
      <c r="AR224">
        <v>3</v>
      </c>
      <c r="AS224">
        <v>2</v>
      </c>
      <c r="AT224">
        <v>2</v>
      </c>
      <c r="AU224">
        <v>2</v>
      </c>
      <c r="AV224">
        <v>2</v>
      </c>
      <c r="AW224">
        <v>2</v>
      </c>
      <c r="AX224">
        <v>2</v>
      </c>
      <c r="AY224">
        <v>2</v>
      </c>
      <c r="AZ224">
        <v>2</v>
      </c>
      <c r="BA224">
        <v>2</v>
      </c>
      <c r="BB224">
        <v>2</v>
      </c>
      <c r="BC224">
        <v>3</v>
      </c>
      <c r="BD224">
        <v>3</v>
      </c>
      <c r="BE224">
        <v>2</v>
      </c>
      <c r="BF224">
        <v>2</v>
      </c>
      <c r="BG224">
        <v>3</v>
      </c>
      <c r="BH224">
        <v>2</v>
      </c>
      <c r="BI224">
        <v>2</v>
      </c>
      <c r="BJ224">
        <v>3</v>
      </c>
      <c r="BK224">
        <v>2</v>
      </c>
      <c r="BL224">
        <v>2</v>
      </c>
      <c r="BM224">
        <v>2</v>
      </c>
      <c r="BN224">
        <v>2</v>
      </c>
      <c r="BO224">
        <v>2</v>
      </c>
      <c r="BP224">
        <v>2</v>
      </c>
      <c r="BQ224">
        <v>3</v>
      </c>
      <c r="BR224">
        <v>3</v>
      </c>
      <c r="BS224">
        <v>2</v>
      </c>
      <c r="BU224">
        <v>2</v>
      </c>
      <c r="BV224">
        <v>2</v>
      </c>
      <c r="BW224">
        <v>2</v>
      </c>
      <c r="BX224">
        <v>2</v>
      </c>
      <c r="BY224">
        <v>2</v>
      </c>
      <c r="BZ224">
        <v>3</v>
      </c>
      <c r="CA224">
        <v>2</v>
      </c>
      <c r="CB224">
        <v>2</v>
      </c>
      <c r="CC224">
        <v>3</v>
      </c>
      <c r="CD224">
        <v>1</v>
      </c>
      <c r="CF224">
        <v>2</v>
      </c>
      <c r="CG224">
        <v>2</v>
      </c>
      <c r="CH224">
        <v>2</v>
      </c>
      <c r="CI224">
        <v>3</v>
      </c>
      <c r="CK224">
        <v>3</v>
      </c>
    </row>
    <row r="225" spans="1:89" x14ac:dyDescent="0.3">
      <c r="A225" s="155">
        <v>975</v>
      </c>
      <c r="B225" t="s">
        <v>596</v>
      </c>
      <c r="D225">
        <v>1</v>
      </c>
      <c r="E225">
        <v>2</v>
      </c>
      <c r="F225">
        <v>1</v>
      </c>
      <c r="G225">
        <v>2</v>
      </c>
      <c r="I225">
        <v>1</v>
      </c>
      <c r="J225">
        <v>1</v>
      </c>
      <c r="K225">
        <v>2</v>
      </c>
      <c r="L225">
        <v>1</v>
      </c>
      <c r="M225">
        <v>1</v>
      </c>
      <c r="N225">
        <v>1</v>
      </c>
      <c r="O225">
        <v>1</v>
      </c>
      <c r="P225">
        <v>2</v>
      </c>
      <c r="Q225">
        <v>1</v>
      </c>
      <c r="R225">
        <v>1</v>
      </c>
      <c r="S225">
        <v>2</v>
      </c>
      <c r="T225">
        <v>2</v>
      </c>
      <c r="U225">
        <v>2</v>
      </c>
      <c r="V225">
        <v>1</v>
      </c>
      <c r="W225">
        <v>1</v>
      </c>
      <c r="X225">
        <v>2</v>
      </c>
      <c r="Y225">
        <v>1</v>
      </c>
      <c r="Z225">
        <v>0</v>
      </c>
      <c r="AA225">
        <v>1</v>
      </c>
      <c r="AB225">
        <v>1</v>
      </c>
      <c r="AD225">
        <v>2</v>
      </c>
      <c r="AE225">
        <v>1</v>
      </c>
      <c r="AF225">
        <v>1</v>
      </c>
      <c r="AG225">
        <v>1</v>
      </c>
      <c r="AH225">
        <v>2</v>
      </c>
      <c r="AI225">
        <v>0</v>
      </c>
      <c r="AJ225">
        <v>2</v>
      </c>
      <c r="AK225">
        <v>1</v>
      </c>
      <c r="AL225">
        <v>1</v>
      </c>
      <c r="AN225">
        <v>1</v>
      </c>
      <c r="AP225">
        <v>1</v>
      </c>
      <c r="AQ225">
        <v>1</v>
      </c>
      <c r="AR225">
        <v>1</v>
      </c>
      <c r="AS225">
        <v>1</v>
      </c>
      <c r="AT225">
        <v>1</v>
      </c>
      <c r="AU225">
        <v>1</v>
      </c>
      <c r="AV225">
        <v>2</v>
      </c>
      <c r="AW225">
        <v>2</v>
      </c>
      <c r="AX225">
        <v>1</v>
      </c>
      <c r="AY225">
        <v>1</v>
      </c>
      <c r="AZ225">
        <v>1</v>
      </c>
      <c r="BA225">
        <v>1</v>
      </c>
      <c r="BB225">
        <v>1</v>
      </c>
      <c r="BC225">
        <v>1</v>
      </c>
      <c r="BD225">
        <v>2</v>
      </c>
      <c r="BE225">
        <v>2</v>
      </c>
      <c r="BF225">
        <v>2</v>
      </c>
      <c r="BG225">
        <v>1</v>
      </c>
      <c r="BH225">
        <v>1</v>
      </c>
      <c r="BI225">
        <v>1</v>
      </c>
      <c r="BJ225">
        <v>2</v>
      </c>
      <c r="BK225">
        <v>1</v>
      </c>
      <c r="BL225">
        <v>1</v>
      </c>
      <c r="BM225">
        <v>1</v>
      </c>
      <c r="BN225">
        <v>2</v>
      </c>
      <c r="BO225">
        <v>1</v>
      </c>
      <c r="BP225">
        <v>2</v>
      </c>
      <c r="BQ225">
        <v>1</v>
      </c>
      <c r="BR225">
        <v>1</v>
      </c>
      <c r="BS225">
        <v>1</v>
      </c>
      <c r="BU225">
        <v>1</v>
      </c>
      <c r="BV225">
        <v>1</v>
      </c>
      <c r="BW225">
        <v>1</v>
      </c>
      <c r="BX225">
        <v>1</v>
      </c>
      <c r="BY225">
        <v>1</v>
      </c>
      <c r="BZ225">
        <v>1</v>
      </c>
      <c r="CA225">
        <v>1</v>
      </c>
      <c r="CB225">
        <v>1</v>
      </c>
      <c r="CC225">
        <v>2</v>
      </c>
      <c r="CD225">
        <v>1</v>
      </c>
      <c r="CF225">
        <v>1</v>
      </c>
      <c r="CG225">
        <v>1</v>
      </c>
      <c r="CH225">
        <v>1</v>
      </c>
      <c r="CI225">
        <v>2</v>
      </c>
      <c r="CK225">
        <v>1</v>
      </c>
    </row>
    <row r="226" spans="1:89" x14ac:dyDescent="0.3">
      <c r="A226" s="155">
        <v>979</v>
      </c>
      <c r="B226" t="s">
        <v>946</v>
      </c>
      <c r="D226">
        <v>1</v>
      </c>
      <c r="E226">
        <v>1</v>
      </c>
      <c r="F226">
        <v>1</v>
      </c>
      <c r="G226">
        <v>1</v>
      </c>
      <c r="I226">
        <v>1</v>
      </c>
      <c r="J226">
        <v>1</v>
      </c>
      <c r="K226">
        <v>1</v>
      </c>
      <c r="L226">
        <v>2</v>
      </c>
      <c r="M226">
        <v>2</v>
      </c>
      <c r="N226">
        <v>2</v>
      </c>
      <c r="O226">
        <v>2</v>
      </c>
      <c r="P226">
        <v>1</v>
      </c>
      <c r="Q226">
        <v>2</v>
      </c>
      <c r="R226">
        <v>1</v>
      </c>
      <c r="S226">
        <v>1</v>
      </c>
      <c r="T226">
        <v>1</v>
      </c>
      <c r="U226">
        <v>1</v>
      </c>
      <c r="V226">
        <v>1</v>
      </c>
      <c r="W226">
        <v>2</v>
      </c>
      <c r="X226">
        <v>1</v>
      </c>
      <c r="Y226">
        <v>1</v>
      </c>
      <c r="Z226">
        <v>1</v>
      </c>
      <c r="AA226">
        <v>2</v>
      </c>
      <c r="AB226">
        <v>2</v>
      </c>
      <c r="AD226">
        <v>1</v>
      </c>
      <c r="AE226">
        <v>1</v>
      </c>
      <c r="AF226">
        <v>1</v>
      </c>
      <c r="AG226">
        <v>1</v>
      </c>
      <c r="AH226">
        <v>1</v>
      </c>
      <c r="AI226">
        <v>1</v>
      </c>
      <c r="AJ226">
        <v>1</v>
      </c>
      <c r="AK226">
        <v>1</v>
      </c>
      <c r="AL226">
        <v>2</v>
      </c>
      <c r="AN226">
        <v>2</v>
      </c>
      <c r="AP226">
        <v>2</v>
      </c>
      <c r="AQ226">
        <v>1</v>
      </c>
      <c r="AR226">
        <v>2</v>
      </c>
      <c r="AS226">
        <v>1</v>
      </c>
      <c r="AT226">
        <v>1</v>
      </c>
      <c r="AU226">
        <v>1</v>
      </c>
      <c r="AV226">
        <v>1</v>
      </c>
      <c r="AW226">
        <v>1</v>
      </c>
      <c r="AX226">
        <v>2</v>
      </c>
      <c r="AY226">
        <v>2</v>
      </c>
      <c r="AZ226">
        <v>2</v>
      </c>
      <c r="BA226">
        <v>2</v>
      </c>
      <c r="BB226">
        <v>1</v>
      </c>
      <c r="BC226">
        <v>1</v>
      </c>
      <c r="BD226">
        <v>1</v>
      </c>
      <c r="BE226">
        <v>1</v>
      </c>
      <c r="BF226">
        <v>1</v>
      </c>
      <c r="BG226">
        <v>1</v>
      </c>
      <c r="BH226">
        <v>1</v>
      </c>
      <c r="BI226">
        <v>2</v>
      </c>
      <c r="BJ226">
        <v>1</v>
      </c>
      <c r="BK226">
        <v>2</v>
      </c>
      <c r="BL226">
        <v>1</v>
      </c>
      <c r="BM226">
        <v>1</v>
      </c>
      <c r="BN226">
        <v>1</v>
      </c>
      <c r="BO226">
        <v>2</v>
      </c>
      <c r="BP226">
        <v>1</v>
      </c>
      <c r="BQ226">
        <v>2</v>
      </c>
      <c r="BR226">
        <v>2</v>
      </c>
      <c r="BS226">
        <v>1</v>
      </c>
      <c r="BU226">
        <v>2</v>
      </c>
      <c r="BV226">
        <v>1</v>
      </c>
      <c r="BW226">
        <v>1</v>
      </c>
      <c r="BX226">
        <v>2</v>
      </c>
      <c r="BY226">
        <v>2</v>
      </c>
      <c r="BZ226">
        <v>1</v>
      </c>
      <c r="CA226">
        <v>1</v>
      </c>
      <c r="CB226">
        <v>2</v>
      </c>
      <c r="CC226">
        <v>1</v>
      </c>
      <c r="CD226">
        <v>2</v>
      </c>
      <c r="CF226">
        <v>2</v>
      </c>
      <c r="CG226">
        <v>1</v>
      </c>
      <c r="CH226">
        <v>1</v>
      </c>
      <c r="CI226">
        <v>1</v>
      </c>
      <c r="CK226">
        <v>2</v>
      </c>
    </row>
    <row r="227" spans="1:89" x14ac:dyDescent="0.3">
      <c r="A227" s="155">
        <v>980</v>
      </c>
      <c r="B227" t="s">
        <v>583</v>
      </c>
      <c r="D227" t="s">
        <v>1633</v>
      </c>
      <c r="E227" t="s">
        <v>1598</v>
      </c>
      <c r="F227" t="s">
        <v>1607</v>
      </c>
      <c r="G227" t="s">
        <v>2347</v>
      </c>
      <c r="I227" t="s">
        <v>2350</v>
      </c>
      <c r="J227" t="s">
        <v>1602</v>
      </c>
      <c r="K227" t="s">
        <v>1619</v>
      </c>
      <c r="L227" t="s">
        <v>2534</v>
      </c>
      <c r="M227" t="s">
        <v>2355</v>
      </c>
      <c r="N227" t="s">
        <v>2535</v>
      </c>
      <c r="O227" t="s">
        <v>2350</v>
      </c>
      <c r="P227" t="s">
        <v>1598</v>
      </c>
      <c r="Q227" t="s">
        <v>1631</v>
      </c>
      <c r="R227" t="s">
        <v>1609</v>
      </c>
      <c r="S227" t="s">
        <v>1598</v>
      </c>
      <c r="T227" t="s">
        <v>2536</v>
      </c>
      <c r="U227" t="s">
        <v>1598</v>
      </c>
      <c r="V227" t="s">
        <v>2353</v>
      </c>
      <c r="W227" t="s">
        <v>2537</v>
      </c>
      <c r="X227" t="s">
        <v>1598</v>
      </c>
      <c r="Y227" t="s">
        <v>1633</v>
      </c>
      <c r="Z227" t="s">
        <v>1598</v>
      </c>
      <c r="AA227" t="s">
        <v>2355</v>
      </c>
      <c r="AB227" t="s">
        <v>1636</v>
      </c>
      <c r="AD227" t="s">
        <v>1598</v>
      </c>
      <c r="AE227" t="s">
        <v>1598</v>
      </c>
      <c r="AF227" t="s">
        <v>1625</v>
      </c>
      <c r="AG227" t="s">
        <v>2538</v>
      </c>
      <c r="AH227" t="s">
        <v>2350</v>
      </c>
      <c r="AI227" t="s">
        <v>1598</v>
      </c>
      <c r="AJ227" t="s">
        <v>1598</v>
      </c>
      <c r="AK227" t="s">
        <v>2363</v>
      </c>
      <c r="AL227" t="s">
        <v>2539</v>
      </c>
      <c r="AN227" t="s">
        <v>2537</v>
      </c>
      <c r="AP227" t="s">
        <v>2540</v>
      </c>
      <c r="AQ227" t="s">
        <v>1620</v>
      </c>
      <c r="AR227" t="s">
        <v>2541</v>
      </c>
      <c r="AS227" t="s">
        <v>1633</v>
      </c>
      <c r="AT227" t="s">
        <v>1633</v>
      </c>
      <c r="AU227" t="s">
        <v>1633</v>
      </c>
      <c r="AV227" t="s">
        <v>1628</v>
      </c>
      <c r="AW227" t="s">
        <v>1598</v>
      </c>
      <c r="AX227" t="s">
        <v>2542</v>
      </c>
      <c r="AY227" t="s">
        <v>2374</v>
      </c>
      <c r="AZ227" t="s">
        <v>1626</v>
      </c>
      <c r="BA227" t="s">
        <v>2223</v>
      </c>
      <c r="BB227" t="s">
        <v>1634</v>
      </c>
      <c r="BC227" t="s">
        <v>1627</v>
      </c>
      <c r="BD227" t="s">
        <v>2543</v>
      </c>
      <c r="BE227" t="s">
        <v>1625</v>
      </c>
      <c r="BF227" t="s">
        <v>1607</v>
      </c>
      <c r="BG227" t="s">
        <v>1629</v>
      </c>
      <c r="BH227" t="s">
        <v>1625</v>
      </c>
      <c r="BI227" t="s">
        <v>2544</v>
      </c>
      <c r="BJ227" t="s">
        <v>1598</v>
      </c>
      <c r="BK227" t="s">
        <v>2545</v>
      </c>
      <c r="BL227" t="s">
        <v>2546</v>
      </c>
      <c r="BM227" t="s">
        <v>1631</v>
      </c>
      <c r="BN227" t="s">
        <v>1634</v>
      </c>
      <c r="BO227" t="s">
        <v>2375</v>
      </c>
      <c r="BP227" t="s">
        <v>1598</v>
      </c>
      <c r="BQ227" t="s">
        <v>1617</v>
      </c>
      <c r="BR227" t="s">
        <v>2547</v>
      </c>
      <c r="BS227" t="s">
        <v>2372</v>
      </c>
      <c r="BU227" t="s">
        <v>1998</v>
      </c>
      <c r="BV227" t="s">
        <v>2250</v>
      </c>
      <c r="BW227" t="s">
        <v>1626</v>
      </c>
      <c r="BX227" t="s">
        <v>1637</v>
      </c>
      <c r="BY227" t="s">
        <v>2008</v>
      </c>
      <c r="BZ227" t="s">
        <v>2372</v>
      </c>
      <c r="CA227" t="s">
        <v>1633</v>
      </c>
      <c r="CB227" t="s">
        <v>2223</v>
      </c>
      <c r="CC227" t="s">
        <v>1598</v>
      </c>
      <c r="CD227" t="s">
        <v>1624</v>
      </c>
      <c r="CF227" t="s">
        <v>1623</v>
      </c>
      <c r="CG227" t="s">
        <v>1638</v>
      </c>
      <c r="CH227" t="s">
        <v>2548</v>
      </c>
      <c r="CI227" t="s">
        <v>1598</v>
      </c>
      <c r="CK227" t="s">
        <v>2549</v>
      </c>
    </row>
    <row r="228" spans="1:89" x14ac:dyDescent="0.3">
      <c r="A228" s="155">
        <v>984</v>
      </c>
      <c r="B228" t="s">
        <v>947</v>
      </c>
      <c r="D228">
        <v>0</v>
      </c>
      <c r="E228">
        <v>303501</v>
      </c>
      <c r="F228">
        <v>73188</v>
      </c>
      <c r="G228">
        <v>117228</v>
      </c>
      <c r="I228">
        <v>3560703</v>
      </c>
      <c r="J228">
        <v>958064</v>
      </c>
      <c r="K228">
        <v>6415066</v>
      </c>
      <c r="L228">
        <v>632855</v>
      </c>
      <c r="M228">
        <v>15527154</v>
      </c>
      <c r="N228">
        <v>1726571</v>
      </c>
      <c r="O228">
        <v>116938159</v>
      </c>
      <c r="P228">
        <v>8018</v>
      </c>
      <c r="Q228">
        <v>36512</v>
      </c>
      <c r="R228">
        <v>878858</v>
      </c>
      <c r="S228">
        <v>524370</v>
      </c>
      <c r="T228">
        <v>650239</v>
      </c>
      <c r="U228">
        <v>110484</v>
      </c>
      <c r="V228">
        <v>0</v>
      </c>
      <c r="W228">
        <v>563232</v>
      </c>
      <c r="X228">
        <v>35316583</v>
      </c>
      <c r="Y228">
        <v>412862000</v>
      </c>
      <c r="Z228">
        <v>2458949</v>
      </c>
      <c r="AA228">
        <v>86093</v>
      </c>
      <c r="AB228">
        <v>1925594</v>
      </c>
      <c r="AD228">
        <v>2690186</v>
      </c>
      <c r="AE228">
        <v>382465</v>
      </c>
      <c r="AF228">
        <v>17277659</v>
      </c>
      <c r="AG228">
        <v>3970014</v>
      </c>
      <c r="AH228">
        <v>624614</v>
      </c>
      <c r="AI228">
        <v>3393701</v>
      </c>
      <c r="AJ228">
        <v>478155</v>
      </c>
      <c r="AK228">
        <v>681167</v>
      </c>
      <c r="AL228">
        <v>141772</v>
      </c>
      <c r="AN228">
        <v>331532</v>
      </c>
      <c r="AP228">
        <v>18040</v>
      </c>
      <c r="AQ228">
        <v>71276851</v>
      </c>
      <c r="AR228">
        <v>22591</v>
      </c>
      <c r="AS228">
        <v>67257</v>
      </c>
      <c r="AT228">
        <v>6334827</v>
      </c>
      <c r="AU228">
        <v>260086</v>
      </c>
      <c r="AV228">
        <v>175426</v>
      </c>
      <c r="AW228">
        <v>17279552</v>
      </c>
      <c r="AX228">
        <v>53040</v>
      </c>
      <c r="AY228">
        <v>3422352</v>
      </c>
      <c r="AZ228">
        <v>2259690</v>
      </c>
      <c r="BA228">
        <v>92904</v>
      </c>
      <c r="BB228">
        <v>36999</v>
      </c>
      <c r="BC228">
        <v>1515374</v>
      </c>
      <c r="BD228">
        <v>36879</v>
      </c>
      <c r="BE228">
        <v>8455774</v>
      </c>
      <c r="BF228">
        <v>904201</v>
      </c>
      <c r="BG228">
        <v>139619</v>
      </c>
      <c r="BH228">
        <v>147598</v>
      </c>
      <c r="BI228">
        <v>836181</v>
      </c>
      <c r="BJ228">
        <v>0</v>
      </c>
      <c r="BK228">
        <v>58170</v>
      </c>
      <c r="BL228">
        <v>407237</v>
      </c>
      <c r="BM228">
        <v>93820</v>
      </c>
      <c r="BN228">
        <v>5111748</v>
      </c>
      <c r="BO228">
        <v>4476903</v>
      </c>
      <c r="BP228">
        <v>121729758</v>
      </c>
      <c r="BQ228">
        <v>21809</v>
      </c>
      <c r="BR228">
        <v>55458</v>
      </c>
      <c r="BS228">
        <v>239451</v>
      </c>
      <c r="BU228">
        <v>841929</v>
      </c>
      <c r="BV228">
        <v>735242</v>
      </c>
      <c r="BW228">
        <v>6431922</v>
      </c>
      <c r="BX228">
        <v>2174320</v>
      </c>
      <c r="BY228">
        <v>9807412</v>
      </c>
      <c r="BZ228">
        <v>1822417</v>
      </c>
      <c r="CA228">
        <v>72670</v>
      </c>
      <c r="CB228">
        <v>2818915</v>
      </c>
      <c r="CC228">
        <v>73858</v>
      </c>
      <c r="CD228">
        <v>284822</v>
      </c>
      <c r="CF228">
        <v>2960412</v>
      </c>
      <c r="CG228">
        <v>4857155</v>
      </c>
      <c r="CH228">
        <v>642933</v>
      </c>
      <c r="CI228">
        <v>1396178</v>
      </c>
      <c r="CK228">
        <v>44485</v>
      </c>
    </row>
    <row r="229" spans="1:89" x14ac:dyDescent="0.3">
      <c r="A229" s="155">
        <v>985</v>
      </c>
      <c r="B229" t="s">
        <v>948</v>
      </c>
      <c r="D229">
        <v>0</v>
      </c>
      <c r="E229">
        <v>300400</v>
      </c>
      <c r="F229">
        <v>82800</v>
      </c>
      <c r="G229">
        <v>109442</v>
      </c>
      <c r="I229">
        <v>3379000</v>
      </c>
      <c r="J229">
        <v>904772</v>
      </c>
      <c r="K229">
        <v>6352970</v>
      </c>
      <c r="L229">
        <v>570000</v>
      </c>
      <c r="M229">
        <v>15500000</v>
      </c>
      <c r="N229">
        <v>1721450</v>
      </c>
      <c r="O229">
        <v>116213255</v>
      </c>
      <c r="P229">
        <v>7372</v>
      </c>
      <c r="Q229">
        <v>32000</v>
      </c>
      <c r="R229">
        <v>851350</v>
      </c>
      <c r="S229">
        <v>478971</v>
      </c>
      <c r="T229">
        <v>627700</v>
      </c>
      <c r="U229">
        <v>105369</v>
      </c>
      <c r="V229">
        <v>0</v>
      </c>
      <c r="W229">
        <v>491650</v>
      </c>
      <c r="X229">
        <v>35147500</v>
      </c>
      <c r="Y229">
        <v>413177000</v>
      </c>
      <c r="Z229">
        <v>2354065</v>
      </c>
      <c r="AA229">
        <v>82900</v>
      </c>
      <c r="AB229">
        <v>1925532</v>
      </c>
      <c r="AD229">
        <v>2508800</v>
      </c>
      <c r="AE229">
        <v>353200</v>
      </c>
      <c r="AF229">
        <v>17022047</v>
      </c>
      <c r="AG229">
        <v>3896635</v>
      </c>
      <c r="AH229">
        <v>617940</v>
      </c>
      <c r="AI229">
        <v>3357400</v>
      </c>
      <c r="AJ229">
        <v>439700</v>
      </c>
      <c r="AK229">
        <v>655745</v>
      </c>
      <c r="AL229">
        <v>130390</v>
      </c>
      <c r="AN229">
        <v>309292</v>
      </c>
      <c r="AP229">
        <v>18300</v>
      </c>
      <c r="AQ229">
        <v>69962889</v>
      </c>
      <c r="AR229">
        <v>22121</v>
      </c>
      <c r="AS229">
        <v>58502</v>
      </c>
      <c r="AT229">
        <v>6255000</v>
      </c>
      <c r="AU229">
        <v>255890</v>
      </c>
      <c r="AV229">
        <v>146827</v>
      </c>
      <c r="AW229">
        <v>16703075</v>
      </c>
      <c r="AX229">
        <v>49850</v>
      </c>
      <c r="AY229">
        <v>3193000</v>
      </c>
      <c r="AZ229">
        <v>2102784</v>
      </c>
      <c r="BA229">
        <v>90000</v>
      </c>
      <c r="BB229">
        <v>29100</v>
      </c>
      <c r="BC229">
        <v>1510089</v>
      </c>
      <c r="BD229">
        <v>35300</v>
      </c>
      <c r="BE229">
        <v>8554982</v>
      </c>
      <c r="BF229">
        <v>794419</v>
      </c>
      <c r="BG229">
        <v>125232</v>
      </c>
      <c r="BH229">
        <v>136745</v>
      </c>
      <c r="BI229">
        <v>849500</v>
      </c>
      <c r="BJ229">
        <v>0</v>
      </c>
      <c r="BK229">
        <v>45250</v>
      </c>
      <c r="BL229">
        <v>403903</v>
      </c>
      <c r="BM229">
        <v>81700</v>
      </c>
      <c r="BN229">
        <v>5093275</v>
      </c>
      <c r="BO229">
        <v>4452000</v>
      </c>
      <c r="BP229">
        <v>115967363</v>
      </c>
      <c r="BQ229">
        <v>19000</v>
      </c>
      <c r="BR229">
        <v>55370</v>
      </c>
      <c r="BS229">
        <v>206880</v>
      </c>
      <c r="BU229">
        <v>817900</v>
      </c>
      <c r="BV229">
        <v>681850</v>
      </c>
      <c r="BW229">
        <v>6476500</v>
      </c>
      <c r="BX229">
        <v>2364706</v>
      </c>
      <c r="BY229">
        <v>9261265</v>
      </c>
      <c r="BZ229">
        <v>1781173</v>
      </c>
      <c r="CA229">
        <v>68600</v>
      </c>
      <c r="CB229">
        <v>2685389</v>
      </c>
      <c r="CC229">
        <v>72300</v>
      </c>
      <c r="CD229">
        <v>298002</v>
      </c>
      <c r="CF229">
        <v>2954800</v>
      </c>
      <c r="CG229">
        <v>4846770</v>
      </c>
      <c r="CH229">
        <v>703684</v>
      </c>
      <c r="CI229">
        <v>1349149</v>
      </c>
      <c r="CK229">
        <v>40750</v>
      </c>
    </row>
    <row r="230" spans="1:89" x14ac:dyDescent="0.3">
      <c r="A230" s="155">
        <v>986</v>
      </c>
      <c r="B230" t="s">
        <v>584</v>
      </c>
      <c r="D230">
        <v>0</v>
      </c>
      <c r="E230">
        <v>0</v>
      </c>
      <c r="F230">
        <v>0</v>
      </c>
      <c r="G230">
        <v>0</v>
      </c>
      <c r="I230">
        <v>0</v>
      </c>
      <c r="J230">
        <v>0</v>
      </c>
      <c r="K230">
        <v>0</v>
      </c>
      <c r="L230">
        <v>0</v>
      </c>
      <c r="M230">
        <v>0</v>
      </c>
      <c r="N230">
        <v>0</v>
      </c>
      <c r="O230">
        <v>70000</v>
      </c>
      <c r="P230">
        <v>0</v>
      </c>
      <c r="Q230">
        <v>0</v>
      </c>
      <c r="R230">
        <v>0</v>
      </c>
      <c r="S230">
        <v>0</v>
      </c>
      <c r="T230">
        <v>0</v>
      </c>
      <c r="U230">
        <v>0</v>
      </c>
      <c r="V230">
        <v>0</v>
      </c>
      <c r="W230">
        <v>0</v>
      </c>
      <c r="X230">
        <v>0</v>
      </c>
      <c r="Y230">
        <v>0</v>
      </c>
      <c r="Z230">
        <v>0</v>
      </c>
      <c r="AA230">
        <v>0</v>
      </c>
      <c r="AB230">
        <v>0</v>
      </c>
      <c r="AD230">
        <v>0</v>
      </c>
      <c r="AE230">
        <v>0</v>
      </c>
      <c r="AF230">
        <v>0</v>
      </c>
      <c r="AG230">
        <v>0</v>
      </c>
      <c r="AH230">
        <v>0</v>
      </c>
      <c r="AI230">
        <v>0</v>
      </c>
      <c r="AJ230">
        <v>0</v>
      </c>
      <c r="AK230">
        <v>0</v>
      </c>
      <c r="AL230">
        <v>0</v>
      </c>
      <c r="AN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c r="BU230">
        <v>0</v>
      </c>
      <c r="BV230">
        <v>0</v>
      </c>
      <c r="BW230">
        <v>134371</v>
      </c>
      <c r="BX230">
        <v>0</v>
      </c>
      <c r="BY230">
        <v>0</v>
      </c>
      <c r="BZ230">
        <v>0</v>
      </c>
      <c r="CA230">
        <v>35375</v>
      </c>
      <c r="CB230">
        <v>0</v>
      </c>
      <c r="CC230">
        <v>0</v>
      </c>
      <c r="CD230">
        <v>0</v>
      </c>
      <c r="CF230">
        <v>0</v>
      </c>
      <c r="CG230">
        <v>0</v>
      </c>
      <c r="CH230">
        <v>0</v>
      </c>
      <c r="CI230">
        <v>0</v>
      </c>
      <c r="CK230">
        <v>0</v>
      </c>
    </row>
    <row r="231" spans="1:89" x14ac:dyDescent="0.3">
      <c r="A231" s="155">
        <v>987</v>
      </c>
      <c r="B231" t="s">
        <v>949</v>
      </c>
      <c r="D231">
        <v>0</v>
      </c>
      <c r="E231">
        <v>0</v>
      </c>
      <c r="F231">
        <v>0</v>
      </c>
      <c r="G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D231">
        <v>0</v>
      </c>
      <c r="AE231">
        <v>0</v>
      </c>
      <c r="AF231">
        <v>0</v>
      </c>
      <c r="AG231">
        <v>0</v>
      </c>
      <c r="AH231">
        <v>0</v>
      </c>
      <c r="AI231">
        <v>0</v>
      </c>
      <c r="AJ231">
        <v>0</v>
      </c>
      <c r="AK231">
        <v>0</v>
      </c>
      <c r="AL231">
        <v>0</v>
      </c>
      <c r="AN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U231">
        <v>0</v>
      </c>
      <c r="BV231">
        <v>0</v>
      </c>
      <c r="BW231">
        <v>0</v>
      </c>
      <c r="BX231">
        <v>0</v>
      </c>
      <c r="BY231">
        <v>0</v>
      </c>
      <c r="BZ231">
        <v>0</v>
      </c>
      <c r="CA231">
        <v>0</v>
      </c>
      <c r="CB231">
        <v>0</v>
      </c>
      <c r="CC231">
        <v>0</v>
      </c>
      <c r="CD231">
        <v>0</v>
      </c>
      <c r="CF231">
        <v>0</v>
      </c>
      <c r="CG231">
        <v>0</v>
      </c>
      <c r="CH231">
        <v>0</v>
      </c>
      <c r="CI231">
        <v>0</v>
      </c>
      <c r="CK231">
        <v>0</v>
      </c>
    </row>
    <row r="232" spans="1:89" x14ac:dyDescent="0.3">
      <c r="A232" s="155">
        <v>988</v>
      </c>
      <c r="B232" t="s">
        <v>950</v>
      </c>
      <c r="D232">
        <v>2</v>
      </c>
      <c r="E232">
        <v>2</v>
      </c>
      <c r="F232">
        <v>2</v>
      </c>
      <c r="G232">
        <v>2</v>
      </c>
      <c r="I232">
        <v>2</v>
      </c>
      <c r="J232">
        <v>2</v>
      </c>
      <c r="K232">
        <v>2</v>
      </c>
      <c r="L232">
        <v>2</v>
      </c>
      <c r="M232">
        <v>2</v>
      </c>
      <c r="N232">
        <v>2</v>
      </c>
      <c r="O232">
        <v>2</v>
      </c>
      <c r="P232">
        <v>2</v>
      </c>
      <c r="Q232">
        <v>2</v>
      </c>
      <c r="R232">
        <v>2</v>
      </c>
      <c r="S232">
        <v>2</v>
      </c>
      <c r="T232">
        <v>2</v>
      </c>
      <c r="U232">
        <v>2</v>
      </c>
      <c r="V232">
        <v>0</v>
      </c>
      <c r="W232">
        <v>2</v>
      </c>
      <c r="X232">
        <v>2</v>
      </c>
      <c r="Y232">
        <v>2</v>
      </c>
      <c r="Z232">
        <v>2</v>
      </c>
      <c r="AA232">
        <v>2</v>
      </c>
      <c r="AB232">
        <v>2</v>
      </c>
      <c r="AD232">
        <v>2</v>
      </c>
      <c r="AE232">
        <v>2</v>
      </c>
      <c r="AF232">
        <v>2</v>
      </c>
      <c r="AG232">
        <v>0</v>
      </c>
      <c r="AH232">
        <v>2</v>
      </c>
      <c r="AI232">
        <v>2</v>
      </c>
      <c r="AJ232">
        <v>2</v>
      </c>
      <c r="AK232">
        <v>2</v>
      </c>
      <c r="AL232">
        <v>2</v>
      </c>
      <c r="AN232">
        <v>2</v>
      </c>
      <c r="AP232">
        <v>2</v>
      </c>
      <c r="AQ232">
        <v>2</v>
      </c>
      <c r="AR232">
        <v>2</v>
      </c>
      <c r="AS232">
        <v>2</v>
      </c>
      <c r="AT232">
        <v>2</v>
      </c>
      <c r="AU232">
        <v>2</v>
      </c>
      <c r="AV232">
        <v>2</v>
      </c>
      <c r="AW232">
        <v>2</v>
      </c>
      <c r="AX232">
        <v>2</v>
      </c>
      <c r="AY232">
        <v>2</v>
      </c>
      <c r="AZ232">
        <v>2</v>
      </c>
      <c r="BA232">
        <v>2</v>
      </c>
      <c r="BB232">
        <v>2</v>
      </c>
      <c r="BC232">
        <v>2</v>
      </c>
      <c r="BD232">
        <v>2</v>
      </c>
      <c r="BE232">
        <v>2</v>
      </c>
      <c r="BF232">
        <v>2</v>
      </c>
      <c r="BG232">
        <v>2</v>
      </c>
      <c r="BH232">
        <v>2</v>
      </c>
      <c r="BI232">
        <v>2</v>
      </c>
      <c r="BJ232">
        <v>0</v>
      </c>
      <c r="BK232">
        <v>2</v>
      </c>
      <c r="BL232">
        <v>2</v>
      </c>
      <c r="BM232">
        <v>2</v>
      </c>
      <c r="BN232">
        <v>2</v>
      </c>
      <c r="BO232">
        <v>2</v>
      </c>
      <c r="BP232">
        <v>2</v>
      </c>
      <c r="BQ232">
        <v>2</v>
      </c>
      <c r="BR232">
        <v>2</v>
      </c>
      <c r="BS232">
        <v>2</v>
      </c>
      <c r="BU232">
        <v>2</v>
      </c>
      <c r="BV232">
        <v>2</v>
      </c>
      <c r="BW232">
        <v>2</v>
      </c>
      <c r="BX232">
        <v>2</v>
      </c>
      <c r="BY232">
        <v>2</v>
      </c>
      <c r="BZ232">
        <v>2</v>
      </c>
      <c r="CA232">
        <v>2</v>
      </c>
      <c r="CB232">
        <v>2</v>
      </c>
      <c r="CC232">
        <v>2</v>
      </c>
      <c r="CD232">
        <v>2</v>
      </c>
      <c r="CF232">
        <v>2</v>
      </c>
      <c r="CG232">
        <v>2</v>
      </c>
      <c r="CH232">
        <v>2</v>
      </c>
      <c r="CI232">
        <v>2</v>
      </c>
      <c r="CK232">
        <v>2</v>
      </c>
    </row>
    <row r="233" spans="1:89" x14ac:dyDescent="0.3">
      <c r="A233" s="155">
        <v>989</v>
      </c>
      <c r="B233" t="s">
        <v>951</v>
      </c>
      <c r="D233">
        <v>3</v>
      </c>
      <c r="E233">
        <v>3</v>
      </c>
      <c r="F233">
        <v>3</v>
      </c>
      <c r="G233">
        <v>3</v>
      </c>
      <c r="I233">
        <v>3</v>
      </c>
      <c r="J233">
        <v>3</v>
      </c>
      <c r="K233">
        <v>3</v>
      </c>
      <c r="L233">
        <v>3</v>
      </c>
      <c r="M233">
        <v>3</v>
      </c>
      <c r="N233">
        <v>3</v>
      </c>
      <c r="O233">
        <v>3</v>
      </c>
      <c r="P233">
        <v>0</v>
      </c>
      <c r="Q233">
        <v>0</v>
      </c>
      <c r="R233">
        <v>3</v>
      </c>
      <c r="S233">
        <v>0</v>
      </c>
      <c r="T233">
        <v>3</v>
      </c>
      <c r="U233">
        <v>3</v>
      </c>
      <c r="V233">
        <v>0</v>
      </c>
      <c r="W233">
        <v>3</v>
      </c>
      <c r="X233">
        <v>3</v>
      </c>
      <c r="Y233">
        <v>3</v>
      </c>
      <c r="Z233">
        <v>3</v>
      </c>
      <c r="AA233">
        <v>3</v>
      </c>
      <c r="AB233">
        <v>0</v>
      </c>
      <c r="AD233">
        <v>3</v>
      </c>
      <c r="AE233">
        <v>3</v>
      </c>
      <c r="AF233">
        <v>3</v>
      </c>
      <c r="AG233">
        <v>0</v>
      </c>
      <c r="AH233">
        <v>3</v>
      </c>
      <c r="AI233">
        <v>3</v>
      </c>
      <c r="AJ233">
        <v>3</v>
      </c>
      <c r="AK233">
        <v>3</v>
      </c>
      <c r="AL233">
        <v>3</v>
      </c>
      <c r="AN233">
        <v>0</v>
      </c>
      <c r="AP233">
        <v>0</v>
      </c>
      <c r="AQ233">
        <v>3</v>
      </c>
      <c r="AR233">
        <v>3</v>
      </c>
      <c r="AS233">
        <v>3</v>
      </c>
      <c r="AT233">
        <v>3</v>
      </c>
      <c r="AU233">
        <v>3</v>
      </c>
      <c r="AV233">
        <v>3</v>
      </c>
      <c r="AW233">
        <v>3</v>
      </c>
      <c r="AX233">
        <v>3</v>
      </c>
      <c r="AY233">
        <v>3</v>
      </c>
      <c r="AZ233">
        <v>3</v>
      </c>
      <c r="BA233">
        <v>3</v>
      </c>
      <c r="BB233">
        <v>3</v>
      </c>
      <c r="BC233">
        <v>3</v>
      </c>
      <c r="BD233">
        <v>3</v>
      </c>
      <c r="BE233">
        <v>0</v>
      </c>
      <c r="BF233">
        <v>3</v>
      </c>
      <c r="BG233">
        <v>3</v>
      </c>
      <c r="BH233">
        <v>3</v>
      </c>
      <c r="BI233">
        <v>3</v>
      </c>
      <c r="BJ233">
        <v>0</v>
      </c>
      <c r="BK233">
        <v>3</v>
      </c>
      <c r="BL233">
        <v>3</v>
      </c>
      <c r="BM233">
        <v>3</v>
      </c>
      <c r="BN233">
        <v>0</v>
      </c>
      <c r="BO233">
        <v>3</v>
      </c>
      <c r="BP233">
        <v>3</v>
      </c>
      <c r="BQ233">
        <v>0</v>
      </c>
      <c r="BR233">
        <v>3</v>
      </c>
      <c r="BS233">
        <v>0</v>
      </c>
      <c r="BU233">
        <v>3</v>
      </c>
      <c r="BV233">
        <v>3</v>
      </c>
      <c r="BW233">
        <v>0</v>
      </c>
      <c r="BX233">
        <v>3</v>
      </c>
      <c r="BY233">
        <v>3</v>
      </c>
      <c r="BZ233">
        <v>3</v>
      </c>
      <c r="CA233">
        <v>3</v>
      </c>
      <c r="CB233">
        <v>3</v>
      </c>
      <c r="CC233">
        <v>3</v>
      </c>
      <c r="CD233">
        <v>0</v>
      </c>
      <c r="CF233">
        <v>3</v>
      </c>
      <c r="CG233">
        <v>3</v>
      </c>
      <c r="CH233">
        <v>0</v>
      </c>
      <c r="CI233">
        <v>3</v>
      </c>
      <c r="CK233">
        <v>3</v>
      </c>
    </row>
    <row r="234" spans="1:89" x14ac:dyDescent="0.3">
      <c r="A234" s="155">
        <v>990</v>
      </c>
      <c r="B234" t="s">
        <v>575</v>
      </c>
      <c r="D234">
        <v>0</v>
      </c>
      <c r="E234">
        <v>0</v>
      </c>
      <c r="F234">
        <v>0</v>
      </c>
      <c r="G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D234">
        <v>0</v>
      </c>
      <c r="AE234">
        <v>0</v>
      </c>
      <c r="AF234">
        <v>0</v>
      </c>
      <c r="AG234">
        <v>0</v>
      </c>
      <c r="AH234">
        <v>0</v>
      </c>
      <c r="AI234">
        <v>0</v>
      </c>
      <c r="AJ234">
        <v>0</v>
      </c>
      <c r="AK234">
        <v>0</v>
      </c>
      <c r="AL234">
        <v>0</v>
      </c>
      <c r="AN234">
        <v>0</v>
      </c>
      <c r="AP234">
        <v>0</v>
      </c>
      <c r="AQ234">
        <v>627765</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U234">
        <v>0</v>
      </c>
      <c r="BV234">
        <v>0</v>
      </c>
      <c r="BW234">
        <v>0</v>
      </c>
      <c r="BX234">
        <v>0</v>
      </c>
      <c r="BY234">
        <v>925000</v>
      </c>
      <c r="BZ234">
        <v>0</v>
      </c>
      <c r="CA234">
        <v>0</v>
      </c>
      <c r="CB234">
        <v>0</v>
      </c>
      <c r="CC234">
        <v>0</v>
      </c>
      <c r="CD234">
        <v>0</v>
      </c>
      <c r="CF234">
        <v>0</v>
      </c>
      <c r="CG234">
        <v>0</v>
      </c>
      <c r="CH234">
        <v>0</v>
      </c>
      <c r="CI234">
        <v>0</v>
      </c>
      <c r="CK234">
        <v>0</v>
      </c>
    </row>
    <row r="235" spans="1:89" x14ac:dyDescent="0.3">
      <c r="A235" s="155">
        <v>991</v>
      </c>
      <c r="B235" t="s">
        <v>952</v>
      </c>
      <c r="D235">
        <v>23</v>
      </c>
      <c r="E235">
        <v>20</v>
      </c>
      <c r="F235">
        <v>22</v>
      </c>
      <c r="G235">
        <v>20</v>
      </c>
      <c r="I235">
        <v>23</v>
      </c>
      <c r="J235">
        <v>23</v>
      </c>
      <c r="K235">
        <v>22</v>
      </c>
      <c r="L235">
        <v>20</v>
      </c>
      <c r="M235">
        <v>23</v>
      </c>
      <c r="N235">
        <v>23</v>
      </c>
      <c r="O235">
        <v>23</v>
      </c>
      <c r="P235">
        <v>23</v>
      </c>
      <c r="Q235">
        <v>23</v>
      </c>
      <c r="R235">
        <v>22</v>
      </c>
      <c r="S235">
        <v>20</v>
      </c>
      <c r="T235">
        <v>23</v>
      </c>
      <c r="U235">
        <v>23</v>
      </c>
      <c r="V235">
        <v>23</v>
      </c>
      <c r="W235">
        <v>23</v>
      </c>
      <c r="X235">
        <v>23</v>
      </c>
      <c r="Y235">
        <v>23</v>
      </c>
      <c r="Z235">
        <v>23</v>
      </c>
      <c r="AA235">
        <v>22</v>
      </c>
      <c r="AB235">
        <v>20</v>
      </c>
      <c r="AD235">
        <v>20</v>
      </c>
      <c r="AE235">
        <v>23</v>
      </c>
      <c r="AF235">
        <v>23</v>
      </c>
      <c r="AG235">
        <v>23</v>
      </c>
      <c r="AH235">
        <v>23</v>
      </c>
      <c r="AI235">
        <v>23</v>
      </c>
      <c r="AJ235">
        <v>23</v>
      </c>
      <c r="AK235">
        <v>23</v>
      </c>
      <c r="AL235">
        <v>23</v>
      </c>
      <c r="AN235">
        <v>23</v>
      </c>
      <c r="AP235">
        <v>0</v>
      </c>
      <c r="AQ235">
        <v>23</v>
      </c>
      <c r="AR235">
        <v>23</v>
      </c>
      <c r="AS235">
        <v>20</v>
      </c>
      <c r="AT235">
        <v>20</v>
      </c>
      <c r="AU235">
        <v>20</v>
      </c>
      <c r="AV235">
        <v>23</v>
      </c>
      <c r="AW235">
        <v>20</v>
      </c>
      <c r="AX235">
        <v>20</v>
      </c>
      <c r="AY235">
        <v>23</v>
      </c>
      <c r="AZ235">
        <v>23</v>
      </c>
      <c r="BA235">
        <v>23</v>
      </c>
      <c r="BB235">
        <v>20</v>
      </c>
      <c r="BC235">
        <v>20</v>
      </c>
      <c r="BD235">
        <v>22</v>
      </c>
      <c r="BE235">
        <v>20</v>
      </c>
      <c r="BF235">
        <v>23</v>
      </c>
      <c r="BG235">
        <v>23</v>
      </c>
      <c r="BH235">
        <v>23</v>
      </c>
      <c r="BI235">
        <v>23</v>
      </c>
      <c r="BJ235">
        <v>23</v>
      </c>
      <c r="BK235">
        <v>22</v>
      </c>
      <c r="BL235">
        <v>23</v>
      </c>
      <c r="BM235">
        <v>23</v>
      </c>
      <c r="BN235">
        <v>0</v>
      </c>
      <c r="BO235">
        <v>20</v>
      </c>
      <c r="BP235">
        <v>23</v>
      </c>
      <c r="BQ235">
        <v>23</v>
      </c>
      <c r="BR235">
        <v>23</v>
      </c>
      <c r="BS235">
        <v>20</v>
      </c>
      <c r="BU235">
        <v>23</v>
      </c>
      <c r="BV235">
        <v>23</v>
      </c>
      <c r="BW235">
        <v>22</v>
      </c>
      <c r="BX235">
        <v>23</v>
      </c>
      <c r="BY235">
        <v>23</v>
      </c>
      <c r="BZ235">
        <v>23</v>
      </c>
      <c r="CA235">
        <v>20</v>
      </c>
      <c r="CB235">
        <v>23</v>
      </c>
      <c r="CC235">
        <v>22</v>
      </c>
      <c r="CD235">
        <v>23</v>
      </c>
      <c r="CF235">
        <v>20</v>
      </c>
      <c r="CG235">
        <v>23</v>
      </c>
      <c r="CH235">
        <v>23</v>
      </c>
      <c r="CI235">
        <v>23</v>
      </c>
      <c r="CK235">
        <v>23</v>
      </c>
    </row>
    <row r="236" spans="1:89" x14ac:dyDescent="0.3">
      <c r="A236" s="155">
        <v>995</v>
      </c>
      <c r="B236" t="s">
        <v>275</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7.0000000000000007E-2</v>
      </c>
      <c r="AA236">
        <v>0</v>
      </c>
      <c r="AB236">
        <v>0</v>
      </c>
      <c r="AC236">
        <v>0</v>
      </c>
      <c r="AD236">
        <v>0</v>
      </c>
      <c r="AE236">
        <v>0</v>
      </c>
      <c r="AF236">
        <v>0.08</v>
      </c>
      <c r="AG236">
        <v>0</v>
      </c>
      <c r="AH236">
        <v>0</v>
      </c>
      <c r="AI236">
        <v>0</v>
      </c>
      <c r="AJ236">
        <v>0</v>
      </c>
      <c r="AK236">
        <v>0</v>
      </c>
      <c r="AL236">
        <v>0</v>
      </c>
      <c r="AM236">
        <v>0</v>
      </c>
      <c r="AN236">
        <v>0</v>
      </c>
      <c r="AO236">
        <v>0</v>
      </c>
      <c r="AP236">
        <v>0</v>
      </c>
      <c r="AQ236">
        <v>0.09</v>
      </c>
      <c r="AR236">
        <v>0</v>
      </c>
      <c r="AS236">
        <v>0</v>
      </c>
      <c r="AT236">
        <v>0</v>
      </c>
      <c r="AU236">
        <v>0</v>
      </c>
      <c r="AV236">
        <v>0</v>
      </c>
      <c r="AW236">
        <v>7.0000000000000007E-2</v>
      </c>
      <c r="AX236">
        <v>0</v>
      </c>
      <c r="AY236">
        <v>0</v>
      </c>
      <c r="AZ236">
        <v>0</v>
      </c>
      <c r="BA236">
        <v>0</v>
      </c>
      <c r="BB236">
        <v>0</v>
      </c>
      <c r="BC236">
        <v>0.09</v>
      </c>
      <c r="BD236">
        <v>0</v>
      </c>
      <c r="BE236">
        <v>0</v>
      </c>
      <c r="BF236">
        <v>0</v>
      </c>
      <c r="BG236">
        <v>0</v>
      </c>
      <c r="BH236">
        <v>0</v>
      </c>
      <c r="BI236">
        <v>0</v>
      </c>
      <c r="BJ236">
        <v>0</v>
      </c>
      <c r="BK236">
        <v>0</v>
      </c>
      <c r="BL236">
        <v>7.0000000000000007E-2</v>
      </c>
      <c r="BM236">
        <v>0</v>
      </c>
      <c r="BN236">
        <v>0</v>
      </c>
      <c r="BO236">
        <v>0</v>
      </c>
      <c r="BP236">
        <v>0</v>
      </c>
      <c r="BQ236">
        <v>0</v>
      </c>
      <c r="BR236">
        <v>0</v>
      </c>
      <c r="BS236">
        <v>0</v>
      </c>
      <c r="BT236">
        <v>0</v>
      </c>
      <c r="BU236">
        <v>0</v>
      </c>
      <c r="BV236">
        <v>0</v>
      </c>
      <c r="BW236">
        <v>0</v>
      </c>
      <c r="BX236">
        <v>0.08</v>
      </c>
      <c r="BY236">
        <v>0.08</v>
      </c>
      <c r="BZ236">
        <v>0</v>
      </c>
      <c r="CA236">
        <v>0</v>
      </c>
      <c r="CB236">
        <v>0</v>
      </c>
      <c r="CC236">
        <v>0</v>
      </c>
      <c r="CD236">
        <v>0</v>
      </c>
      <c r="CE236">
        <v>0</v>
      </c>
      <c r="CF236">
        <v>0</v>
      </c>
      <c r="CG236">
        <v>0</v>
      </c>
      <c r="CH236">
        <v>0.09</v>
      </c>
      <c r="CI236">
        <v>0</v>
      </c>
      <c r="CJ236">
        <v>0</v>
      </c>
      <c r="CK236">
        <v>0</v>
      </c>
    </row>
    <row r="237" spans="1:89" x14ac:dyDescent="0.3">
      <c r="A237" s="155">
        <v>996</v>
      </c>
      <c r="B237" t="s">
        <v>276</v>
      </c>
      <c r="D237">
        <v>0.01</v>
      </c>
      <c r="E237">
        <v>0</v>
      </c>
      <c r="F237">
        <v>0.01</v>
      </c>
      <c r="G237">
        <v>0.01</v>
      </c>
      <c r="H237">
        <v>0.01</v>
      </c>
      <c r="I237">
        <v>0.01</v>
      </c>
      <c r="J237">
        <v>0</v>
      </c>
      <c r="K237">
        <v>0.01</v>
      </c>
      <c r="L237">
        <v>0</v>
      </c>
      <c r="M237">
        <v>0</v>
      </c>
      <c r="N237">
        <v>0.01</v>
      </c>
      <c r="O237">
        <v>0.01</v>
      </c>
      <c r="P237">
        <v>0</v>
      </c>
      <c r="Q237">
        <v>0</v>
      </c>
      <c r="R237">
        <v>0</v>
      </c>
      <c r="S237">
        <v>0</v>
      </c>
      <c r="T237">
        <v>0</v>
      </c>
      <c r="U237">
        <v>0</v>
      </c>
      <c r="V237">
        <v>0.01</v>
      </c>
      <c r="W237">
        <v>0.01</v>
      </c>
      <c r="X237">
        <v>0</v>
      </c>
      <c r="Y237">
        <v>0.01</v>
      </c>
      <c r="Z237">
        <v>0.01</v>
      </c>
      <c r="AA237">
        <v>0.01</v>
      </c>
      <c r="AB237">
        <v>0</v>
      </c>
      <c r="AC237">
        <v>0.01</v>
      </c>
      <c r="AD237">
        <v>0.01</v>
      </c>
      <c r="AE237">
        <v>0.01</v>
      </c>
      <c r="AF237">
        <v>0.01</v>
      </c>
      <c r="AG237">
        <v>0</v>
      </c>
      <c r="AH237">
        <v>0.01</v>
      </c>
      <c r="AI237">
        <v>0.01</v>
      </c>
      <c r="AJ237">
        <v>0.01</v>
      </c>
      <c r="AK237">
        <v>0.01</v>
      </c>
      <c r="AL237">
        <v>0.01</v>
      </c>
      <c r="AM237">
        <v>0.01</v>
      </c>
      <c r="AN237">
        <v>0.01</v>
      </c>
      <c r="AO237">
        <v>0.01</v>
      </c>
      <c r="AP237">
        <v>0</v>
      </c>
      <c r="AQ237">
        <v>0.01</v>
      </c>
      <c r="AR237">
        <v>0</v>
      </c>
      <c r="AS237">
        <v>0.01</v>
      </c>
      <c r="AT237">
        <v>0.01</v>
      </c>
      <c r="AU237">
        <v>0.01</v>
      </c>
      <c r="AV237">
        <v>0</v>
      </c>
      <c r="AW237">
        <v>0</v>
      </c>
      <c r="AX237">
        <v>0.01</v>
      </c>
      <c r="AY237">
        <v>0</v>
      </c>
      <c r="AZ237">
        <v>0</v>
      </c>
      <c r="BA237">
        <v>0.01</v>
      </c>
      <c r="BB237">
        <v>0.01</v>
      </c>
      <c r="BC237">
        <v>0.01</v>
      </c>
      <c r="BD237">
        <v>0</v>
      </c>
      <c r="BE237">
        <v>0</v>
      </c>
      <c r="BF237">
        <v>0.01</v>
      </c>
      <c r="BG237">
        <v>0</v>
      </c>
      <c r="BH237">
        <v>0</v>
      </c>
      <c r="BI237">
        <v>0.01</v>
      </c>
      <c r="BJ237">
        <v>0</v>
      </c>
      <c r="BK237">
        <v>0.01</v>
      </c>
      <c r="BL237">
        <v>0.01</v>
      </c>
      <c r="BM237">
        <v>0.01</v>
      </c>
      <c r="BN237">
        <v>0</v>
      </c>
      <c r="BO237">
        <v>0.01</v>
      </c>
      <c r="BP237">
        <v>0.01</v>
      </c>
      <c r="BQ237">
        <v>0</v>
      </c>
      <c r="BR237">
        <v>0.01</v>
      </c>
      <c r="BS237">
        <v>0.01</v>
      </c>
      <c r="BT237">
        <v>0</v>
      </c>
      <c r="BU237">
        <v>0.01</v>
      </c>
      <c r="BV237">
        <v>0</v>
      </c>
      <c r="BW237">
        <v>0.01</v>
      </c>
      <c r="BX237">
        <v>0.01</v>
      </c>
      <c r="BY237">
        <v>0.01</v>
      </c>
      <c r="BZ237">
        <v>0.01</v>
      </c>
      <c r="CA237">
        <v>0.01</v>
      </c>
      <c r="CB237">
        <v>0.01</v>
      </c>
      <c r="CC237">
        <v>0.01</v>
      </c>
      <c r="CD237">
        <v>0.01</v>
      </c>
      <c r="CE237">
        <v>0.01</v>
      </c>
      <c r="CF237">
        <v>0.01</v>
      </c>
      <c r="CG237">
        <v>0</v>
      </c>
      <c r="CH237">
        <v>0.01</v>
      </c>
      <c r="CI237">
        <v>0</v>
      </c>
      <c r="CJ237">
        <v>0.01</v>
      </c>
      <c r="CK237">
        <v>0.01</v>
      </c>
    </row>
    <row r="238" spans="1:89" x14ac:dyDescent="0.3">
      <c r="A238" s="155">
        <v>998</v>
      </c>
      <c r="B238" t="s">
        <v>277</v>
      </c>
      <c r="D238">
        <v>50</v>
      </c>
      <c r="E238">
        <v>50</v>
      </c>
      <c r="F238">
        <v>50</v>
      </c>
      <c r="G238">
        <v>50</v>
      </c>
      <c r="H238">
        <v>50</v>
      </c>
      <c r="I238">
        <v>50</v>
      </c>
      <c r="J238">
        <v>50</v>
      </c>
      <c r="K238">
        <v>50</v>
      </c>
      <c r="L238">
        <v>50</v>
      </c>
      <c r="M238">
        <v>50</v>
      </c>
      <c r="N238">
        <v>50</v>
      </c>
      <c r="O238">
        <v>50</v>
      </c>
      <c r="P238">
        <v>50</v>
      </c>
      <c r="Q238">
        <v>50</v>
      </c>
      <c r="R238">
        <v>50</v>
      </c>
      <c r="S238">
        <v>50</v>
      </c>
      <c r="T238">
        <v>50</v>
      </c>
      <c r="U238">
        <v>50</v>
      </c>
      <c r="V238">
        <v>50</v>
      </c>
      <c r="W238">
        <v>50</v>
      </c>
      <c r="X238">
        <v>50</v>
      </c>
      <c r="Y238">
        <v>50</v>
      </c>
      <c r="Z238">
        <v>50</v>
      </c>
      <c r="AA238">
        <v>50</v>
      </c>
      <c r="AB238">
        <v>50</v>
      </c>
      <c r="AC238">
        <v>50</v>
      </c>
      <c r="AD238">
        <v>50</v>
      </c>
      <c r="AE238">
        <v>50</v>
      </c>
      <c r="AF238">
        <v>50</v>
      </c>
      <c r="AG238">
        <v>50</v>
      </c>
      <c r="AH238">
        <v>50</v>
      </c>
      <c r="AI238">
        <v>50</v>
      </c>
      <c r="AJ238">
        <v>50</v>
      </c>
      <c r="AK238">
        <v>50</v>
      </c>
      <c r="AL238">
        <v>50</v>
      </c>
      <c r="AM238">
        <v>50</v>
      </c>
      <c r="AN238">
        <v>50</v>
      </c>
      <c r="AO238">
        <v>50</v>
      </c>
      <c r="AP238">
        <v>50</v>
      </c>
      <c r="AQ238">
        <v>50</v>
      </c>
      <c r="AR238">
        <v>50</v>
      </c>
      <c r="AS238">
        <v>50</v>
      </c>
      <c r="AT238">
        <v>50</v>
      </c>
      <c r="AU238">
        <v>50</v>
      </c>
      <c r="AV238">
        <v>50</v>
      </c>
      <c r="AW238">
        <v>50</v>
      </c>
      <c r="AX238">
        <v>50</v>
      </c>
      <c r="AY238">
        <v>50</v>
      </c>
      <c r="AZ238">
        <v>50</v>
      </c>
      <c r="BA238">
        <v>50</v>
      </c>
      <c r="BB238">
        <v>50</v>
      </c>
      <c r="BC238">
        <v>50</v>
      </c>
      <c r="BD238">
        <v>50</v>
      </c>
      <c r="BE238">
        <v>50</v>
      </c>
      <c r="BF238">
        <v>50</v>
      </c>
      <c r="BG238">
        <v>50</v>
      </c>
      <c r="BH238">
        <v>50</v>
      </c>
      <c r="BI238">
        <v>50</v>
      </c>
      <c r="BJ238">
        <v>50</v>
      </c>
      <c r="BK238">
        <v>50</v>
      </c>
      <c r="BL238">
        <v>50</v>
      </c>
      <c r="BM238">
        <v>50</v>
      </c>
      <c r="BN238">
        <v>50</v>
      </c>
      <c r="BO238">
        <v>50</v>
      </c>
      <c r="BP238">
        <v>50</v>
      </c>
      <c r="BQ238">
        <v>50</v>
      </c>
      <c r="BR238">
        <v>50</v>
      </c>
      <c r="BS238">
        <v>50</v>
      </c>
      <c r="BT238">
        <v>50</v>
      </c>
      <c r="BU238">
        <v>50</v>
      </c>
      <c r="BV238">
        <v>50</v>
      </c>
      <c r="BW238">
        <v>50</v>
      </c>
      <c r="BX238">
        <v>50</v>
      </c>
      <c r="BY238">
        <v>50</v>
      </c>
      <c r="BZ238">
        <v>50</v>
      </c>
      <c r="CA238">
        <v>50</v>
      </c>
      <c r="CB238">
        <v>50</v>
      </c>
      <c r="CC238">
        <v>50</v>
      </c>
      <c r="CD238">
        <v>50</v>
      </c>
      <c r="CE238">
        <v>50</v>
      </c>
      <c r="CF238">
        <v>50</v>
      </c>
      <c r="CG238">
        <v>50</v>
      </c>
      <c r="CH238">
        <v>50</v>
      </c>
      <c r="CI238">
        <v>50</v>
      </c>
      <c r="CJ238">
        <v>50</v>
      </c>
      <c r="CK238">
        <v>50</v>
      </c>
    </row>
    <row r="239" spans="1:89" x14ac:dyDescent="0.3">
      <c r="A239" s="155">
        <v>999</v>
      </c>
      <c r="B239" t="s">
        <v>278</v>
      </c>
      <c r="D239">
        <v>50508</v>
      </c>
      <c r="E239">
        <v>50465</v>
      </c>
      <c r="F239">
        <v>50060</v>
      </c>
      <c r="G239">
        <v>50061</v>
      </c>
      <c r="H239">
        <v>50062</v>
      </c>
      <c r="I239">
        <v>50063</v>
      </c>
      <c r="J239">
        <v>50064</v>
      </c>
      <c r="K239">
        <v>50065</v>
      </c>
      <c r="L239">
        <v>50551</v>
      </c>
      <c r="M239">
        <v>50066</v>
      </c>
      <c r="N239">
        <v>50067</v>
      </c>
      <c r="O239">
        <v>50068</v>
      </c>
      <c r="P239">
        <v>50466</v>
      </c>
      <c r="Q239">
        <v>50069</v>
      </c>
      <c r="R239">
        <v>50450</v>
      </c>
      <c r="S239">
        <v>50070</v>
      </c>
      <c r="T239">
        <v>50509</v>
      </c>
      <c r="U239">
        <v>50539</v>
      </c>
      <c r="V239">
        <v>50467</v>
      </c>
      <c r="W239">
        <v>50072</v>
      </c>
      <c r="X239">
        <v>50074</v>
      </c>
      <c r="Y239">
        <v>50075</v>
      </c>
      <c r="Z239">
        <v>50076</v>
      </c>
      <c r="AA239">
        <v>50510</v>
      </c>
      <c r="AB239">
        <v>50077</v>
      </c>
      <c r="AC239">
        <v>50078</v>
      </c>
      <c r="AD239">
        <v>50079</v>
      </c>
      <c r="AE239">
        <v>50080</v>
      </c>
      <c r="AF239">
        <v>50081</v>
      </c>
      <c r="AG239">
        <v>50502</v>
      </c>
      <c r="AH239">
        <v>50082</v>
      </c>
      <c r="AI239">
        <v>50083</v>
      </c>
      <c r="AJ239">
        <v>50084</v>
      </c>
      <c r="AK239">
        <v>50085</v>
      </c>
      <c r="AL239">
        <v>50468</v>
      </c>
      <c r="AM239">
        <v>50086</v>
      </c>
      <c r="AN239">
        <v>50087</v>
      </c>
      <c r="AO239">
        <v>50088</v>
      </c>
      <c r="AP239">
        <v>50089</v>
      </c>
      <c r="AQ239">
        <v>50090</v>
      </c>
      <c r="AR239">
        <v>50091</v>
      </c>
      <c r="AS239">
        <v>50511</v>
      </c>
      <c r="AT239">
        <v>50092</v>
      </c>
      <c r="AU239">
        <v>50093</v>
      </c>
      <c r="AV239">
        <v>50512</v>
      </c>
      <c r="AW239">
        <v>50094</v>
      </c>
      <c r="AX239">
        <v>50095</v>
      </c>
      <c r="AY239">
        <v>50096</v>
      </c>
      <c r="AZ239">
        <v>50097</v>
      </c>
      <c r="BA239">
        <v>50098</v>
      </c>
      <c r="BB239">
        <v>50099</v>
      </c>
      <c r="BC239">
        <v>50100</v>
      </c>
      <c r="BD239">
        <v>50101</v>
      </c>
      <c r="BE239">
        <v>50102</v>
      </c>
      <c r="BF239">
        <v>50103</v>
      </c>
      <c r="BG239">
        <v>50104</v>
      </c>
      <c r="BH239">
        <v>50513</v>
      </c>
      <c r="BI239">
        <v>50105</v>
      </c>
      <c r="BJ239">
        <v>50460</v>
      </c>
      <c r="BK239">
        <v>50106</v>
      </c>
      <c r="BL239">
        <v>50107</v>
      </c>
      <c r="BM239">
        <v>50108</v>
      </c>
      <c r="BN239">
        <v>50559</v>
      </c>
      <c r="BO239">
        <v>50109</v>
      </c>
      <c r="BP239">
        <v>50110</v>
      </c>
      <c r="BQ239">
        <v>50472</v>
      </c>
      <c r="BR239">
        <v>50461</v>
      </c>
      <c r="BS239">
        <v>50111</v>
      </c>
      <c r="BT239">
        <v>50112</v>
      </c>
      <c r="BU239">
        <v>50113</v>
      </c>
      <c r="BV239">
        <v>50568</v>
      </c>
      <c r="BW239">
        <v>50114</v>
      </c>
      <c r="BX239">
        <v>50115</v>
      </c>
      <c r="BY239">
        <v>50116</v>
      </c>
      <c r="BZ239">
        <v>50117</v>
      </c>
      <c r="CA239">
        <v>50119</v>
      </c>
      <c r="CB239">
        <v>50118</v>
      </c>
      <c r="CC239">
        <v>50120</v>
      </c>
      <c r="CD239">
        <v>50121</v>
      </c>
      <c r="CE239">
        <v>50122</v>
      </c>
      <c r="CF239">
        <v>50123</v>
      </c>
      <c r="CG239">
        <v>50124</v>
      </c>
      <c r="CH239">
        <v>50125</v>
      </c>
      <c r="CI239">
        <v>50126</v>
      </c>
      <c r="CJ239">
        <v>50127</v>
      </c>
      <c r="CK239">
        <v>50128</v>
      </c>
    </row>
    <row r="240" spans="1:89" x14ac:dyDescent="0.3">
      <c r="A240" s="155">
        <v>1050</v>
      </c>
      <c r="B240" t="s">
        <v>1437</v>
      </c>
      <c r="D240">
        <v>0</v>
      </c>
      <c r="E240">
        <v>114366</v>
      </c>
      <c r="F240">
        <v>0</v>
      </c>
      <c r="G240">
        <v>17048</v>
      </c>
      <c r="I240">
        <v>369372</v>
      </c>
      <c r="J240">
        <v>77559</v>
      </c>
      <c r="K240">
        <v>121446</v>
      </c>
      <c r="L240">
        <v>143140</v>
      </c>
      <c r="M240">
        <v>563454</v>
      </c>
      <c r="N240">
        <v>184204</v>
      </c>
      <c r="O240">
        <v>4106608</v>
      </c>
      <c r="P240">
        <v>0</v>
      </c>
      <c r="Q240">
        <v>1650</v>
      </c>
      <c r="R240">
        <v>0</v>
      </c>
      <c r="S240">
        <v>91846</v>
      </c>
      <c r="T240">
        <v>0</v>
      </c>
      <c r="U240">
        <v>0</v>
      </c>
      <c r="V240">
        <v>0</v>
      </c>
      <c r="W240">
        <v>4918</v>
      </c>
      <c r="X240">
        <v>1644298</v>
      </c>
      <c r="Y240">
        <v>0</v>
      </c>
      <c r="Z240">
        <v>0</v>
      </c>
      <c r="AA240">
        <v>0</v>
      </c>
      <c r="AB240">
        <v>32406</v>
      </c>
      <c r="AD240">
        <v>62888</v>
      </c>
      <c r="AE240">
        <v>63948</v>
      </c>
      <c r="AF240">
        <v>437763</v>
      </c>
      <c r="AG240">
        <v>1475509</v>
      </c>
      <c r="AH240">
        <v>0</v>
      </c>
      <c r="AI240">
        <v>252519</v>
      </c>
      <c r="AJ240">
        <v>7436</v>
      </c>
      <c r="AK240">
        <v>112597</v>
      </c>
      <c r="AL240">
        <v>1420</v>
      </c>
      <c r="AN240">
        <v>20553</v>
      </c>
      <c r="AP240">
        <v>0</v>
      </c>
      <c r="AQ240">
        <v>4319658</v>
      </c>
      <c r="AR240">
        <v>0</v>
      </c>
      <c r="AS240">
        <v>40972</v>
      </c>
      <c r="AT240">
        <v>269372</v>
      </c>
      <c r="AU240">
        <v>0</v>
      </c>
      <c r="AV240">
        <v>0</v>
      </c>
      <c r="AW240">
        <v>1377283</v>
      </c>
      <c r="AX240">
        <v>13032</v>
      </c>
      <c r="AY240">
        <v>107588</v>
      </c>
      <c r="AZ240">
        <v>34447</v>
      </c>
      <c r="BA240">
        <v>0</v>
      </c>
      <c r="BB240">
        <v>5625</v>
      </c>
      <c r="BC240">
        <v>129749</v>
      </c>
      <c r="BD240">
        <v>0</v>
      </c>
      <c r="BE240">
        <v>0</v>
      </c>
      <c r="BF240">
        <v>0</v>
      </c>
      <c r="BG240">
        <v>5000</v>
      </c>
      <c r="BH240">
        <v>29816</v>
      </c>
      <c r="BI240">
        <v>4370</v>
      </c>
      <c r="BJ240">
        <v>0</v>
      </c>
      <c r="BK240">
        <v>0</v>
      </c>
      <c r="BL240">
        <v>36078</v>
      </c>
      <c r="BM240">
        <v>24446</v>
      </c>
      <c r="BN240">
        <v>0</v>
      </c>
      <c r="BO240">
        <v>0</v>
      </c>
      <c r="BP240">
        <v>7576632</v>
      </c>
      <c r="BQ240">
        <v>5184</v>
      </c>
      <c r="BR240">
        <v>3138</v>
      </c>
      <c r="BS240">
        <v>24750</v>
      </c>
      <c r="BU240">
        <v>94964</v>
      </c>
      <c r="BV240">
        <v>0</v>
      </c>
      <c r="BW240">
        <v>442221</v>
      </c>
      <c r="BX240">
        <v>186789</v>
      </c>
      <c r="BY240">
        <v>894889</v>
      </c>
      <c r="BZ240">
        <v>38811</v>
      </c>
      <c r="CA240">
        <v>10038</v>
      </c>
      <c r="CB240">
        <v>148335</v>
      </c>
      <c r="CC240">
        <v>0</v>
      </c>
      <c r="CD240">
        <v>24523</v>
      </c>
      <c r="CF240">
        <v>0</v>
      </c>
      <c r="CG240">
        <v>285842</v>
      </c>
      <c r="CH240">
        <v>99341</v>
      </c>
      <c r="CI240">
        <v>225953</v>
      </c>
      <c r="CK240">
        <v>2235</v>
      </c>
    </row>
    <row r="241" spans="1:89" x14ac:dyDescent="0.3">
      <c r="A241" s="155">
        <v>1051</v>
      </c>
      <c r="B241" t="s">
        <v>1639</v>
      </c>
      <c r="D241">
        <v>0</v>
      </c>
      <c r="E241">
        <v>0</v>
      </c>
      <c r="F241">
        <v>0</v>
      </c>
      <c r="G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D241">
        <v>0</v>
      </c>
      <c r="AE241">
        <v>0</v>
      </c>
      <c r="AF241">
        <v>0</v>
      </c>
      <c r="AG241">
        <v>0</v>
      </c>
      <c r="AH241">
        <v>0</v>
      </c>
      <c r="AI241">
        <v>0</v>
      </c>
      <c r="AJ241">
        <v>0</v>
      </c>
      <c r="AK241">
        <v>0</v>
      </c>
      <c r="AL241">
        <v>0</v>
      </c>
      <c r="AN241">
        <v>0</v>
      </c>
      <c r="AP241">
        <v>0</v>
      </c>
      <c r="AQ241">
        <v>2598256</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U241">
        <v>0</v>
      </c>
      <c r="BV241">
        <v>0</v>
      </c>
      <c r="BW241">
        <v>0</v>
      </c>
      <c r="BX241">
        <v>0</v>
      </c>
      <c r="BY241">
        <v>0</v>
      </c>
      <c r="BZ241">
        <v>0</v>
      </c>
      <c r="CA241">
        <v>0</v>
      </c>
      <c r="CB241">
        <v>0</v>
      </c>
      <c r="CC241">
        <v>0</v>
      </c>
      <c r="CD241">
        <v>0</v>
      </c>
      <c r="CF241">
        <v>0</v>
      </c>
      <c r="CG241">
        <v>0</v>
      </c>
      <c r="CH241">
        <v>0</v>
      </c>
      <c r="CI241">
        <v>0</v>
      </c>
      <c r="CK241">
        <v>0</v>
      </c>
    </row>
    <row r="242" spans="1:89" x14ac:dyDescent="0.3">
      <c r="A242" s="155">
        <v>1052</v>
      </c>
      <c r="B242" t="s">
        <v>1640</v>
      </c>
      <c r="D242">
        <v>0</v>
      </c>
      <c r="E242">
        <v>0</v>
      </c>
      <c r="F242">
        <v>0</v>
      </c>
      <c r="G242">
        <v>0</v>
      </c>
      <c r="I242">
        <v>0</v>
      </c>
      <c r="J242">
        <v>0</v>
      </c>
      <c r="K242">
        <v>0</v>
      </c>
      <c r="L242">
        <v>0</v>
      </c>
      <c r="M242">
        <v>0</v>
      </c>
      <c r="N242">
        <v>0</v>
      </c>
      <c r="O242">
        <v>-5117547</v>
      </c>
      <c r="P242">
        <v>0</v>
      </c>
      <c r="Q242">
        <v>0</v>
      </c>
      <c r="R242">
        <v>0</v>
      </c>
      <c r="S242">
        <v>0</v>
      </c>
      <c r="T242">
        <v>0</v>
      </c>
      <c r="U242">
        <v>0</v>
      </c>
      <c r="V242">
        <v>0</v>
      </c>
      <c r="W242">
        <v>0</v>
      </c>
      <c r="X242">
        <v>0</v>
      </c>
      <c r="Y242">
        <v>-2745000</v>
      </c>
      <c r="Z242">
        <v>0</v>
      </c>
      <c r="AA242">
        <v>0</v>
      </c>
      <c r="AB242">
        <v>0</v>
      </c>
      <c r="AD242">
        <v>0</v>
      </c>
      <c r="AE242">
        <v>0</v>
      </c>
      <c r="AF242">
        <v>0</v>
      </c>
      <c r="AG242">
        <v>0</v>
      </c>
      <c r="AH242">
        <v>0</v>
      </c>
      <c r="AI242">
        <v>0</v>
      </c>
      <c r="AJ242">
        <v>0</v>
      </c>
      <c r="AK242">
        <v>0</v>
      </c>
      <c r="AL242">
        <v>0</v>
      </c>
      <c r="AN242">
        <v>0</v>
      </c>
      <c r="AP242">
        <v>0</v>
      </c>
      <c r="AQ242">
        <v>-3757211</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U242">
        <v>0</v>
      </c>
      <c r="BV242">
        <v>0</v>
      </c>
      <c r="BW242">
        <v>0</v>
      </c>
      <c r="BX242">
        <v>0</v>
      </c>
      <c r="BY242">
        <v>0</v>
      </c>
      <c r="BZ242">
        <v>0</v>
      </c>
      <c r="CA242">
        <v>0</v>
      </c>
      <c r="CB242">
        <v>0</v>
      </c>
      <c r="CC242">
        <v>0</v>
      </c>
      <c r="CD242">
        <v>0</v>
      </c>
      <c r="CF242">
        <v>0</v>
      </c>
      <c r="CG242">
        <v>0</v>
      </c>
      <c r="CH242">
        <v>0</v>
      </c>
      <c r="CI242">
        <v>0</v>
      </c>
      <c r="CK242">
        <v>0</v>
      </c>
    </row>
    <row r="243" spans="1:89" x14ac:dyDescent="0.3">
      <c r="A243" s="155">
        <v>1053</v>
      </c>
      <c r="B243" t="s">
        <v>1641</v>
      </c>
      <c r="D243">
        <v>0</v>
      </c>
      <c r="E243">
        <v>0</v>
      </c>
      <c r="F243">
        <v>0</v>
      </c>
      <c r="G243">
        <v>0</v>
      </c>
      <c r="I243">
        <v>0</v>
      </c>
      <c r="J243">
        <v>0</v>
      </c>
      <c r="K243">
        <v>0</v>
      </c>
      <c r="L243">
        <v>0</v>
      </c>
      <c r="M243">
        <v>0</v>
      </c>
      <c r="N243">
        <v>0</v>
      </c>
      <c r="O243">
        <v>-11793397</v>
      </c>
      <c r="P243">
        <v>0</v>
      </c>
      <c r="Q243">
        <v>0</v>
      </c>
      <c r="R243">
        <v>0</v>
      </c>
      <c r="S243">
        <v>0</v>
      </c>
      <c r="T243">
        <v>0</v>
      </c>
      <c r="U243">
        <v>0</v>
      </c>
      <c r="V243">
        <v>0</v>
      </c>
      <c r="W243">
        <v>0</v>
      </c>
      <c r="X243">
        <v>0</v>
      </c>
      <c r="Y243">
        <v>-3321000</v>
      </c>
      <c r="Z243">
        <v>0</v>
      </c>
      <c r="AA243">
        <v>0</v>
      </c>
      <c r="AB243">
        <v>0</v>
      </c>
      <c r="AD243">
        <v>0</v>
      </c>
      <c r="AE243">
        <v>0</v>
      </c>
      <c r="AF243">
        <v>0</v>
      </c>
      <c r="AG243">
        <v>0</v>
      </c>
      <c r="AH243">
        <v>0</v>
      </c>
      <c r="AI243">
        <v>0</v>
      </c>
      <c r="AJ243">
        <v>0</v>
      </c>
      <c r="AK243">
        <v>0</v>
      </c>
      <c r="AL243">
        <v>0</v>
      </c>
      <c r="AN243">
        <v>0</v>
      </c>
      <c r="AP243">
        <v>0</v>
      </c>
      <c r="AQ243">
        <v>-4025584</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-832734</v>
      </c>
      <c r="BQ243">
        <v>0</v>
      </c>
      <c r="BR243">
        <v>0</v>
      </c>
      <c r="BS243">
        <v>0</v>
      </c>
      <c r="BU243">
        <v>0</v>
      </c>
      <c r="BV243">
        <v>0</v>
      </c>
      <c r="BW243">
        <v>0</v>
      </c>
      <c r="BX243">
        <v>0</v>
      </c>
      <c r="BY243">
        <v>0</v>
      </c>
      <c r="BZ243">
        <v>0</v>
      </c>
      <c r="CA243">
        <v>0</v>
      </c>
      <c r="CB243">
        <v>0</v>
      </c>
      <c r="CC243">
        <v>0</v>
      </c>
      <c r="CD243">
        <v>0</v>
      </c>
      <c r="CF243">
        <v>0</v>
      </c>
      <c r="CG243">
        <v>0</v>
      </c>
      <c r="CH243">
        <v>0</v>
      </c>
      <c r="CI243">
        <v>0</v>
      </c>
      <c r="CK243">
        <v>0</v>
      </c>
    </row>
    <row r="244" spans="1:89" x14ac:dyDescent="0.3">
      <c r="A244" s="155">
        <v>1054</v>
      </c>
      <c r="B244" t="s">
        <v>1642</v>
      </c>
      <c r="D244">
        <v>0</v>
      </c>
      <c r="E244">
        <v>0</v>
      </c>
      <c r="F244">
        <v>0</v>
      </c>
      <c r="G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D244">
        <v>0</v>
      </c>
      <c r="AE244">
        <v>0</v>
      </c>
      <c r="AF244">
        <v>0</v>
      </c>
      <c r="AG244">
        <v>0</v>
      </c>
      <c r="AH244">
        <v>0</v>
      </c>
      <c r="AI244">
        <v>0</v>
      </c>
      <c r="AJ244">
        <v>0</v>
      </c>
      <c r="AK244">
        <v>0</v>
      </c>
      <c r="AL244">
        <v>0</v>
      </c>
      <c r="AN244">
        <v>0</v>
      </c>
      <c r="AP244">
        <v>0</v>
      </c>
      <c r="AQ244">
        <v>-3948405</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U244">
        <v>0</v>
      </c>
      <c r="BV244">
        <v>0</v>
      </c>
      <c r="BW244">
        <v>0</v>
      </c>
      <c r="BX244">
        <v>0</v>
      </c>
      <c r="BY244">
        <v>0</v>
      </c>
      <c r="BZ244">
        <v>0</v>
      </c>
      <c r="CA244">
        <v>0</v>
      </c>
      <c r="CB244">
        <v>0</v>
      </c>
      <c r="CC244">
        <v>0</v>
      </c>
      <c r="CD244">
        <v>0</v>
      </c>
      <c r="CF244">
        <v>0</v>
      </c>
      <c r="CG244">
        <v>0</v>
      </c>
      <c r="CH244">
        <v>0</v>
      </c>
      <c r="CI244">
        <v>0</v>
      </c>
      <c r="CK244">
        <v>0</v>
      </c>
    </row>
    <row r="245" spans="1:89" x14ac:dyDescent="0.3">
      <c r="A245" s="155">
        <v>1055</v>
      </c>
      <c r="B245" t="s">
        <v>1643</v>
      </c>
      <c r="D245">
        <v>2</v>
      </c>
      <c r="E245">
        <v>2</v>
      </c>
      <c r="F245">
        <v>2</v>
      </c>
      <c r="G245">
        <v>2</v>
      </c>
      <c r="I245">
        <v>2</v>
      </c>
      <c r="J245">
        <v>2</v>
      </c>
      <c r="K245">
        <v>2</v>
      </c>
      <c r="L245">
        <v>2</v>
      </c>
      <c r="M245">
        <v>2</v>
      </c>
      <c r="N245">
        <v>1</v>
      </c>
      <c r="O245">
        <v>2</v>
      </c>
      <c r="P245">
        <v>2</v>
      </c>
      <c r="Q245">
        <v>2</v>
      </c>
      <c r="R245">
        <v>2</v>
      </c>
      <c r="S245">
        <v>2</v>
      </c>
      <c r="T245">
        <v>2</v>
      </c>
      <c r="U245">
        <v>2</v>
      </c>
      <c r="V245">
        <v>2</v>
      </c>
      <c r="W245">
        <v>2</v>
      </c>
      <c r="X245">
        <v>2</v>
      </c>
      <c r="Y245">
        <v>2</v>
      </c>
      <c r="Z245">
        <v>2</v>
      </c>
      <c r="AA245">
        <v>2</v>
      </c>
      <c r="AB245">
        <v>2</v>
      </c>
      <c r="AD245">
        <v>2</v>
      </c>
      <c r="AE245">
        <v>2</v>
      </c>
      <c r="AF245">
        <v>1</v>
      </c>
      <c r="AG245">
        <v>2</v>
      </c>
      <c r="AH245">
        <v>2</v>
      </c>
      <c r="AI245">
        <v>2</v>
      </c>
      <c r="AJ245">
        <v>2</v>
      </c>
      <c r="AK245">
        <v>2</v>
      </c>
      <c r="AL245">
        <v>1</v>
      </c>
      <c r="AN245">
        <v>2</v>
      </c>
      <c r="AP245">
        <v>2</v>
      </c>
      <c r="AQ245">
        <v>2</v>
      </c>
      <c r="AR245">
        <v>1</v>
      </c>
      <c r="AS245">
        <v>2</v>
      </c>
      <c r="AT245">
        <v>2</v>
      </c>
      <c r="AU245">
        <v>2</v>
      </c>
      <c r="AV245">
        <v>2</v>
      </c>
      <c r="AW245">
        <v>2</v>
      </c>
      <c r="AX245">
        <v>2</v>
      </c>
      <c r="AY245">
        <v>2</v>
      </c>
      <c r="AZ245">
        <v>2</v>
      </c>
      <c r="BA245">
        <v>2</v>
      </c>
      <c r="BB245">
        <v>2</v>
      </c>
      <c r="BC245">
        <v>2</v>
      </c>
      <c r="BD245">
        <v>2</v>
      </c>
      <c r="BE245">
        <v>2</v>
      </c>
      <c r="BF245">
        <v>2</v>
      </c>
      <c r="BG245">
        <v>2</v>
      </c>
      <c r="BH245">
        <v>2</v>
      </c>
      <c r="BI245">
        <v>1</v>
      </c>
      <c r="BJ245">
        <v>2</v>
      </c>
      <c r="BK245">
        <v>1</v>
      </c>
      <c r="BL245">
        <v>2</v>
      </c>
      <c r="BM245">
        <v>2</v>
      </c>
      <c r="BN245">
        <v>2</v>
      </c>
      <c r="BO245">
        <v>2</v>
      </c>
      <c r="BP245">
        <v>2</v>
      </c>
      <c r="BQ245">
        <v>2</v>
      </c>
      <c r="BR245">
        <v>1</v>
      </c>
      <c r="BS245">
        <v>2</v>
      </c>
      <c r="BU245">
        <v>1</v>
      </c>
      <c r="BV245">
        <v>2</v>
      </c>
      <c r="BW245">
        <v>2</v>
      </c>
      <c r="BX245">
        <v>2</v>
      </c>
      <c r="BY245">
        <v>1</v>
      </c>
      <c r="BZ245">
        <v>2</v>
      </c>
      <c r="CA245">
        <v>2</v>
      </c>
      <c r="CB245">
        <v>2</v>
      </c>
      <c r="CC245">
        <v>2</v>
      </c>
      <c r="CD245">
        <v>1</v>
      </c>
      <c r="CF245">
        <v>2</v>
      </c>
      <c r="CG245">
        <v>2</v>
      </c>
      <c r="CH245">
        <v>2</v>
      </c>
      <c r="CI245">
        <v>2</v>
      </c>
      <c r="CK245">
        <v>1</v>
      </c>
    </row>
    <row r="246" spans="1:89" x14ac:dyDescent="0.3">
      <c r="A246" s="155">
        <v>1056</v>
      </c>
      <c r="B246" t="s">
        <v>1644</v>
      </c>
      <c r="D246">
        <v>2</v>
      </c>
      <c r="E246">
        <v>2</v>
      </c>
      <c r="F246">
        <v>2</v>
      </c>
      <c r="G246">
        <v>2</v>
      </c>
      <c r="I246">
        <v>2</v>
      </c>
      <c r="J246">
        <v>2</v>
      </c>
      <c r="K246">
        <v>2</v>
      </c>
      <c r="L246">
        <v>2</v>
      </c>
      <c r="M246">
        <v>2</v>
      </c>
      <c r="N246">
        <v>1</v>
      </c>
      <c r="O246">
        <v>2</v>
      </c>
      <c r="P246">
        <v>2</v>
      </c>
      <c r="Q246">
        <v>2</v>
      </c>
      <c r="R246">
        <v>2</v>
      </c>
      <c r="S246">
        <v>2</v>
      </c>
      <c r="T246">
        <v>2</v>
      </c>
      <c r="U246">
        <v>2</v>
      </c>
      <c r="V246">
        <v>2</v>
      </c>
      <c r="W246">
        <v>2</v>
      </c>
      <c r="X246">
        <v>2</v>
      </c>
      <c r="Y246">
        <v>2</v>
      </c>
      <c r="Z246">
        <v>2</v>
      </c>
      <c r="AA246">
        <v>2</v>
      </c>
      <c r="AB246">
        <v>2</v>
      </c>
      <c r="AD246">
        <v>2</v>
      </c>
      <c r="AE246">
        <v>2</v>
      </c>
      <c r="AF246">
        <v>2</v>
      </c>
      <c r="AG246">
        <v>2</v>
      </c>
      <c r="AH246">
        <v>2</v>
      </c>
      <c r="AI246">
        <v>2</v>
      </c>
      <c r="AJ246">
        <v>2</v>
      </c>
      <c r="AK246">
        <v>2</v>
      </c>
      <c r="AL246">
        <v>1</v>
      </c>
      <c r="AN246">
        <v>2</v>
      </c>
      <c r="AP246">
        <v>2</v>
      </c>
      <c r="AQ246">
        <v>2</v>
      </c>
      <c r="AR246">
        <v>1</v>
      </c>
      <c r="AS246">
        <v>2</v>
      </c>
      <c r="AT246">
        <v>2</v>
      </c>
      <c r="AU246">
        <v>2</v>
      </c>
      <c r="AV246">
        <v>2</v>
      </c>
      <c r="AW246">
        <v>2</v>
      </c>
      <c r="AX246">
        <v>1</v>
      </c>
      <c r="AY246">
        <v>2</v>
      </c>
      <c r="AZ246">
        <v>2</v>
      </c>
      <c r="BA246">
        <v>2</v>
      </c>
      <c r="BB246">
        <v>2</v>
      </c>
      <c r="BC246">
        <v>2</v>
      </c>
      <c r="BD246">
        <v>2</v>
      </c>
      <c r="BE246">
        <v>2</v>
      </c>
      <c r="BF246">
        <v>2</v>
      </c>
      <c r="BG246">
        <v>2</v>
      </c>
      <c r="BH246">
        <v>2</v>
      </c>
      <c r="BI246">
        <v>2</v>
      </c>
      <c r="BJ246">
        <v>2</v>
      </c>
      <c r="BK246">
        <v>2</v>
      </c>
      <c r="BL246">
        <v>2</v>
      </c>
      <c r="BM246">
        <v>2</v>
      </c>
      <c r="BN246">
        <v>2</v>
      </c>
      <c r="BO246">
        <v>2</v>
      </c>
      <c r="BP246">
        <v>2</v>
      </c>
      <c r="BQ246">
        <v>1</v>
      </c>
      <c r="BR246">
        <v>1</v>
      </c>
      <c r="BS246">
        <v>2</v>
      </c>
      <c r="BU246">
        <v>1</v>
      </c>
      <c r="BV246">
        <v>2</v>
      </c>
      <c r="BW246">
        <v>2</v>
      </c>
      <c r="BX246">
        <v>2</v>
      </c>
      <c r="BY246">
        <v>2</v>
      </c>
      <c r="BZ246">
        <v>2</v>
      </c>
      <c r="CA246">
        <v>2</v>
      </c>
      <c r="CB246">
        <v>2</v>
      </c>
      <c r="CC246">
        <v>2</v>
      </c>
      <c r="CD246">
        <v>1</v>
      </c>
      <c r="CF246">
        <v>2</v>
      </c>
      <c r="CG246">
        <v>2</v>
      </c>
      <c r="CH246">
        <v>2</v>
      </c>
      <c r="CI246">
        <v>2</v>
      </c>
      <c r="CK246">
        <v>1</v>
      </c>
    </row>
    <row r="247" spans="1:89" x14ac:dyDescent="0.3">
      <c r="A247" s="155">
        <v>1057</v>
      </c>
      <c r="B247" t="s">
        <v>1444</v>
      </c>
      <c r="D247">
        <v>2</v>
      </c>
      <c r="E247">
        <v>2</v>
      </c>
      <c r="F247">
        <v>1</v>
      </c>
      <c r="G247">
        <v>2</v>
      </c>
      <c r="I247">
        <v>1</v>
      </c>
      <c r="J247">
        <v>2</v>
      </c>
      <c r="K247">
        <v>2</v>
      </c>
      <c r="L247">
        <v>2</v>
      </c>
      <c r="M247">
        <v>2</v>
      </c>
      <c r="N247">
        <v>1</v>
      </c>
      <c r="O247">
        <v>2</v>
      </c>
      <c r="P247">
        <v>2</v>
      </c>
      <c r="Q247">
        <v>2</v>
      </c>
      <c r="R247">
        <v>2</v>
      </c>
      <c r="S247">
        <v>2</v>
      </c>
      <c r="T247">
        <v>2</v>
      </c>
      <c r="U247">
        <v>2</v>
      </c>
      <c r="V247">
        <v>1</v>
      </c>
      <c r="W247">
        <v>2</v>
      </c>
      <c r="X247">
        <v>2</v>
      </c>
      <c r="Y247">
        <v>2</v>
      </c>
      <c r="Z247">
        <v>2</v>
      </c>
      <c r="AA247">
        <v>1</v>
      </c>
      <c r="AB247">
        <v>2</v>
      </c>
      <c r="AD247">
        <v>2</v>
      </c>
      <c r="AE247">
        <v>2</v>
      </c>
      <c r="AF247">
        <v>2</v>
      </c>
      <c r="AG247">
        <v>2</v>
      </c>
      <c r="AH247">
        <v>2</v>
      </c>
      <c r="AI247">
        <v>2</v>
      </c>
      <c r="AJ247">
        <v>2</v>
      </c>
      <c r="AK247">
        <v>2</v>
      </c>
      <c r="AL247">
        <v>2</v>
      </c>
      <c r="AN247">
        <v>2</v>
      </c>
      <c r="AP247">
        <v>2</v>
      </c>
      <c r="AQ247">
        <v>2</v>
      </c>
      <c r="AR247">
        <v>1</v>
      </c>
      <c r="AS247">
        <v>2</v>
      </c>
      <c r="AT247">
        <v>1</v>
      </c>
      <c r="AU247">
        <v>2</v>
      </c>
      <c r="AV247">
        <v>2</v>
      </c>
      <c r="AW247">
        <v>2</v>
      </c>
      <c r="AX247">
        <v>1</v>
      </c>
      <c r="AY247">
        <v>2</v>
      </c>
      <c r="AZ247">
        <v>2</v>
      </c>
      <c r="BA247">
        <v>2</v>
      </c>
      <c r="BB247">
        <v>2</v>
      </c>
      <c r="BC247">
        <v>2</v>
      </c>
      <c r="BD247">
        <v>2</v>
      </c>
      <c r="BE247">
        <v>2</v>
      </c>
      <c r="BF247">
        <v>2</v>
      </c>
      <c r="BG247">
        <v>2</v>
      </c>
      <c r="BH247">
        <v>1</v>
      </c>
      <c r="BI247">
        <v>2</v>
      </c>
      <c r="BJ247">
        <v>2</v>
      </c>
      <c r="BK247">
        <v>1</v>
      </c>
      <c r="BL247">
        <v>2</v>
      </c>
      <c r="BM247">
        <v>1</v>
      </c>
      <c r="BN247">
        <v>2</v>
      </c>
      <c r="BO247">
        <v>1</v>
      </c>
      <c r="BP247">
        <v>2</v>
      </c>
      <c r="BQ247">
        <v>2</v>
      </c>
      <c r="BR247">
        <v>1</v>
      </c>
      <c r="BS247">
        <v>1</v>
      </c>
      <c r="BU247">
        <v>1</v>
      </c>
      <c r="BV247">
        <v>2</v>
      </c>
      <c r="BW247">
        <v>2</v>
      </c>
      <c r="BX247">
        <v>2</v>
      </c>
      <c r="BY247">
        <v>1</v>
      </c>
      <c r="BZ247">
        <v>2</v>
      </c>
      <c r="CA247">
        <v>2</v>
      </c>
      <c r="CB247">
        <v>2</v>
      </c>
      <c r="CC247">
        <v>2</v>
      </c>
      <c r="CD247">
        <v>2</v>
      </c>
      <c r="CF247">
        <v>1</v>
      </c>
      <c r="CG247">
        <v>2</v>
      </c>
      <c r="CH247">
        <v>1</v>
      </c>
      <c r="CI247">
        <v>2</v>
      </c>
      <c r="CK247">
        <v>2</v>
      </c>
    </row>
    <row r="248" spans="1:89" x14ac:dyDescent="0.3">
      <c r="A248" s="155">
        <v>1058</v>
      </c>
      <c r="B248" t="s">
        <v>1445</v>
      </c>
      <c r="D248">
        <v>2</v>
      </c>
      <c r="E248">
        <v>2</v>
      </c>
      <c r="F248">
        <v>2</v>
      </c>
      <c r="G248">
        <v>2</v>
      </c>
      <c r="I248">
        <v>2</v>
      </c>
      <c r="J248">
        <v>2</v>
      </c>
      <c r="K248">
        <v>2</v>
      </c>
      <c r="L248">
        <v>2</v>
      </c>
      <c r="M248">
        <v>2</v>
      </c>
      <c r="N248">
        <v>2</v>
      </c>
      <c r="O248">
        <v>2</v>
      </c>
      <c r="P248">
        <v>2</v>
      </c>
      <c r="Q248">
        <v>2</v>
      </c>
      <c r="R248">
        <v>2</v>
      </c>
      <c r="S248">
        <v>2</v>
      </c>
      <c r="T248">
        <v>2</v>
      </c>
      <c r="U248">
        <v>2</v>
      </c>
      <c r="V248">
        <v>2</v>
      </c>
      <c r="W248">
        <v>2</v>
      </c>
      <c r="X248">
        <v>2</v>
      </c>
      <c r="Y248">
        <v>2</v>
      </c>
      <c r="Z248">
        <v>2</v>
      </c>
      <c r="AA248">
        <v>1</v>
      </c>
      <c r="AB248">
        <v>2</v>
      </c>
      <c r="AD248">
        <v>2</v>
      </c>
      <c r="AE248">
        <v>2</v>
      </c>
      <c r="AF248">
        <v>2</v>
      </c>
      <c r="AG248">
        <v>2</v>
      </c>
      <c r="AH248">
        <v>2</v>
      </c>
      <c r="AI248">
        <v>2</v>
      </c>
      <c r="AJ248">
        <v>2</v>
      </c>
      <c r="AK248">
        <v>2</v>
      </c>
      <c r="AL248">
        <v>1</v>
      </c>
      <c r="AN248">
        <v>1</v>
      </c>
      <c r="AP248">
        <v>2</v>
      </c>
      <c r="AQ248">
        <v>2</v>
      </c>
      <c r="AR248">
        <v>1</v>
      </c>
      <c r="AS248">
        <v>2</v>
      </c>
      <c r="AT248">
        <v>2</v>
      </c>
      <c r="AU248">
        <v>2</v>
      </c>
      <c r="AV248">
        <v>2</v>
      </c>
      <c r="AW248">
        <v>2</v>
      </c>
      <c r="AX248">
        <v>1</v>
      </c>
      <c r="AY248">
        <v>2</v>
      </c>
      <c r="AZ248">
        <v>2</v>
      </c>
      <c r="BA248">
        <v>1</v>
      </c>
      <c r="BB248">
        <v>2</v>
      </c>
      <c r="BC248">
        <v>2</v>
      </c>
      <c r="BD248">
        <v>2</v>
      </c>
      <c r="BE248">
        <v>2</v>
      </c>
      <c r="BF248">
        <v>2</v>
      </c>
      <c r="BG248">
        <v>2</v>
      </c>
      <c r="BH248">
        <v>2</v>
      </c>
      <c r="BI248">
        <v>2</v>
      </c>
      <c r="BJ248">
        <v>2</v>
      </c>
      <c r="BK248">
        <v>1</v>
      </c>
      <c r="BL248">
        <v>2</v>
      </c>
      <c r="BM248">
        <v>2</v>
      </c>
      <c r="BN248">
        <v>2</v>
      </c>
      <c r="BO248">
        <v>1</v>
      </c>
      <c r="BP248">
        <v>2</v>
      </c>
      <c r="BQ248">
        <v>2</v>
      </c>
      <c r="BR248">
        <v>1</v>
      </c>
      <c r="BS248">
        <v>2</v>
      </c>
      <c r="BU248">
        <v>1</v>
      </c>
      <c r="BV248">
        <v>2</v>
      </c>
      <c r="BW248">
        <v>2</v>
      </c>
      <c r="BX248">
        <v>2</v>
      </c>
      <c r="BY248">
        <v>1</v>
      </c>
      <c r="BZ248">
        <v>2</v>
      </c>
      <c r="CA248">
        <v>2</v>
      </c>
      <c r="CB248">
        <v>2</v>
      </c>
      <c r="CC248">
        <v>2</v>
      </c>
      <c r="CD248">
        <v>1</v>
      </c>
      <c r="CF248">
        <v>2</v>
      </c>
      <c r="CG248">
        <v>2</v>
      </c>
      <c r="CH248">
        <v>2</v>
      </c>
      <c r="CI248">
        <v>2</v>
      </c>
      <c r="CK248">
        <v>1</v>
      </c>
    </row>
    <row r="249" spans="1:89" x14ac:dyDescent="0.3">
      <c r="A249" s="155">
        <v>1059</v>
      </c>
      <c r="B249" t="s">
        <v>1645</v>
      </c>
      <c r="D249">
        <v>1</v>
      </c>
      <c r="E249">
        <v>1</v>
      </c>
      <c r="F249">
        <v>1</v>
      </c>
      <c r="G249">
        <v>1</v>
      </c>
      <c r="I249">
        <v>1</v>
      </c>
      <c r="J249">
        <v>1</v>
      </c>
      <c r="K249">
        <v>1</v>
      </c>
      <c r="L249">
        <v>1</v>
      </c>
      <c r="M249">
        <v>1</v>
      </c>
      <c r="N249">
        <v>1</v>
      </c>
      <c r="O249">
        <v>1</v>
      </c>
      <c r="P249">
        <v>1</v>
      </c>
      <c r="Q249">
        <v>1</v>
      </c>
      <c r="R249">
        <v>1</v>
      </c>
      <c r="S249">
        <v>1</v>
      </c>
      <c r="T249">
        <v>1</v>
      </c>
      <c r="U249">
        <v>1</v>
      </c>
      <c r="V249">
        <v>1</v>
      </c>
      <c r="W249">
        <v>1</v>
      </c>
      <c r="X249">
        <v>1</v>
      </c>
      <c r="Y249">
        <v>1</v>
      </c>
      <c r="Z249">
        <v>1</v>
      </c>
      <c r="AA249">
        <v>1</v>
      </c>
      <c r="AB249">
        <v>1</v>
      </c>
      <c r="AD249">
        <v>1</v>
      </c>
      <c r="AE249">
        <v>1</v>
      </c>
      <c r="AF249">
        <v>1</v>
      </c>
      <c r="AG249">
        <v>1</v>
      </c>
      <c r="AH249">
        <v>1</v>
      </c>
      <c r="AI249">
        <v>1</v>
      </c>
      <c r="AJ249">
        <v>1</v>
      </c>
      <c r="AK249">
        <v>1</v>
      </c>
      <c r="AL249">
        <v>1</v>
      </c>
      <c r="AN249">
        <v>1</v>
      </c>
      <c r="AP249">
        <v>1</v>
      </c>
      <c r="AQ249">
        <v>1</v>
      </c>
      <c r="AR249">
        <v>2</v>
      </c>
      <c r="AS249">
        <v>1</v>
      </c>
      <c r="AT249">
        <v>1</v>
      </c>
      <c r="AU249">
        <v>1</v>
      </c>
      <c r="AV249">
        <v>1</v>
      </c>
      <c r="AW249">
        <v>1</v>
      </c>
      <c r="AX249">
        <v>1</v>
      </c>
      <c r="AY249">
        <v>1</v>
      </c>
      <c r="AZ249">
        <v>2</v>
      </c>
      <c r="BA249">
        <v>1</v>
      </c>
      <c r="BB249">
        <v>1</v>
      </c>
      <c r="BC249">
        <v>1</v>
      </c>
      <c r="BD249">
        <v>1</v>
      </c>
      <c r="BE249">
        <v>1</v>
      </c>
      <c r="BF249">
        <v>1</v>
      </c>
      <c r="BG249">
        <v>1</v>
      </c>
      <c r="BH249">
        <v>1</v>
      </c>
      <c r="BI249">
        <v>1</v>
      </c>
      <c r="BJ249">
        <v>1</v>
      </c>
      <c r="BK249">
        <v>1</v>
      </c>
      <c r="BL249">
        <v>1</v>
      </c>
      <c r="BM249">
        <v>1</v>
      </c>
      <c r="BN249">
        <v>1</v>
      </c>
      <c r="BO249">
        <v>1</v>
      </c>
      <c r="BP249">
        <v>1</v>
      </c>
      <c r="BQ249">
        <v>1</v>
      </c>
      <c r="BR249">
        <v>1</v>
      </c>
      <c r="BS249">
        <v>1</v>
      </c>
      <c r="BU249">
        <v>1</v>
      </c>
      <c r="BV249">
        <v>1</v>
      </c>
      <c r="BW249">
        <v>1</v>
      </c>
      <c r="BX249">
        <v>1</v>
      </c>
      <c r="BY249">
        <v>1</v>
      </c>
      <c r="BZ249">
        <v>1</v>
      </c>
      <c r="CA249">
        <v>1</v>
      </c>
      <c r="CB249">
        <v>1</v>
      </c>
      <c r="CC249">
        <v>1</v>
      </c>
      <c r="CD249">
        <v>1</v>
      </c>
      <c r="CF249">
        <v>1</v>
      </c>
      <c r="CG249">
        <v>1</v>
      </c>
      <c r="CH249">
        <v>1</v>
      </c>
      <c r="CI249">
        <v>1</v>
      </c>
      <c r="CK249">
        <v>1</v>
      </c>
    </row>
    <row r="250" spans="1:89" x14ac:dyDescent="0.3">
      <c r="A250" s="155">
        <v>1060</v>
      </c>
      <c r="B250" t="s">
        <v>1646</v>
      </c>
      <c r="D250">
        <v>0</v>
      </c>
      <c r="E250">
        <v>222041</v>
      </c>
      <c r="F250">
        <v>0</v>
      </c>
      <c r="G250">
        <v>410</v>
      </c>
      <c r="I250">
        <v>692689</v>
      </c>
      <c r="J250">
        <v>63837</v>
      </c>
      <c r="K250">
        <v>281312</v>
      </c>
      <c r="L250">
        <v>617799</v>
      </c>
      <c r="M250">
        <v>306522</v>
      </c>
      <c r="N250">
        <v>239600</v>
      </c>
      <c r="O250">
        <v>1000000</v>
      </c>
      <c r="P250">
        <v>0</v>
      </c>
      <c r="Q250">
        <v>43024</v>
      </c>
      <c r="R250">
        <v>0</v>
      </c>
      <c r="S250">
        <v>99467</v>
      </c>
      <c r="T250">
        <v>0</v>
      </c>
      <c r="U250">
        <v>7500</v>
      </c>
      <c r="V250">
        <v>31073</v>
      </c>
      <c r="W250">
        <v>75585</v>
      </c>
      <c r="X250">
        <v>431945</v>
      </c>
      <c r="Y250">
        <v>13449000</v>
      </c>
      <c r="Z250">
        <v>967565</v>
      </c>
      <c r="AA250">
        <v>0</v>
      </c>
      <c r="AB250">
        <v>58996</v>
      </c>
      <c r="AD250">
        <v>0</v>
      </c>
      <c r="AE250">
        <v>0</v>
      </c>
      <c r="AF250">
        <v>0</v>
      </c>
      <c r="AG250">
        <v>0</v>
      </c>
      <c r="AH250">
        <v>138952</v>
      </c>
      <c r="AI250">
        <v>2694132</v>
      </c>
      <c r="AJ250">
        <v>0</v>
      </c>
      <c r="AK250">
        <v>0</v>
      </c>
      <c r="AL250">
        <v>0</v>
      </c>
      <c r="AN250">
        <v>64904</v>
      </c>
      <c r="AP250">
        <v>0</v>
      </c>
      <c r="AQ250">
        <v>679220</v>
      </c>
      <c r="AR250">
        <v>0</v>
      </c>
      <c r="AS250">
        <v>0</v>
      </c>
      <c r="AT250">
        <v>1360838</v>
      </c>
      <c r="AU250">
        <v>0</v>
      </c>
      <c r="AV250">
        <v>0</v>
      </c>
      <c r="AW250">
        <v>0</v>
      </c>
      <c r="AX250">
        <v>61827</v>
      </c>
      <c r="AY250">
        <v>710377</v>
      </c>
      <c r="AZ250">
        <v>734916</v>
      </c>
      <c r="BA250">
        <v>0</v>
      </c>
      <c r="BB250">
        <v>38084</v>
      </c>
      <c r="BC250">
        <v>0</v>
      </c>
      <c r="BD250">
        <v>0</v>
      </c>
      <c r="BE250">
        <v>406321</v>
      </c>
      <c r="BF250">
        <v>267705</v>
      </c>
      <c r="BG250">
        <v>0</v>
      </c>
      <c r="BH250">
        <v>0</v>
      </c>
      <c r="BI250">
        <v>0</v>
      </c>
      <c r="BJ250">
        <v>65537</v>
      </c>
      <c r="BK250">
        <v>0</v>
      </c>
      <c r="BL250">
        <v>0</v>
      </c>
      <c r="BM250">
        <v>0</v>
      </c>
      <c r="BN250">
        <v>0</v>
      </c>
      <c r="BO250">
        <v>0</v>
      </c>
      <c r="BP250">
        <v>7766925</v>
      </c>
      <c r="BQ250">
        <v>0</v>
      </c>
      <c r="BR250">
        <v>0</v>
      </c>
      <c r="BS250">
        <v>13247</v>
      </c>
      <c r="BU250">
        <v>247150</v>
      </c>
      <c r="BV250">
        <v>0</v>
      </c>
      <c r="BW250">
        <v>580790</v>
      </c>
      <c r="BX250">
        <v>116568</v>
      </c>
      <c r="BY250">
        <v>0</v>
      </c>
      <c r="BZ250">
        <v>538280</v>
      </c>
      <c r="CA250">
        <v>70751</v>
      </c>
      <c r="CB250">
        <v>639148</v>
      </c>
      <c r="CC250">
        <v>0</v>
      </c>
      <c r="CD250">
        <v>145426</v>
      </c>
      <c r="CF250">
        <v>0</v>
      </c>
      <c r="CG250">
        <v>588794</v>
      </c>
      <c r="CH250">
        <v>200749</v>
      </c>
      <c r="CI250">
        <v>227701</v>
      </c>
      <c r="CK250">
        <v>22628</v>
      </c>
    </row>
    <row r="251" spans="1:89" x14ac:dyDescent="0.3">
      <c r="A251" s="155">
        <v>1061</v>
      </c>
      <c r="B251" t="s">
        <v>1647</v>
      </c>
      <c r="D251">
        <v>0</v>
      </c>
      <c r="E251">
        <v>0</v>
      </c>
      <c r="F251">
        <v>0</v>
      </c>
      <c r="G251">
        <v>0</v>
      </c>
      <c r="I251">
        <v>0</v>
      </c>
      <c r="J251">
        <v>0</v>
      </c>
      <c r="K251">
        <v>1019672</v>
      </c>
      <c r="L251">
        <v>0</v>
      </c>
      <c r="M251">
        <v>244795</v>
      </c>
      <c r="N251">
        <v>0</v>
      </c>
      <c r="O251">
        <v>5638700</v>
      </c>
      <c r="P251">
        <v>0</v>
      </c>
      <c r="Q251">
        <v>0</v>
      </c>
      <c r="R251">
        <v>68679</v>
      </c>
      <c r="S251">
        <v>0</v>
      </c>
      <c r="T251">
        <v>0</v>
      </c>
      <c r="U251">
        <v>40305</v>
      </c>
      <c r="V251">
        <v>0</v>
      </c>
      <c r="W251">
        <v>0</v>
      </c>
      <c r="X251">
        <v>60000</v>
      </c>
      <c r="Y251">
        <v>2236000</v>
      </c>
      <c r="Z251">
        <v>0</v>
      </c>
      <c r="AA251">
        <v>0</v>
      </c>
      <c r="AB251">
        <v>0</v>
      </c>
      <c r="AD251">
        <v>0</v>
      </c>
      <c r="AE251">
        <v>117599</v>
      </c>
      <c r="AF251">
        <v>0</v>
      </c>
      <c r="AG251">
        <v>0</v>
      </c>
      <c r="AH251">
        <v>0</v>
      </c>
      <c r="AI251">
        <v>0</v>
      </c>
      <c r="AJ251">
        <v>0</v>
      </c>
      <c r="AK251">
        <v>398372</v>
      </c>
      <c r="AL251">
        <v>0</v>
      </c>
      <c r="AN251">
        <v>56042</v>
      </c>
      <c r="AP251">
        <v>0</v>
      </c>
      <c r="AQ251">
        <v>14255872</v>
      </c>
      <c r="AR251">
        <v>0</v>
      </c>
      <c r="AS251">
        <v>191899</v>
      </c>
      <c r="AT251">
        <v>0</v>
      </c>
      <c r="AU251">
        <v>0</v>
      </c>
      <c r="AV251">
        <v>0</v>
      </c>
      <c r="AW251">
        <v>9642828</v>
      </c>
      <c r="AX251">
        <v>0</v>
      </c>
      <c r="AY251">
        <v>0</v>
      </c>
      <c r="AZ251">
        <v>0</v>
      </c>
      <c r="BA251">
        <v>0</v>
      </c>
      <c r="BB251">
        <v>0</v>
      </c>
      <c r="BC251">
        <v>0</v>
      </c>
      <c r="BD251">
        <v>29161</v>
      </c>
      <c r="BE251">
        <v>0</v>
      </c>
      <c r="BF251">
        <v>0</v>
      </c>
      <c r="BG251">
        <v>0</v>
      </c>
      <c r="BH251">
        <v>118460</v>
      </c>
      <c r="BI251">
        <v>0</v>
      </c>
      <c r="BJ251">
        <v>0</v>
      </c>
      <c r="BK251">
        <v>0</v>
      </c>
      <c r="BL251">
        <v>295433</v>
      </c>
      <c r="BM251">
        <v>50195</v>
      </c>
      <c r="BN251">
        <v>0</v>
      </c>
      <c r="BO251">
        <v>3148551</v>
      </c>
      <c r="BP251">
        <v>44114808</v>
      </c>
      <c r="BQ251">
        <v>0</v>
      </c>
      <c r="BR251">
        <v>0</v>
      </c>
      <c r="BS251">
        <v>82522</v>
      </c>
      <c r="BU251">
        <v>0</v>
      </c>
      <c r="BV251">
        <v>597518</v>
      </c>
      <c r="BW251">
        <v>1791275</v>
      </c>
      <c r="BX251">
        <v>618666</v>
      </c>
      <c r="BY251">
        <v>2828599</v>
      </c>
      <c r="BZ251">
        <v>63</v>
      </c>
      <c r="CA251">
        <v>0</v>
      </c>
      <c r="CB251">
        <v>0</v>
      </c>
      <c r="CC251">
        <v>0</v>
      </c>
      <c r="CD251">
        <v>10417</v>
      </c>
      <c r="CF251">
        <v>1950056</v>
      </c>
      <c r="CG251">
        <v>0</v>
      </c>
      <c r="CH251">
        <v>161610</v>
      </c>
      <c r="CI251">
        <v>593901</v>
      </c>
      <c r="CK251">
        <v>0</v>
      </c>
    </row>
    <row r="252" spans="1:89" x14ac:dyDescent="0.3">
      <c r="A252" s="155">
        <v>1062</v>
      </c>
      <c r="B252" t="s">
        <v>1648</v>
      </c>
      <c r="D252">
        <v>1</v>
      </c>
      <c r="E252">
        <v>1</v>
      </c>
      <c r="F252">
        <v>3</v>
      </c>
      <c r="G252">
        <v>1</v>
      </c>
      <c r="I252">
        <v>1</v>
      </c>
      <c r="J252">
        <v>1</v>
      </c>
      <c r="K252">
        <v>1</v>
      </c>
      <c r="L252">
        <v>1</v>
      </c>
      <c r="M252">
        <v>1</v>
      </c>
      <c r="N252">
        <v>1</v>
      </c>
      <c r="O252">
        <v>1</v>
      </c>
      <c r="P252">
        <v>0</v>
      </c>
      <c r="Q252">
        <v>1</v>
      </c>
      <c r="R252">
        <v>1</v>
      </c>
      <c r="S252">
        <v>1</v>
      </c>
      <c r="T252">
        <v>0</v>
      </c>
      <c r="U252">
        <v>1</v>
      </c>
      <c r="V252">
        <v>1</v>
      </c>
      <c r="W252">
        <v>1</v>
      </c>
      <c r="X252">
        <v>1</v>
      </c>
      <c r="Y252">
        <v>1</v>
      </c>
      <c r="Z252">
        <v>1</v>
      </c>
      <c r="AA252">
        <v>1</v>
      </c>
      <c r="AB252">
        <v>1</v>
      </c>
      <c r="AD252">
        <v>1</v>
      </c>
      <c r="AE252">
        <v>1</v>
      </c>
      <c r="AF252">
        <v>1</v>
      </c>
      <c r="AG252">
        <v>0</v>
      </c>
      <c r="AH252">
        <v>1</v>
      </c>
      <c r="AI252">
        <v>1</v>
      </c>
      <c r="AJ252">
        <v>1</v>
      </c>
      <c r="AK252">
        <v>1</v>
      </c>
      <c r="AL252">
        <v>1</v>
      </c>
      <c r="AN252">
        <v>1</v>
      </c>
      <c r="AP252">
        <v>0</v>
      </c>
      <c r="AQ252">
        <v>1</v>
      </c>
      <c r="AR252">
        <v>1</v>
      </c>
      <c r="AS252">
        <v>1</v>
      </c>
      <c r="AT252">
        <v>1</v>
      </c>
      <c r="AU252">
        <v>0</v>
      </c>
      <c r="AV252">
        <v>1</v>
      </c>
      <c r="AW252">
        <v>1</v>
      </c>
      <c r="AX252">
        <v>1</v>
      </c>
      <c r="AY252">
        <v>1</v>
      </c>
      <c r="AZ252">
        <v>1</v>
      </c>
      <c r="BA252">
        <v>1</v>
      </c>
      <c r="BB252">
        <v>1</v>
      </c>
      <c r="BC252">
        <v>1</v>
      </c>
      <c r="BD252">
        <v>1</v>
      </c>
      <c r="BE252">
        <v>1</v>
      </c>
      <c r="BF252">
        <v>1</v>
      </c>
      <c r="BG252">
        <v>1</v>
      </c>
      <c r="BH252">
        <v>1</v>
      </c>
      <c r="BI252">
        <v>1</v>
      </c>
      <c r="BJ252">
        <v>1</v>
      </c>
      <c r="BK252">
        <v>1</v>
      </c>
      <c r="BL252">
        <v>1</v>
      </c>
      <c r="BM252">
        <v>1</v>
      </c>
      <c r="BN252">
        <v>1</v>
      </c>
      <c r="BO252">
        <v>1</v>
      </c>
      <c r="BP252">
        <v>1</v>
      </c>
      <c r="BQ252">
        <v>1</v>
      </c>
      <c r="BR252">
        <v>1</v>
      </c>
      <c r="BS252">
        <v>1</v>
      </c>
      <c r="BU252">
        <v>1</v>
      </c>
      <c r="BV252">
        <v>1</v>
      </c>
      <c r="BW252">
        <v>1</v>
      </c>
      <c r="BX252">
        <v>1</v>
      </c>
      <c r="BY252">
        <v>1</v>
      </c>
      <c r="BZ252">
        <v>1</v>
      </c>
      <c r="CA252">
        <v>1</v>
      </c>
      <c r="CB252">
        <v>1</v>
      </c>
      <c r="CC252">
        <v>1</v>
      </c>
      <c r="CD252">
        <v>1</v>
      </c>
      <c r="CF252">
        <v>1</v>
      </c>
      <c r="CG252">
        <v>1</v>
      </c>
      <c r="CH252">
        <v>1</v>
      </c>
      <c r="CI252">
        <v>1</v>
      </c>
      <c r="CK252">
        <v>1</v>
      </c>
    </row>
    <row r="253" spans="1:89" x14ac:dyDescent="0.3">
      <c r="A253" s="155">
        <v>1063</v>
      </c>
      <c r="B253" t="s">
        <v>1649</v>
      </c>
      <c r="D253">
        <v>1</v>
      </c>
      <c r="E253">
        <v>1</v>
      </c>
      <c r="F253">
        <v>3</v>
      </c>
      <c r="G253">
        <v>1</v>
      </c>
      <c r="I253">
        <v>1</v>
      </c>
      <c r="J253">
        <v>1</v>
      </c>
      <c r="K253">
        <v>1</v>
      </c>
      <c r="L253">
        <v>1</v>
      </c>
      <c r="M253">
        <v>1</v>
      </c>
      <c r="N253">
        <v>1</v>
      </c>
      <c r="O253">
        <v>1</v>
      </c>
      <c r="P253">
        <v>0</v>
      </c>
      <c r="Q253">
        <v>1</v>
      </c>
      <c r="R253">
        <v>1</v>
      </c>
      <c r="S253">
        <v>1</v>
      </c>
      <c r="T253">
        <v>0</v>
      </c>
      <c r="U253">
        <v>1</v>
      </c>
      <c r="V253">
        <v>1</v>
      </c>
      <c r="W253">
        <v>1</v>
      </c>
      <c r="X253">
        <v>1</v>
      </c>
      <c r="Y253">
        <v>1</v>
      </c>
      <c r="Z253">
        <v>1</v>
      </c>
      <c r="AA253">
        <v>1</v>
      </c>
      <c r="AB253">
        <v>1</v>
      </c>
      <c r="AD253">
        <v>1</v>
      </c>
      <c r="AE253">
        <v>1</v>
      </c>
      <c r="AF253">
        <v>1</v>
      </c>
      <c r="AG253">
        <v>0</v>
      </c>
      <c r="AH253">
        <v>1</v>
      </c>
      <c r="AI253">
        <v>1</v>
      </c>
      <c r="AJ253">
        <v>1</v>
      </c>
      <c r="AK253">
        <v>1</v>
      </c>
      <c r="AL253">
        <v>1</v>
      </c>
      <c r="AN253">
        <v>1</v>
      </c>
      <c r="AP253">
        <v>0</v>
      </c>
      <c r="AQ253">
        <v>1</v>
      </c>
      <c r="AR253">
        <v>1</v>
      </c>
      <c r="AS253">
        <v>1</v>
      </c>
      <c r="AT253">
        <v>1</v>
      </c>
      <c r="AU253">
        <v>0</v>
      </c>
      <c r="AV253">
        <v>1</v>
      </c>
      <c r="AW253">
        <v>1</v>
      </c>
      <c r="AX253">
        <v>1</v>
      </c>
      <c r="AY253">
        <v>1</v>
      </c>
      <c r="AZ253">
        <v>1</v>
      </c>
      <c r="BA253">
        <v>1</v>
      </c>
      <c r="BB253">
        <v>1</v>
      </c>
      <c r="BC253">
        <v>1</v>
      </c>
      <c r="BD253">
        <v>1</v>
      </c>
      <c r="BE253">
        <v>1</v>
      </c>
      <c r="BF253">
        <v>1</v>
      </c>
      <c r="BG253">
        <v>1</v>
      </c>
      <c r="BH253">
        <v>1</v>
      </c>
      <c r="BI253">
        <v>1</v>
      </c>
      <c r="BJ253">
        <v>1</v>
      </c>
      <c r="BK253">
        <v>1</v>
      </c>
      <c r="BL253">
        <v>1</v>
      </c>
      <c r="BM253">
        <v>1</v>
      </c>
      <c r="BN253">
        <v>1</v>
      </c>
      <c r="BO253">
        <v>1</v>
      </c>
      <c r="BP253">
        <v>1</v>
      </c>
      <c r="BQ253">
        <v>1</v>
      </c>
      <c r="BR253">
        <v>1</v>
      </c>
      <c r="BS253">
        <v>1</v>
      </c>
      <c r="BU253">
        <v>1</v>
      </c>
      <c r="BV253">
        <v>1</v>
      </c>
      <c r="BW253">
        <v>1</v>
      </c>
      <c r="BX253">
        <v>1</v>
      </c>
      <c r="BY253">
        <v>1</v>
      </c>
      <c r="BZ253">
        <v>1</v>
      </c>
      <c r="CA253">
        <v>1</v>
      </c>
      <c r="CB253">
        <v>1</v>
      </c>
      <c r="CC253">
        <v>1</v>
      </c>
      <c r="CD253">
        <v>1</v>
      </c>
      <c r="CF253">
        <v>1</v>
      </c>
      <c r="CG253">
        <v>1</v>
      </c>
      <c r="CH253">
        <v>1</v>
      </c>
      <c r="CI253">
        <v>1</v>
      </c>
      <c r="CK253">
        <v>1</v>
      </c>
    </row>
    <row r="254" spans="1:89" x14ac:dyDescent="0.3">
      <c r="A254" s="155">
        <v>1064</v>
      </c>
      <c r="B254" t="s">
        <v>1650</v>
      </c>
      <c r="I254">
        <v>692689</v>
      </c>
      <c r="J254">
        <v>0</v>
      </c>
      <c r="M254">
        <v>306522</v>
      </c>
      <c r="N254">
        <v>239600</v>
      </c>
      <c r="O254">
        <v>0</v>
      </c>
      <c r="T254">
        <v>0</v>
      </c>
      <c r="X254">
        <v>431945</v>
      </c>
      <c r="Y254">
        <v>13448895</v>
      </c>
      <c r="Z254">
        <v>967565</v>
      </c>
      <c r="AG254">
        <v>1044283</v>
      </c>
      <c r="AQ254">
        <v>679220</v>
      </c>
      <c r="AT254">
        <v>1360838</v>
      </c>
      <c r="AW254">
        <v>0</v>
      </c>
      <c r="BO254">
        <v>0</v>
      </c>
      <c r="BP254">
        <v>193500</v>
      </c>
      <c r="BW254">
        <v>580789</v>
      </c>
      <c r="BX254">
        <v>116568</v>
      </c>
      <c r="BY254">
        <v>0</v>
      </c>
      <c r="BZ254">
        <v>538280</v>
      </c>
      <c r="CB254">
        <v>639148</v>
      </c>
      <c r="CG254">
        <v>588794</v>
      </c>
      <c r="CH254">
        <v>200749</v>
      </c>
    </row>
    <row r="255" spans="1:89" x14ac:dyDescent="0.3">
      <c r="A255" s="155">
        <v>1065</v>
      </c>
      <c r="B255" t="s">
        <v>1651</v>
      </c>
      <c r="I255">
        <v>0</v>
      </c>
      <c r="J255">
        <v>0</v>
      </c>
      <c r="M255">
        <v>0</v>
      </c>
      <c r="N255">
        <v>0</v>
      </c>
      <c r="O255">
        <v>0</v>
      </c>
      <c r="T255">
        <v>0</v>
      </c>
      <c r="X255">
        <v>0</v>
      </c>
      <c r="Y255">
        <v>0</v>
      </c>
      <c r="Z255">
        <v>0</v>
      </c>
      <c r="AG255">
        <v>0</v>
      </c>
      <c r="AQ255">
        <v>0</v>
      </c>
      <c r="AT255">
        <v>0</v>
      </c>
      <c r="AW255">
        <v>0</v>
      </c>
      <c r="BO255">
        <v>0</v>
      </c>
      <c r="BP255">
        <v>0</v>
      </c>
      <c r="BW255">
        <v>0</v>
      </c>
      <c r="BX255">
        <v>0</v>
      </c>
      <c r="BY255">
        <v>0</v>
      </c>
      <c r="BZ255">
        <v>0</v>
      </c>
      <c r="CB255">
        <v>0</v>
      </c>
      <c r="CG255">
        <v>0</v>
      </c>
      <c r="CH255">
        <v>0</v>
      </c>
    </row>
    <row r="256" spans="1:89" x14ac:dyDescent="0.3">
      <c r="A256" s="155">
        <v>1066</v>
      </c>
      <c r="B256" t="s">
        <v>1652</v>
      </c>
      <c r="D256" t="s">
        <v>1654</v>
      </c>
      <c r="E256" t="s">
        <v>1659</v>
      </c>
      <c r="F256" t="s">
        <v>2550</v>
      </c>
      <c r="G256" t="s">
        <v>2551</v>
      </c>
      <c r="I256" t="s">
        <v>1662</v>
      </c>
      <c r="J256" t="s">
        <v>2552</v>
      </c>
      <c r="K256" t="s">
        <v>2553</v>
      </c>
      <c r="L256" t="s">
        <v>2554</v>
      </c>
      <c r="M256" t="s">
        <v>2555</v>
      </c>
      <c r="N256" t="s">
        <v>2556</v>
      </c>
      <c r="O256" t="s">
        <v>2557</v>
      </c>
      <c r="P256" t="s">
        <v>1662</v>
      </c>
      <c r="Q256" t="s">
        <v>2558</v>
      </c>
      <c r="R256" t="s">
        <v>1658</v>
      </c>
      <c r="S256" t="s">
        <v>1657</v>
      </c>
      <c r="T256" t="s">
        <v>2552</v>
      </c>
      <c r="U256" t="s">
        <v>1654</v>
      </c>
      <c r="V256" t="s">
        <v>2559</v>
      </c>
      <c r="W256" t="s">
        <v>2560</v>
      </c>
      <c r="X256" t="s">
        <v>2561</v>
      </c>
      <c r="Y256" t="s">
        <v>1656</v>
      </c>
      <c r="Z256" t="s">
        <v>1656</v>
      </c>
      <c r="AA256" t="s">
        <v>2562</v>
      </c>
      <c r="AB256" t="s">
        <v>2563</v>
      </c>
      <c r="AD256" t="s">
        <v>2564</v>
      </c>
      <c r="AE256" t="s">
        <v>1662</v>
      </c>
      <c r="AF256" t="s">
        <v>1658</v>
      </c>
      <c r="AG256" t="s">
        <v>1656</v>
      </c>
      <c r="AH256" t="s">
        <v>2561</v>
      </c>
      <c r="AI256" t="s">
        <v>1654</v>
      </c>
      <c r="AJ256" t="s">
        <v>2565</v>
      </c>
      <c r="AK256" t="s">
        <v>2566</v>
      </c>
      <c r="AL256" t="s">
        <v>2567</v>
      </c>
      <c r="AN256" t="s">
        <v>2568</v>
      </c>
      <c r="AP256" t="s">
        <v>2557</v>
      </c>
      <c r="AQ256" t="s">
        <v>1658</v>
      </c>
      <c r="AR256" t="s">
        <v>1653</v>
      </c>
      <c r="AS256" t="s">
        <v>1655</v>
      </c>
      <c r="AT256" t="s">
        <v>1658</v>
      </c>
      <c r="AU256" t="s">
        <v>2569</v>
      </c>
      <c r="AV256" t="s">
        <v>1661</v>
      </c>
      <c r="AW256" t="s">
        <v>2570</v>
      </c>
      <c r="AX256" t="s">
        <v>2571</v>
      </c>
      <c r="AY256" t="s">
        <v>2572</v>
      </c>
      <c r="AZ256" t="s">
        <v>2573</v>
      </c>
      <c r="BA256" t="s">
        <v>2574</v>
      </c>
      <c r="BB256" t="s">
        <v>2575</v>
      </c>
      <c r="BC256" t="s">
        <v>1660</v>
      </c>
      <c r="BD256" t="s">
        <v>2576</v>
      </c>
      <c r="BE256" t="s">
        <v>1662</v>
      </c>
      <c r="BF256" t="s">
        <v>2561</v>
      </c>
      <c r="BG256" t="s">
        <v>1654</v>
      </c>
      <c r="BH256" t="s">
        <v>2577</v>
      </c>
      <c r="BI256" t="s">
        <v>2578</v>
      </c>
      <c r="BJ256" t="s">
        <v>2561</v>
      </c>
      <c r="BK256" t="s">
        <v>2579</v>
      </c>
      <c r="BL256" t="s">
        <v>1661</v>
      </c>
      <c r="BM256" t="s">
        <v>1656</v>
      </c>
      <c r="BN256" t="s">
        <v>2561</v>
      </c>
      <c r="BO256" t="s">
        <v>2580</v>
      </c>
      <c r="BP256" t="s">
        <v>2581</v>
      </c>
      <c r="BQ256" t="s">
        <v>1663</v>
      </c>
      <c r="BR256" t="s">
        <v>2582</v>
      </c>
      <c r="BS256" t="s">
        <v>1656</v>
      </c>
      <c r="BU256" t="s">
        <v>1982</v>
      </c>
      <c r="BV256" t="s">
        <v>1661</v>
      </c>
      <c r="BW256" t="s">
        <v>2583</v>
      </c>
      <c r="BX256" t="s">
        <v>2584</v>
      </c>
      <c r="BY256" t="s">
        <v>2585</v>
      </c>
      <c r="BZ256" t="s">
        <v>1662</v>
      </c>
      <c r="CA256" t="s">
        <v>2570</v>
      </c>
      <c r="CB256" t="s">
        <v>2586</v>
      </c>
      <c r="CC256" t="s">
        <v>1656</v>
      </c>
      <c r="CD256" t="s">
        <v>2587</v>
      </c>
      <c r="CF256" t="s">
        <v>2588</v>
      </c>
      <c r="CG256" t="s">
        <v>2577</v>
      </c>
      <c r="CH256" t="s">
        <v>1662</v>
      </c>
      <c r="CI256" t="s">
        <v>1656</v>
      </c>
      <c r="CK256" t="s">
        <v>2589</v>
      </c>
    </row>
    <row r="257" spans="1:89" x14ac:dyDescent="0.3">
      <c r="A257" s="155">
        <v>9000</v>
      </c>
      <c r="B257" t="s">
        <v>953</v>
      </c>
      <c r="C257" t="s">
        <v>349</v>
      </c>
      <c r="D257">
        <v>45772004.009999998</v>
      </c>
      <c r="E257">
        <v>35600952.777500004</v>
      </c>
      <c r="F257">
        <v>34728327.700000003</v>
      </c>
      <c r="G257">
        <v>14175638.529999999</v>
      </c>
      <c r="H257">
        <v>50112.01</v>
      </c>
      <c r="I257">
        <v>225662021.09</v>
      </c>
      <c r="J257">
        <v>44105632.072499998</v>
      </c>
      <c r="K257">
        <v>671016925.96500003</v>
      </c>
      <c r="L257">
        <v>85441314.651600003</v>
      </c>
      <c r="M257">
        <v>604287104.47490001</v>
      </c>
      <c r="N257">
        <v>187209535.69499999</v>
      </c>
      <c r="O257">
        <v>14129844789.125</v>
      </c>
      <c r="P257">
        <v>1540185.93</v>
      </c>
      <c r="Q257">
        <v>5419549.6200000001</v>
      </c>
      <c r="R257">
        <v>45601732.560000002</v>
      </c>
      <c r="S257">
        <v>23096442.309999999</v>
      </c>
      <c r="T257">
        <v>39470910.907499999</v>
      </c>
      <c r="U257">
        <v>5806859.1399999997</v>
      </c>
      <c r="V257">
        <v>18063003.559999999</v>
      </c>
      <c r="W257">
        <v>106513242.95999999</v>
      </c>
      <c r="X257">
        <v>1998709635.572</v>
      </c>
      <c r="Y257">
        <v>67842275895.190002</v>
      </c>
      <c r="Z257">
        <v>339477073.36000001</v>
      </c>
      <c r="AA257">
        <v>32845497.399999999</v>
      </c>
      <c r="AB257">
        <v>84371714.030000001</v>
      </c>
      <c r="AC257">
        <v>50128.01</v>
      </c>
      <c r="AD257">
        <v>171590924.28999999</v>
      </c>
      <c r="AE257">
        <v>57608306.030000001</v>
      </c>
      <c r="AF257">
        <v>1769522579.5899999</v>
      </c>
      <c r="AG257">
        <v>327926739.47500002</v>
      </c>
      <c r="AH257">
        <v>79376561.159999996</v>
      </c>
      <c r="AI257">
        <v>456654644.35000002</v>
      </c>
      <c r="AJ257">
        <v>53477019.07</v>
      </c>
      <c r="AK257">
        <v>43752819.289999999</v>
      </c>
      <c r="AL257">
        <v>27847307.059999999</v>
      </c>
      <c r="AM257">
        <v>50136.01</v>
      </c>
      <c r="AN257">
        <v>88305949.721000001</v>
      </c>
      <c r="AO257">
        <v>50138.01</v>
      </c>
      <c r="AP257">
        <v>1110358.97</v>
      </c>
      <c r="AQ257">
        <v>8133820486.6199999</v>
      </c>
      <c r="AR257">
        <v>4208218.1100000003</v>
      </c>
      <c r="AS257">
        <v>37181860.82</v>
      </c>
      <c r="AT257">
        <v>644074456.91999996</v>
      </c>
      <c r="AU257">
        <v>37827537.850000001</v>
      </c>
      <c r="AV257">
        <v>14824535.380000001</v>
      </c>
      <c r="AW257">
        <v>987820591.98199999</v>
      </c>
      <c r="AX257">
        <v>27405990.850000001</v>
      </c>
      <c r="AY257">
        <v>142768558.85499999</v>
      </c>
      <c r="AZ257">
        <v>181757014.35499999</v>
      </c>
      <c r="BA257">
        <v>33088513.600000001</v>
      </c>
      <c r="BB257">
        <v>10126269.76</v>
      </c>
      <c r="BC257">
        <v>292330633.64999998</v>
      </c>
      <c r="BD257">
        <v>2345148.79</v>
      </c>
      <c r="BE257">
        <v>485248998.21499997</v>
      </c>
      <c r="BF257">
        <v>114092785.01000001</v>
      </c>
      <c r="BG257">
        <v>11193145.550000001</v>
      </c>
      <c r="BH257">
        <v>9066967.3200000003</v>
      </c>
      <c r="BI257">
        <v>108835285.73999999</v>
      </c>
      <c r="BJ257">
        <v>27344939</v>
      </c>
      <c r="BK257">
        <v>39554387.530000001</v>
      </c>
      <c r="BL257">
        <v>113807008.01000001</v>
      </c>
      <c r="BM257">
        <v>29437255.870000001</v>
      </c>
      <c r="BN257">
        <v>250434828.56</v>
      </c>
      <c r="BO257">
        <v>453541759.17000002</v>
      </c>
      <c r="BP257">
        <v>14913367813.203699</v>
      </c>
      <c r="BQ257">
        <v>1613737.66</v>
      </c>
      <c r="BR257">
        <v>6818097.5800000001</v>
      </c>
      <c r="BS257">
        <v>23657842.940000001</v>
      </c>
      <c r="BT257">
        <v>50162</v>
      </c>
      <c r="BU257">
        <v>64201404.390000001</v>
      </c>
      <c r="BV257">
        <v>75098397.510000005</v>
      </c>
      <c r="BW257">
        <v>818317219.16999996</v>
      </c>
      <c r="BX257">
        <v>306743189.77999997</v>
      </c>
      <c r="BY257">
        <v>1184922566.2750001</v>
      </c>
      <c r="BZ257">
        <v>265195182.76499999</v>
      </c>
      <c r="CA257">
        <v>26387915.93</v>
      </c>
      <c r="CB257">
        <v>193716691.28549999</v>
      </c>
      <c r="CC257">
        <v>35738799.289999999</v>
      </c>
      <c r="CD257">
        <v>49803235.219999999</v>
      </c>
      <c r="CE257">
        <v>50172.01</v>
      </c>
      <c r="CF257">
        <v>283519509.44999999</v>
      </c>
      <c r="CG257">
        <v>214465690.79499999</v>
      </c>
      <c r="CH257">
        <v>180875037.127</v>
      </c>
      <c r="CI257">
        <v>85537630.849999994</v>
      </c>
      <c r="CJ257">
        <v>50177.01</v>
      </c>
      <c r="CK257">
        <v>10033721.07</v>
      </c>
    </row>
    <row r="258" spans="1:89" x14ac:dyDescent="0.3">
      <c r="A258" s="155">
        <v>9001</v>
      </c>
      <c r="B258" t="s">
        <v>954</v>
      </c>
      <c r="C258" t="s">
        <v>955</v>
      </c>
      <c r="D258">
        <v>4100909</v>
      </c>
      <c r="E258">
        <v>4807550</v>
      </c>
      <c r="F258">
        <v>1183722</v>
      </c>
      <c r="G258">
        <v>1048113</v>
      </c>
      <c r="H258">
        <v>0</v>
      </c>
      <c r="I258">
        <v>18286100</v>
      </c>
      <c r="J258">
        <v>5673073</v>
      </c>
      <c r="K258">
        <v>51520364</v>
      </c>
      <c r="L258">
        <v>9495058</v>
      </c>
      <c r="M258">
        <v>90485874</v>
      </c>
      <c r="N258">
        <v>7228368</v>
      </c>
      <c r="O258">
        <v>1506205992</v>
      </c>
      <c r="P258">
        <v>162718</v>
      </c>
      <c r="Q258">
        <v>949621</v>
      </c>
      <c r="R258">
        <v>10257646</v>
      </c>
      <c r="S258">
        <v>2871883</v>
      </c>
      <c r="T258">
        <v>5073076</v>
      </c>
      <c r="U258">
        <v>740202</v>
      </c>
      <c r="V258">
        <v>1248288</v>
      </c>
      <c r="W258">
        <v>5380606</v>
      </c>
      <c r="X258">
        <v>258822992</v>
      </c>
      <c r="Y258">
        <v>8786001000</v>
      </c>
      <c r="Z258">
        <v>14474501</v>
      </c>
      <c r="AA258">
        <v>2386148</v>
      </c>
      <c r="AB258">
        <v>10027349</v>
      </c>
      <c r="AC258">
        <v>0</v>
      </c>
      <c r="AD258">
        <v>14557427</v>
      </c>
      <c r="AE258">
        <v>3618305</v>
      </c>
      <c r="AF258">
        <v>120795888</v>
      </c>
      <c r="AG258">
        <v>59733473</v>
      </c>
      <c r="AH258">
        <v>6081224</v>
      </c>
      <c r="AI258">
        <v>24743901</v>
      </c>
      <c r="AJ258">
        <v>2875093</v>
      </c>
      <c r="AK258">
        <v>3632296</v>
      </c>
      <c r="AL258">
        <v>2075027</v>
      </c>
      <c r="AM258">
        <v>0</v>
      </c>
      <c r="AN258">
        <v>1766830</v>
      </c>
      <c r="AO258">
        <v>0</v>
      </c>
      <c r="AP258">
        <v>120498</v>
      </c>
      <c r="AQ258">
        <v>681227846</v>
      </c>
      <c r="AR258">
        <v>502148</v>
      </c>
      <c r="AS258">
        <v>3776790</v>
      </c>
      <c r="AT258">
        <v>66512297</v>
      </c>
      <c r="AU258">
        <v>1292860</v>
      </c>
      <c r="AV258">
        <v>2164677</v>
      </c>
      <c r="AW258">
        <v>138771667</v>
      </c>
      <c r="AX258">
        <v>764530</v>
      </c>
      <c r="AY258">
        <v>19565004</v>
      </c>
      <c r="AZ258">
        <v>36022308</v>
      </c>
      <c r="BA258">
        <v>672831</v>
      </c>
      <c r="BB258">
        <v>466226</v>
      </c>
      <c r="BC258">
        <v>14410558</v>
      </c>
      <c r="BD258">
        <v>353916</v>
      </c>
      <c r="BE258">
        <v>67344579</v>
      </c>
      <c r="BF258">
        <v>4603304</v>
      </c>
      <c r="BG258">
        <v>1850563</v>
      </c>
      <c r="BH258">
        <v>985694</v>
      </c>
      <c r="BI258">
        <v>4712603</v>
      </c>
      <c r="BJ258">
        <v>3796290</v>
      </c>
      <c r="BK258">
        <v>991184</v>
      </c>
      <c r="BL258">
        <v>4286683</v>
      </c>
      <c r="BM258">
        <v>1786259</v>
      </c>
      <c r="BN258">
        <v>37906638</v>
      </c>
      <c r="BO258">
        <v>30225591</v>
      </c>
      <c r="BP258">
        <v>1337342965</v>
      </c>
      <c r="BQ258">
        <v>166672</v>
      </c>
      <c r="BR258">
        <v>441556</v>
      </c>
      <c r="BS258">
        <v>1989925</v>
      </c>
      <c r="BT258">
        <v>0</v>
      </c>
      <c r="BU258">
        <v>4362694</v>
      </c>
      <c r="BV258">
        <v>11198415</v>
      </c>
      <c r="BW258">
        <v>48919679</v>
      </c>
      <c r="BX258">
        <v>14324375</v>
      </c>
      <c r="BY258">
        <v>50548904</v>
      </c>
      <c r="BZ258">
        <v>27426259</v>
      </c>
      <c r="CA258">
        <v>1475161</v>
      </c>
      <c r="CB258">
        <v>15492437</v>
      </c>
      <c r="CC258">
        <v>1251891</v>
      </c>
      <c r="CD258">
        <v>2251057</v>
      </c>
      <c r="CE258">
        <v>0</v>
      </c>
      <c r="CF258">
        <v>22017361</v>
      </c>
      <c r="CG258">
        <v>39950333</v>
      </c>
      <c r="CH258">
        <v>9662390</v>
      </c>
      <c r="CI258">
        <v>12687775</v>
      </c>
      <c r="CJ258">
        <v>0</v>
      </c>
      <c r="CK258">
        <v>129283</v>
      </c>
    </row>
    <row r="259" spans="1:89" x14ac:dyDescent="0.3">
      <c r="A259" s="155">
        <v>9002</v>
      </c>
      <c r="B259" t="s">
        <v>956</v>
      </c>
      <c r="C259" t="s">
        <v>957</v>
      </c>
      <c r="D259">
        <v>296092</v>
      </c>
      <c r="E259">
        <v>462628</v>
      </c>
      <c r="F259">
        <v>22416</v>
      </c>
      <c r="G259">
        <v>37723</v>
      </c>
      <c r="H259">
        <v>0</v>
      </c>
      <c r="I259">
        <v>322103</v>
      </c>
      <c r="J259">
        <v>56397</v>
      </c>
      <c r="K259">
        <v>4986821</v>
      </c>
      <c r="L259">
        <v>0</v>
      </c>
      <c r="M259">
        <v>7403096</v>
      </c>
      <c r="N259">
        <v>1661621</v>
      </c>
      <c r="O259">
        <v>86351942</v>
      </c>
      <c r="P259">
        <v>15597</v>
      </c>
      <c r="Q259">
        <v>5455</v>
      </c>
      <c r="R259">
        <v>430828</v>
      </c>
      <c r="S259">
        <v>330492</v>
      </c>
      <c r="T259">
        <v>309214</v>
      </c>
      <c r="U259">
        <v>49412</v>
      </c>
      <c r="V259">
        <v>98943</v>
      </c>
      <c r="W259">
        <v>34749</v>
      </c>
      <c r="X259">
        <v>31601722</v>
      </c>
      <c r="Y259">
        <v>451953000</v>
      </c>
      <c r="Z259">
        <v>622012</v>
      </c>
      <c r="AA259">
        <v>46768</v>
      </c>
      <c r="AB259">
        <v>1375482</v>
      </c>
      <c r="AC259">
        <v>0</v>
      </c>
      <c r="AD259">
        <v>545476</v>
      </c>
      <c r="AE259">
        <v>132544</v>
      </c>
      <c r="AF259">
        <v>10117769</v>
      </c>
      <c r="AG259">
        <v>3059982</v>
      </c>
      <c r="AH259">
        <v>28561</v>
      </c>
      <c r="AI259">
        <v>1175794</v>
      </c>
      <c r="AJ259">
        <v>96035</v>
      </c>
      <c r="AK259">
        <v>13118</v>
      </c>
      <c r="AL259">
        <v>74103</v>
      </c>
      <c r="AM259">
        <v>0</v>
      </c>
      <c r="AN259">
        <v>10895</v>
      </c>
      <c r="AO259">
        <v>0</v>
      </c>
      <c r="AP259">
        <v>1299</v>
      </c>
      <c r="AQ259">
        <v>42220591</v>
      </c>
      <c r="AR259">
        <v>34454</v>
      </c>
      <c r="AS259">
        <v>238585</v>
      </c>
      <c r="AT259">
        <v>2223529</v>
      </c>
      <c r="AU259">
        <v>127715</v>
      </c>
      <c r="AV259">
        <v>2784</v>
      </c>
      <c r="AW259">
        <v>12732686</v>
      </c>
      <c r="AX259">
        <v>7813</v>
      </c>
      <c r="AY259">
        <v>930256</v>
      </c>
      <c r="AZ259">
        <v>332690</v>
      </c>
      <c r="BA259">
        <v>3008</v>
      </c>
      <c r="BB259">
        <v>2458</v>
      </c>
      <c r="BC259">
        <v>1391659</v>
      </c>
      <c r="BD259">
        <v>29863</v>
      </c>
      <c r="BE259">
        <v>5176186</v>
      </c>
      <c r="BF259">
        <v>53004</v>
      </c>
      <c r="BG259">
        <v>46289</v>
      </c>
      <c r="BH259">
        <v>137827</v>
      </c>
      <c r="BI259">
        <v>434852</v>
      </c>
      <c r="BJ259">
        <v>88109</v>
      </c>
      <c r="BK259">
        <v>237878</v>
      </c>
      <c r="BL259">
        <v>318272</v>
      </c>
      <c r="BM259">
        <v>87603</v>
      </c>
      <c r="BN259">
        <v>4389076</v>
      </c>
      <c r="BO259">
        <v>3540053</v>
      </c>
      <c r="BP259">
        <v>153279057</v>
      </c>
      <c r="BQ259">
        <v>36567</v>
      </c>
      <c r="BR259">
        <v>71909</v>
      </c>
      <c r="BS259">
        <v>109232</v>
      </c>
      <c r="BT259">
        <v>0</v>
      </c>
      <c r="BU259">
        <v>104178</v>
      </c>
      <c r="BV259">
        <v>85629</v>
      </c>
      <c r="BW259">
        <v>2569511</v>
      </c>
      <c r="BX259">
        <v>1559896</v>
      </c>
      <c r="BY259">
        <v>5093002</v>
      </c>
      <c r="BZ259">
        <v>1203474</v>
      </c>
      <c r="CA259">
        <v>49055</v>
      </c>
      <c r="CB259">
        <v>441633</v>
      </c>
      <c r="CC259">
        <v>139435</v>
      </c>
      <c r="CD259">
        <v>90926</v>
      </c>
      <c r="CE259">
        <v>0</v>
      </c>
      <c r="CF259">
        <v>2305334</v>
      </c>
      <c r="CG259">
        <v>3097399</v>
      </c>
      <c r="CH259">
        <v>423956</v>
      </c>
      <c r="CI259">
        <v>1008591</v>
      </c>
      <c r="CJ259">
        <v>0</v>
      </c>
      <c r="CK259">
        <v>647</v>
      </c>
    </row>
    <row r="260" spans="1:89" x14ac:dyDescent="0.3">
      <c r="A260" s="155">
        <v>9003</v>
      </c>
      <c r="B260" t="s">
        <v>958</v>
      </c>
      <c r="C260" t="s">
        <v>959</v>
      </c>
      <c r="D260">
        <v>305323</v>
      </c>
      <c r="E260">
        <v>661295</v>
      </c>
      <c r="F260">
        <v>63680</v>
      </c>
      <c r="G260">
        <v>96204</v>
      </c>
      <c r="H260">
        <v>0</v>
      </c>
      <c r="I260">
        <v>14916254</v>
      </c>
      <c r="J260">
        <v>1427590</v>
      </c>
      <c r="K260">
        <v>25918098</v>
      </c>
      <c r="L260">
        <v>1332452</v>
      </c>
      <c r="M260">
        <v>56643252</v>
      </c>
      <c r="N260">
        <v>4478580</v>
      </c>
      <c r="O260">
        <v>553696196</v>
      </c>
      <c r="P260">
        <v>15597</v>
      </c>
      <c r="Q260">
        <v>5455</v>
      </c>
      <c r="R260">
        <v>1003737</v>
      </c>
      <c r="S260">
        <v>895709</v>
      </c>
      <c r="T260">
        <v>718540</v>
      </c>
      <c r="U260">
        <v>49412</v>
      </c>
      <c r="V260">
        <v>98943</v>
      </c>
      <c r="W260">
        <v>855850</v>
      </c>
      <c r="X260">
        <v>176786619</v>
      </c>
      <c r="Y260">
        <v>3588035000</v>
      </c>
      <c r="Z260">
        <v>8604984</v>
      </c>
      <c r="AA260">
        <v>310654</v>
      </c>
      <c r="AB260">
        <v>5136749</v>
      </c>
      <c r="AC260">
        <v>0</v>
      </c>
      <c r="AD260">
        <v>1656235</v>
      </c>
      <c r="AE260">
        <v>218282</v>
      </c>
      <c r="AF260">
        <v>41629180</v>
      </c>
      <c r="AG260">
        <v>3665922</v>
      </c>
      <c r="AH260">
        <v>635714</v>
      </c>
      <c r="AI260">
        <v>8931678</v>
      </c>
      <c r="AJ260">
        <v>282490</v>
      </c>
      <c r="AK260">
        <v>899717</v>
      </c>
      <c r="AL260">
        <v>126865</v>
      </c>
      <c r="AM260">
        <v>0</v>
      </c>
      <c r="AN260">
        <v>587611</v>
      </c>
      <c r="AO260">
        <v>0</v>
      </c>
      <c r="AP260">
        <v>1299</v>
      </c>
      <c r="AQ260">
        <v>130183503</v>
      </c>
      <c r="AR260">
        <v>34454</v>
      </c>
      <c r="AS260">
        <v>263333</v>
      </c>
      <c r="AT260">
        <v>9763703</v>
      </c>
      <c r="AU260">
        <v>300404</v>
      </c>
      <c r="AV260">
        <v>203073</v>
      </c>
      <c r="AW260">
        <v>44106139</v>
      </c>
      <c r="AX260">
        <v>112971</v>
      </c>
      <c r="AY260">
        <v>8644749</v>
      </c>
      <c r="AZ260">
        <v>5542268</v>
      </c>
      <c r="BA260">
        <v>13651</v>
      </c>
      <c r="BB260">
        <v>2458</v>
      </c>
      <c r="BC260">
        <v>4234712</v>
      </c>
      <c r="BD260">
        <v>29863</v>
      </c>
      <c r="BE260">
        <v>31155196</v>
      </c>
      <c r="BF260">
        <v>986264</v>
      </c>
      <c r="BG260">
        <v>46289</v>
      </c>
      <c r="BH260">
        <v>137989</v>
      </c>
      <c r="BI260">
        <v>1487412</v>
      </c>
      <c r="BJ260">
        <v>88109</v>
      </c>
      <c r="BK260">
        <v>237878</v>
      </c>
      <c r="BL260">
        <v>940293</v>
      </c>
      <c r="BM260">
        <v>250345</v>
      </c>
      <c r="BN260">
        <v>10960308</v>
      </c>
      <c r="BO260">
        <v>20630536</v>
      </c>
      <c r="BP260">
        <v>611589752</v>
      </c>
      <c r="BQ260">
        <v>36567</v>
      </c>
      <c r="BR260">
        <v>71909</v>
      </c>
      <c r="BS260">
        <v>202349</v>
      </c>
      <c r="BT260">
        <v>0</v>
      </c>
      <c r="BU260">
        <v>689581</v>
      </c>
      <c r="BV260">
        <v>1332973</v>
      </c>
      <c r="BW260">
        <v>24711251</v>
      </c>
      <c r="BX260">
        <v>8794156</v>
      </c>
      <c r="BY260">
        <v>30019846</v>
      </c>
      <c r="BZ260">
        <v>7794985</v>
      </c>
      <c r="CA260">
        <v>564549</v>
      </c>
      <c r="CB260">
        <v>2297082</v>
      </c>
      <c r="CC260">
        <v>146299</v>
      </c>
      <c r="CD260">
        <v>636937</v>
      </c>
      <c r="CE260">
        <v>0</v>
      </c>
      <c r="CF260">
        <v>5454409</v>
      </c>
      <c r="CG260">
        <v>9015884</v>
      </c>
      <c r="CH260">
        <v>1104890</v>
      </c>
      <c r="CI260">
        <v>3164277</v>
      </c>
      <c r="CJ260">
        <v>0</v>
      </c>
      <c r="CK260">
        <v>647</v>
      </c>
    </row>
    <row r="261" spans="1:89" x14ac:dyDescent="0.3">
      <c r="A261" s="155">
        <v>9004</v>
      </c>
      <c r="B261" t="s">
        <v>960</v>
      </c>
      <c r="C261" t="s">
        <v>961</v>
      </c>
      <c r="D261" t="s">
        <v>962</v>
      </c>
      <c r="E261" t="s">
        <v>349</v>
      </c>
      <c r="F261" t="s">
        <v>962</v>
      </c>
      <c r="G261" t="s">
        <v>962</v>
      </c>
      <c r="H261" t="s">
        <v>962</v>
      </c>
      <c r="I261" t="s">
        <v>962</v>
      </c>
      <c r="J261" t="s">
        <v>349</v>
      </c>
      <c r="K261" t="s">
        <v>962</v>
      </c>
      <c r="L261" t="s">
        <v>349</v>
      </c>
      <c r="M261" t="s">
        <v>349</v>
      </c>
      <c r="N261" t="s">
        <v>962</v>
      </c>
      <c r="O261" t="s">
        <v>962</v>
      </c>
      <c r="P261" t="s">
        <v>349</v>
      </c>
      <c r="Q261" t="s">
        <v>349</v>
      </c>
      <c r="R261" t="s">
        <v>349</v>
      </c>
      <c r="S261" t="s">
        <v>349</v>
      </c>
      <c r="T261" t="s">
        <v>349</v>
      </c>
      <c r="U261" t="s">
        <v>349</v>
      </c>
      <c r="V261" t="s">
        <v>962</v>
      </c>
      <c r="W261" t="s">
        <v>962</v>
      </c>
      <c r="X261" t="s">
        <v>349</v>
      </c>
      <c r="Y261" t="s">
        <v>962</v>
      </c>
      <c r="Z261" t="s">
        <v>962</v>
      </c>
      <c r="AA261" t="s">
        <v>962</v>
      </c>
      <c r="AB261" t="s">
        <v>349</v>
      </c>
      <c r="AC261" t="s">
        <v>962</v>
      </c>
      <c r="AD261" t="s">
        <v>962</v>
      </c>
      <c r="AE261" t="s">
        <v>962</v>
      </c>
      <c r="AF261" t="s">
        <v>962</v>
      </c>
      <c r="AG261" t="s">
        <v>349</v>
      </c>
      <c r="AH261" t="s">
        <v>962</v>
      </c>
      <c r="AI261" t="s">
        <v>962</v>
      </c>
      <c r="AJ261" t="s">
        <v>962</v>
      </c>
      <c r="AK261" t="s">
        <v>962</v>
      </c>
      <c r="AL261" t="s">
        <v>962</v>
      </c>
      <c r="AM261" t="s">
        <v>962</v>
      </c>
      <c r="AN261" t="s">
        <v>962</v>
      </c>
      <c r="AO261" t="s">
        <v>962</v>
      </c>
      <c r="AP261" t="s">
        <v>349</v>
      </c>
      <c r="AQ261" t="s">
        <v>962</v>
      </c>
      <c r="AR261" t="s">
        <v>349</v>
      </c>
      <c r="AS261" t="s">
        <v>962</v>
      </c>
      <c r="AT261" t="s">
        <v>962</v>
      </c>
      <c r="AU261" t="s">
        <v>962</v>
      </c>
      <c r="AV261" t="s">
        <v>349</v>
      </c>
      <c r="AW261" t="s">
        <v>349</v>
      </c>
      <c r="AX261" t="s">
        <v>962</v>
      </c>
      <c r="AY261" t="s">
        <v>349</v>
      </c>
      <c r="AZ261" t="s">
        <v>349</v>
      </c>
      <c r="BA261" t="s">
        <v>962</v>
      </c>
      <c r="BB261" t="s">
        <v>962</v>
      </c>
      <c r="BC261" t="s">
        <v>962</v>
      </c>
      <c r="BD261" t="s">
        <v>349</v>
      </c>
      <c r="BE261" t="s">
        <v>349</v>
      </c>
      <c r="BF261" t="s">
        <v>962</v>
      </c>
      <c r="BG261" t="s">
        <v>349</v>
      </c>
      <c r="BH261" t="s">
        <v>349</v>
      </c>
      <c r="BI261" t="s">
        <v>962</v>
      </c>
      <c r="BJ261" t="s">
        <v>349</v>
      </c>
      <c r="BK261" t="s">
        <v>962</v>
      </c>
      <c r="BL261" t="s">
        <v>962</v>
      </c>
      <c r="BM261" t="s">
        <v>962</v>
      </c>
      <c r="BN261" t="s">
        <v>349</v>
      </c>
      <c r="BO261" t="s">
        <v>962</v>
      </c>
      <c r="BP261" t="s">
        <v>962</v>
      </c>
      <c r="BQ261" t="s">
        <v>349</v>
      </c>
      <c r="BR261" t="s">
        <v>962</v>
      </c>
      <c r="BS261" t="s">
        <v>962</v>
      </c>
      <c r="BT261" t="s">
        <v>349</v>
      </c>
      <c r="BU261" t="s">
        <v>962</v>
      </c>
      <c r="BV261" t="s">
        <v>349</v>
      </c>
      <c r="BW261" t="s">
        <v>962</v>
      </c>
      <c r="BX261" t="s">
        <v>962</v>
      </c>
      <c r="BY261" t="s">
        <v>962</v>
      </c>
      <c r="BZ261" t="s">
        <v>962</v>
      </c>
      <c r="CA261" t="s">
        <v>962</v>
      </c>
      <c r="CB261" t="s">
        <v>962</v>
      </c>
      <c r="CC261" t="s">
        <v>962</v>
      </c>
      <c r="CD261" t="s">
        <v>962</v>
      </c>
      <c r="CE261" t="s">
        <v>962</v>
      </c>
      <c r="CF261" t="s">
        <v>962</v>
      </c>
      <c r="CG261" t="s">
        <v>349</v>
      </c>
      <c r="CH261" t="s">
        <v>962</v>
      </c>
      <c r="CI261" t="s">
        <v>349</v>
      </c>
      <c r="CJ261" t="s">
        <v>962</v>
      </c>
      <c r="CK261" t="s">
        <v>962</v>
      </c>
    </row>
    <row r="262" spans="1:89" x14ac:dyDescent="0.3">
      <c r="A262" s="155">
        <v>9005</v>
      </c>
      <c r="B262" t="s">
        <v>963</v>
      </c>
      <c r="C262" t="s">
        <v>964</v>
      </c>
      <c r="D262">
        <v>3303839</v>
      </c>
      <c r="E262">
        <v>2055089</v>
      </c>
      <c r="F262">
        <v>903076</v>
      </c>
      <c r="G262">
        <v>615296</v>
      </c>
      <c r="H262">
        <v>0</v>
      </c>
      <c r="I262">
        <v>2717612</v>
      </c>
      <c r="J262">
        <v>2108350</v>
      </c>
      <c r="K262">
        <v>6996369</v>
      </c>
      <c r="L262">
        <v>4859966</v>
      </c>
      <c r="M262">
        <v>11452288</v>
      </c>
      <c r="N262">
        <v>1864479</v>
      </c>
      <c r="O262">
        <v>126141063</v>
      </c>
      <c r="P262">
        <v>84477</v>
      </c>
      <c r="Q262">
        <v>279901</v>
      </c>
      <c r="R262">
        <v>1067714</v>
      </c>
      <c r="S262">
        <v>1150398</v>
      </c>
      <c r="T262">
        <v>1250255</v>
      </c>
      <c r="U262">
        <v>407162</v>
      </c>
      <c r="V262">
        <v>296530</v>
      </c>
      <c r="W262">
        <v>2092877</v>
      </c>
      <c r="X262">
        <v>36913259</v>
      </c>
      <c r="Y262">
        <v>340931000</v>
      </c>
      <c r="Z262">
        <v>4325261</v>
      </c>
      <c r="AA262">
        <v>491377</v>
      </c>
      <c r="AB262">
        <v>2544580</v>
      </c>
      <c r="AC262">
        <v>0</v>
      </c>
      <c r="AD262">
        <v>4213226</v>
      </c>
      <c r="AE262">
        <v>2479676</v>
      </c>
      <c r="AF262">
        <v>23098762</v>
      </c>
      <c r="AG262">
        <v>7682547</v>
      </c>
      <c r="AH262">
        <v>3193863</v>
      </c>
      <c r="AI262">
        <v>5305272</v>
      </c>
      <c r="AJ262">
        <v>1257951</v>
      </c>
      <c r="AK262">
        <v>1653073</v>
      </c>
      <c r="AL262">
        <v>876216</v>
      </c>
      <c r="AM262">
        <v>0</v>
      </c>
      <c r="AN262">
        <v>982488</v>
      </c>
      <c r="AO262">
        <v>0</v>
      </c>
      <c r="AP262">
        <v>80691</v>
      </c>
      <c r="AQ262">
        <v>63190471</v>
      </c>
      <c r="AR262">
        <v>311096</v>
      </c>
      <c r="AS262">
        <v>1870195</v>
      </c>
      <c r="AT262">
        <v>9594713</v>
      </c>
      <c r="AU262">
        <v>549849</v>
      </c>
      <c r="AV262">
        <v>1101605</v>
      </c>
      <c r="AW262">
        <v>22033648</v>
      </c>
      <c r="AX262">
        <v>123019</v>
      </c>
      <c r="AY262">
        <v>3228670</v>
      </c>
      <c r="AZ262">
        <v>8869173</v>
      </c>
      <c r="BA262">
        <v>487628</v>
      </c>
      <c r="BB262">
        <v>283531</v>
      </c>
      <c r="BC262">
        <v>3396110</v>
      </c>
      <c r="BD262">
        <v>165936</v>
      </c>
      <c r="BE262">
        <v>11564233</v>
      </c>
      <c r="BF262">
        <v>2383566</v>
      </c>
      <c r="BG262">
        <v>834567</v>
      </c>
      <c r="BH262">
        <v>517502</v>
      </c>
      <c r="BI262">
        <v>1425815</v>
      </c>
      <c r="BJ262">
        <v>3280823</v>
      </c>
      <c r="BK262">
        <v>14255</v>
      </c>
      <c r="BL262">
        <v>2000829</v>
      </c>
      <c r="BM262">
        <v>935846</v>
      </c>
      <c r="BN262">
        <v>9815351</v>
      </c>
      <c r="BO262">
        <v>4861470</v>
      </c>
      <c r="BP262">
        <v>119446200</v>
      </c>
      <c r="BQ262">
        <v>61486</v>
      </c>
      <c r="BR262">
        <v>176772</v>
      </c>
      <c r="BS262">
        <v>869511</v>
      </c>
      <c r="BT262">
        <v>0</v>
      </c>
      <c r="BU262">
        <v>1198223</v>
      </c>
      <c r="BV262">
        <v>6436789</v>
      </c>
      <c r="BW262">
        <v>9849211</v>
      </c>
      <c r="BX262">
        <v>2750581</v>
      </c>
      <c r="BY262">
        <v>3456962</v>
      </c>
      <c r="BZ262">
        <v>1273490</v>
      </c>
      <c r="CA262">
        <v>666558</v>
      </c>
      <c r="CB262">
        <v>5294377</v>
      </c>
      <c r="CC262">
        <v>822488</v>
      </c>
      <c r="CD262">
        <v>791880</v>
      </c>
      <c r="CE262">
        <v>0</v>
      </c>
      <c r="CF262">
        <v>8454067</v>
      </c>
      <c r="CG262">
        <v>2539628</v>
      </c>
      <c r="CH262">
        <v>28406</v>
      </c>
      <c r="CI262">
        <v>3317271</v>
      </c>
      <c r="CJ262">
        <v>0</v>
      </c>
      <c r="CK262">
        <v>60792</v>
      </c>
    </row>
    <row r="263" spans="1:89" x14ac:dyDescent="0.3">
      <c r="A263" s="155">
        <v>9006</v>
      </c>
      <c r="B263" t="s">
        <v>965</v>
      </c>
      <c r="C263" t="s">
        <v>966</v>
      </c>
      <c r="D263">
        <v>624805</v>
      </c>
      <c r="E263">
        <v>1586006</v>
      </c>
      <c r="F263">
        <v>384878</v>
      </c>
      <c r="G263">
        <v>216042</v>
      </c>
      <c r="H263">
        <v>0</v>
      </c>
      <c r="I263">
        <v>7181900</v>
      </c>
      <c r="J263">
        <v>2145895</v>
      </c>
      <c r="K263">
        <v>20177481</v>
      </c>
      <c r="L263">
        <v>3282183</v>
      </c>
      <c r="M263">
        <v>29896485</v>
      </c>
      <c r="N263">
        <v>3184655</v>
      </c>
      <c r="O263">
        <v>201166380</v>
      </c>
      <c r="P263">
        <v>41731</v>
      </c>
      <c r="Q263">
        <v>172254</v>
      </c>
      <c r="R263">
        <v>1149567</v>
      </c>
      <c r="S263">
        <v>993209</v>
      </c>
      <c r="T263">
        <v>2193598</v>
      </c>
      <c r="U263">
        <v>158306</v>
      </c>
      <c r="V263">
        <v>207892</v>
      </c>
      <c r="W263">
        <v>1732464</v>
      </c>
      <c r="X263">
        <v>70701396</v>
      </c>
      <c r="Y263">
        <v>768973000</v>
      </c>
      <c r="Z263">
        <v>5923937</v>
      </c>
      <c r="AA263">
        <v>518005</v>
      </c>
      <c r="AB263">
        <v>4076112</v>
      </c>
      <c r="AC263">
        <v>0</v>
      </c>
      <c r="AD263">
        <v>4849985</v>
      </c>
      <c r="AE263">
        <v>665670</v>
      </c>
      <c r="AF263">
        <v>36135551</v>
      </c>
      <c r="AG263">
        <v>8414918</v>
      </c>
      <c r="AH263">
        <v>1776888</v>
      </c>
      <c r="AI263">
        <v>10168804</v>
      </c>
      <c r="AJ263">
        <v>1109324</v>
      </c>
      <c r="AK263">
        <v>1593374</v>
      </c>
      <c r="AL263">
        <v>418494</v>
      </c>
      <c r="AM263">
        <v>0</v>
      </c>
      <c r="AN263">
        <v>556546</v>
      </c>
      <c r="AO263">
        <v>0</v>
      </c>
      <c r="AP263">
        <v>24796</v>
      </c>
      <c r="AQ263">
        <v>115060004</v>
      </c>
      <c r="AR263">
        <v>129773</v>
      </c>
      <c r="AS263">
        <v>564652</v>
      </c>
      <c r="AT263">
        <v>11169717</v>
      </c>
      <c r="AU263">
        <v>741510</v>
      </c>
      <c r="AV263">
        <v>439675</v>
      </c>
      <c r="AW263">
        <v>25921949</v>
      </c>
      <c r="AX263">
        <v>304910</v>
      </c>
      <c r="AY263">
        <v>6087153</v>
      </c>
      <c r="AZ263">
        <v>4062334</v>
      </c>
      <c r="BA263">
        <v>151303</v>
      </c>
      <c r="BB263">
        <v>111674</v>
      </c>
      <c r="BC263">
        <v>4089364</v>
      </c>
      <c r="BD263">
        <v>73772</v>
      </c>
      <c r="BE263">
        <v>14907872</v>
      </c>
      <c r="BF263">
        <v>1427184</v>
      </c>
      <c r="BG263">
        <v>628150</v>
      </c>
      <c r="BH263">
        <v>356509</v>
      </c>
      <c r="BI263">
        <v>1948336</v>
      </c>
      <c r="BJ263">
        <v>479437</v>
      </c>
      <c r="BK263">
        <v>254949</v>
      </c>
      <c r="BL263">
        <v>1172481</v>
      </c>
      <c r="BM263">
        <v>403779</v>
      </c>
      <c r="BN263">
        <v>9921549</v>
      </c>
      <c r="BO263">
        <v>12763300</v>
      </c>
      <c r="BP263">
        <v>232047320</v>
      </c>
      <c r="BQ263">
        <v>56682</v>
      </c>
      <c r="BR263">
        <v>81483</v>
      </c>
      <c r="BS263">
        <v>381616</v>
      </c>
      <c r="BT263">
        <v>0</v>
      </c>
      <c r="BU263">
        <v>1958035</v>
      </c>
      <c r="BV263">
        <v>1531699</v>
      </c>
      <c r="BW263">
        <v>17348367</v>
      </c>
      <c r="BX263">
        <v>6314813</v>
      </c>
      <c r="BY263">
        <v>22920367</v>
      </c>
      <c r="BZ263">
        <v>4577773</v>
      </c>
      <c r="CA263">
        <v>293516</v>
      </c>
      <c r="CB263">
        <v>5545547</v>
      </c>
      <c r="CC263">
        <v>297903</v>
      </c>
      <c r="CD263">
        <v>959236</v>
      </c>
      <c r="CE263">
        <v>0</v>
      </c>
      <c r="CF263">
        <v>8111787</v>
      </c>
      <c r="CG263">
        <v>11627465</v>
      </c>
      <c r="CH263">
        <v>1864046</v>
      </c>
      <c r="CI263">
        <v>3215958</v>
      </c>
      <c r="CJ263">
        <v>0</v>
      </c>
      <c r="CK263">
        <v>62719</v>
      </c>
    </row>
    <row r="264" spans="1:89" x14ac:dyDescent="0.3">
      <c r="A264" s="155">
        <v>9007</v>
      </c>
      <c r="B264" t="s">
        <v>1533</v>
      </c>
      <c r="C264" t="s">
        <v>967</v>
      </c>
      <c r="D264">
        <v>5.2877999999999998</v>
      </c>
      <c r="E264">
        <v>1.2958000000000001</v>
      </c>
      <c r="F264">
        <v>2.3464</v>
      </c>
      <c r="G264">
        <v>2.8479999999999999</v>
      </c>
      <c r="H264">
        <v>0</v>
      </c>
      <c r="I264">
        <v>0.37840000000000001</v>
      </c>
      <c r="J264">
        <v>0.98250000000000004</v>
      </c>
      <c r="K264">
        <v>0.34670000000000001</v>
      </c>
      <c r="L264">
        <v>1.4806999999999999</v>
      </c>
      <c r="M264">
        <v>0.3831</v>
      </c>
      <c r="N264">
        <v>0.58550000000000002</v>
      </c>
      <c r="O264">
        <v>0.627</v>
      </c>
      <c r="P264">
        <v>2.0243000000000002</v>
      </c>
      <c r="Q264">
        <v>1.6249</v>
      </c>
      <c r="R264">
        <v>0.92879999999999996</v>
      </c>
      <c r="S264">
        <v>1.1583000000000001</v>
      </c>
      <c r="T264">
        <v>0.56999999999999995</v>
      </c>
      <c r="U264">
        <v>2.5720000000000001</v>
      </c>
      <c r="V264">
        <v>1.4263999999999999</v>
      </c>
      <c r="W264">
        <v>1.208</v>
      </c>
      <c r="X264">
        <v>0.52210000000000001</v>
      </c>
      <c r="Y264">
        <v>0.44340000000000002</v>
      </c>
      <c r="Z264">
        <v>0.73009999999999997</v>
      </c>
      <c r="AA264">
        <v>0.9486</v>
      </c>
      <c r="AB264">
        <v>0.62429999999999997</v>
      </c>
      <c r="AC264">
        <v>0</v>
      </c>
      <c r="AD264">
        <v>0.86870000000000003</v>
      </c>
      <c r="AE264">
        <v>3.7250999999999999</v>
      </c>
      <c r="AF264">
        <v>0.63919999999999999</v>
      </c>
      <c r="AG264">
        <v>0.91300000000000003</v>
      </c>
      <c r="AH264">
        <v>1.7974000000000001</v>
      </c>
      <c r="AI264">
        <v>0.52170000000000005</v>
      </c>
      <c r="AJ264">
        <v>1.1339999999999999</v>
      </c>
      <c r="AK264">
        <v>1.0375000000000001</v>
      </c>
      <c r="AL264">
        <v>2.0937000000000001</v>
      </c>
      <c r="AM264">
        <v>0</v>
      </c>
      <c r="AN264">
        <v>1.7653000000000001</v>
      </c>
      <c r="AO264">
        <v>0</v>
      </c>
      <c r="AP264">
        <v>3.2542</v>
      </c>
      <c r="AQ264">
        <v>0.54920000000000002</v>
      </c>
      <c r="AR264">
        <v>2.3972000000000002</v>
      </c>
      <c r="AS264">
        <v>3.3121</v>
      </c>
      <c r="AT264">
        <v>0.85899999999999999</v>
      </c>
      <c r="AU264">
        <v>0.74150000000000005</v>
      </c>
      <c r="AV264">
        <v>2.5055000000000001</v>
      </c>
      <c r="AW264">
        <v>0.85</v>
      </c>
      <c r="AX264">
        <v>0.40350000000000003</v>
      </c>
      <c r="AY264">
        <v>0.53039999999999998</v>
      </c>
      <c r="AZ264">
        <v>2.1833</v>
      </c>
      <c r="BA264">
        <v>3.2229000000000001</v>
      </c>
      <c r="BB264">
        <v>2.5388999999999999</v>
      </c>
      <c r="BC264">
        <v>0.83050000000000002</v>
      </c>
      <c r="BD264">
        <v>2.2492999999999999</v>
      </c>
      <c r="BE264">
        <v>0.77569999999999995</v>
      </c>
      <c r="BF264">
        <v>1.6700999999999999</v>
      </c>
      <c r="BG264">
        <v>1.3286</v>
      </c>
      <c r="BH264">
        <v>1.4516</v>
      </c>
      <c r="BI264">
        <v>0.73180000000000001</v>
      </c>
      <c r="BJ264">
        <v>6.8430999999999997</v>
      </c>
      <c r="BK264">
        <v>5.5899999999999998E-2</v>
      </c>
      <c r="BL264">
        <v>1.7064999999999999</v>
      </c>
      <c r="BM264">
        <v>2.3176999999999999</v>
      </c>
      <c r="BN264">
        <v>0.98929999999999996</v>
      </c>
      <c r="BO264">
        <v>0.38090000000000002</v>
      </c>
      <c r="BP264">
        <v>0.51470000000000005</v>
      </c>
      <c r="BQ264">
        <v>1.0848</v>
      </c>
      <c r="BR264">
        <v>2.1694</v>
      </c>
      <c r="BS264">
        <v>2.2785000000000002</v>
      </c>
      <c r="BT264">
        <v>0</v>
      </c>
      <c r="BU264">
        <v>0.61199999999999999</v>
      </c>
      <c r="BV264">
        <v>4.2023999999999999</v>
      </c>
      <c r="BW264">
        <v>0.56769999999999998</v>
      </c>
      <c r="BX264">
        <v>0.43559999999999999</v>
      </c>
      <c r="BY264">
        <v>0.15079999999999999</v>
      </c>
      <c r="BZ264">
        <v>0.2782</v>
      </c>
      <c r="CA264">
        <v>2.2709000000000001</v>
      </c>
      <c r="CB264">
        <v>0.95469999999999999</v>
      </c>
      <c r="CC264">
        <v>2.7608999999999999</v>
      </c>
      <c r="CD264">
        <v>0.82550000000000001</v>
      </c>
      <c r="CE264">
        <v>0</v>
      </c>
      <c r="CF264">
        <v>1.0422</v>
      </c>
      <c r="CG264">
        <v>0.21840000000000001</v>
      </c>
      <c r="CH264">
        <v>1.52E-2</v>
      </c>
      <c r="CI264">
        <v>1.0315000000000001</v>
      </c>
      <c r="CJ264">
        <v>0</v>
      </c>
      <c r="CK264">
        <v>0.96930000000000005</v>
      </c>
    </row>
    <row r="265" spans="1:89" x14ac:dyDescent="0.3">
      <c r="A265" s="155">
        <v>9008</v>
      </c>
      <c r="B265" t="s">
        <v>968</v>
      </c>
      <c r="C265" t="s">
        <v>349</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row>
    <row r="266" spans="1:89" x14ac:dyDescent="0.3">
      <c r="A266" s="155">
        <v>9010</v>
      </c>
      <c r="B266" t="s">
        <v>969</v>
      </c>
      <c r="C266" t="s">
        <v>970</v>
      </c>
      <c r="D266">
        <v>57.75</v>
      </c>
      <c r="E266">
        <v>0</v>
      </c>
      <c r="F266">
        <v>60.53</v>
      </c>
      <c r="G266">
        <v>1.39</v>
      </c>
      <c r="H266">
        <v>0</v>
      </c>
      <c r="I266">
        <v>14.04</v>
      </c>
      <c r="J266">
        <v>0</v>
      </c>
      <c r="K266">
        <v>2.2599999999999998</v>
      </c>
      <c r="L266">
        <v>0</v>
      </c>
      <c r="M266">
        <v>0</v>
      </c>
      <c r="N266">
        <v>2.4</v>
      </c>
      <c r="O266">
        <v>16.48</v>
      </c>
      <c r="P266">
        <v>0</v>
      </c>
      <c r="Q266">
        <v>0</v>
      </c>
      <c r="R266">
        <v>0</v>
      </c>
      <c r="S266">
        <v>0</v>
      </c>
      <c r="T266">
        <v>0</v>
      </c>
      <c r="U266">
        <v>0</v>
      </c>
      <c r="V266">
        <v>19.23</v>
      </c>
      <c r="W266">
        <v>8.69</v>
      </c>
      <c r="X266">
        <v>0</v>
      </c>
      <c r="Y266">
        <v>1.06</v>
      </c>
      <c r="Z266">
        <v>1.8</v>
      </c>
      <c r="AA266">
        <v>50.91</v>
      </c>
      <c r="AB266">
        <v>0</v>
      </c>
      <c r="AC266">
        <v>0</v>
      </c>
      <c r="AD266">
        <v>14.39</v>
      </c>
      <c r="AE266">
        <v>14.95</v>
      </c>
      <c r="AF266">
        <v>1.45</v>
      </c>
      <c r="AG266">
        <v>0</v>
      </c>
      <c r="AH266">
        <v>0</v>
      </c>
      <c r="AI266">
        <v>10.99</v>
      </c>
      <c r="AJ266">
        <v>15.69</v>
      </c>
      <c r="AK266">
        <v>17.399999999999999</v>
      </c>
      <c r="AL266">
        <v>6.82</v>
      </c>
      <c r="AM266">
        <v>0</v>
      </c>
      <c r="AN266">
        <v>20.54</v>
      </c>
      <c r="AO266">
        <v>0</v>
      </c>
      <c r="AP266">
        <v>0</v>
      </c>
      <c r="AQ266">
        <v>20.36</v>
      </c>
      <c r="AR266">
        <v>0</v>
      </c>
      <c r="AS266">
        <v>0</v>
      </c>
      <c r="AT266">
        <v>15.19</v>
      </c>
      <c r="AU266">
        <v>17.260000000000002</v>
      </c>
      <c r="AV266">
        <v>0</v>
      </c>
      <c r="AW266">
        <v>0</v>
      </c>
      <c r="AX266">
        <v>2.4300000000000002</v>
      </c>
      <c r="AY266">
        <v>0</v>
      </c>
      <c r="AZ266">
        <v>0</v>
      </c>
      <c r="BA266">
        <v>30.89</v>
      </c>
      <c r="BB266">
        <v>0</v>
      </c>
      <c r="BC266">
        <v>12.01</v>
      </c>
      <c r="BD266">
        <v>0</v>
      </c>
      <c r="BE266">
        <v>0</v>
      </c>
      <c r="BF266">
        <v>4.04</v>
      </c>
      <c r="BG266">
        <v>0</v>
      </c>
      <c r="BH266">
        <v>0</v>
      </c>
      <c r="BI266">
        <v>8.91</v>
      </c>
      <c r="BJ266">
        <v>0</v>
      </c>
      <c r="BK266">
        <v>3.01</v>
      </c>
      <c r="BL266">
        <v>1.27</v>
      </c>
      <c r="BM266">
        <v>5.0599999999999996</v>
      </c>
      <c r="BN266">
        <v>0</v>
      </c>
      <c r="BO266">
        <v>1.8</v>
      </c>
      <c r="BP266">
        <v>3.75</v>
      </c>
      <c r="BQ266">
        <v>0</v>
      </c>
      <c r="BR266">
        <v>1.8</v>
      </c>
      <c r="BS266">
        <v>16.52</v>
      </c>
      <c r="BT266">
        <v>0</v>
      </c>
      <c r="BU266">
        <v>0</v>
      </c>
      <c r="BV266">
        <v>0</v>
      </c>
      <c r="BW266">
        <v>3.2</v>
      </c>
      <c r="BX266">
        <v>5.0199999999999996</v>
      </c>
      <c r="BY266">
        <v>8.2200000000000006</v>
      </c>
      <c r="BZ266">
        <v>11.79</v>
      </c>
      <c r="CA266">
        <v>19.309999999999999</v>
      </c>
      <c r="CB266">
        <v>14.61</v>
      </c>
      <c r="CC266">
        <v>1808.51</v>
      </c>
      <c r="CD266">
        <v>67.66</v>
      </c>
      <c r="CE266">
        <v>0</v>
      </c>
      <c r="CF266">
        <v>12.07</v>
      </c>
      <c r="CG266">
        <v>0</v>
      </c>
      <c r="CH266">
        <v>9.93</v>
      </c>
      <c r="CI266">
        <v>0</v>
      </c>
      <c r="CJ266">
        <v>0</v>
      </c>
      <c r="CK266">
        <v>1.95</v>
      </c>
    </row>
    <row r="267" spans="1:89" x14ac:dyDescent="0.3">
      <c r="A267" s="155">
        <v>9011</v>
      </c>
      <c r="B267" t="s">
        <v>1664</v>
      </c>
      <c r="C267" t="s">
        <v>971</v>
      </c>
      <c r="D267">
        <v>19393</v>
      </c>
      <c r="E267">
        <v>0</v>
      </c>
      <c r="F267">
        <v>145318</v>
      </c>
      <c r="G267">
        <v>-3950</v>
      </c>
      <c r="H267">
        <v>0</v>
      </c>
      <c r="I267">
        <v>536048</v>
      </c>
      <c r="J267">
        <v>0</v>
      </c>
      <c r="K267">
        <v>2091294</v>
      </c>
      <c r="L267">
        <v>0</v>
      </c>
      <c r="M267">
        <v>0</v>
      </c>
      <c r="N267">
        <v>740906</v>
      </c>
      <c r="O267">
        <v>16046518</v>
      </c>
      <c r="P267">
        <v>0</v>
      </c>
      <c r="Q267">
        <v>0</v>
      </c>
      <c r="R267">
        <v>0</v>
      </c>
      <c r="S267">
        <v>0</v>
      </c>
      <c r="T267">
        <v>0</v>
      </c>
      <c r="U267">
        <v>0</v>
      </c>
      <c r="V267">
        <v>12429</v>
      </c>
      <c r="W267">
        <v>69114</v>
      </c>
      <c r="X267">
        <v>0</v>
      </c>
      <c r="Y267">
        <v>103344000</v>
      </c>
      <c r="Z267">
        <v>500209</v>
      </c>
      <c r="AA267">
        <v>37679</v>
      </c>
      <c r="AB267">
        <v>0</v>
      </c>
      <c r="AC267">
        <v>0</v>
      </c>
      <c r="AD267">
        <v>719983</v>
      </c>
      <c r="AE267">
        <v>145217</v>
      </c>
      <c r="AF267">
        <v>4924466</v>
      </c>
      <c r="AG267">
        <v>0</v>
      </c>
      <c r="AH267">
        <v>232592</v>
      </c>
      <c r="AI267">
        <v>960380</v>
      </c>
      <c r="AJ267">
        <v>38713</v>
      </c>
      <c r="AK267">
        <v>39559</v>
      </c>
      <c r="AL267">
        <v>33993</v>
      </c>
      <c r="AM267">
        <v>0</v>
      </c>
      <c r="AN267">
        <v>-171170</v>
      </c>
      <c r="AO267">
        <v>0</v>
      </c>
      <c r="AP267">
        <v>0</v>
      </c>
      <c r="AQ267">
        <v>13472947</v>
      </c>
      <c r="AR267">
        <v>0</v>
      </c>
      <c r="AS267">
        <v>18942</v>
      </c>
      <c r="AT267">
        <v>2009021</v>
      </c>
      <c r="AU267">
        <v>59274</v>
      </c>
      <c r="AV267">
        <v>0</v>
      </c>
      <c r="AW267">
        <v>0</v>
      </c>
      <c r="AX267">
        <v>-14109</v>
      </c>
      <c r="AY267">
        <v>0</v>
      </c>
      <c r="AZ267">
        <v>0</v>
      </c>
      <c r="BA267">
        <v>59776</v>
      </c>
      <c r="BB267">
        <v>-6002</v>
      </c>
      <c r="BC267">
        <v>430737</v>
      </c>
      <c r="BD267">
        <v>0</v>
      </c>
      <c r="BE267">
        <v>0</v>
      </c>
      <c r="BF267">
        <v>276492</v>
      </c>
      <c r="BG267">
        <v>0</v>
      </c>
      <c r="BH267">
        <v>0</v>
      </c>
      <c r="BI267">
        <v>34531</v>
      </c>
      <c r="BJ267">
        <v>0</v>
      </c>
      <c r="BK267">
        <v>48321</v>
      </c>
      <c r="BL267">
        <v>71421</v>
      </c>
      <c r="BM267">
        <v>25461</v>
      </c>
      <c r="BN267">
        <v>0</v>
      </c>
      <c r="BO267">
        <v>446833</v>
      </c>
      <c r="BP267">
        <v>33755622</v>
      </c>
      <c r="BQ267">
        <v>0</v>
      </c>
      <c r="BR267">
        <v>3320</v>
      </c>
      <c r="BS267">
        <v>79564</v>
      </c>
      <c r="BT267">
        <v>0</v>
      </c>
      <c r="BU267">
        <v>29190</v>
      </c>
      <c r="BV267">
        <v>0</v>
      </c>
      <c r="BW267">
        <v>-1272526</v>
      </c>
      <c r="BX267">
        <v>208350</v>
      </c>
      <c r="BY267">
        <v>3042995</v>
      </c>
      <c r="BZ267">
        <v>260274</v>
      </c>
      <c r="CA267">
        <v>-841</v>
      </c>
      <c r="CB267">
        <v>640485</v>
      </c>
      <c r="CC267">
        <v>127400</v>
      </c>
      <c r="CD267">
        <v>-113110</v>
      </c>
      <c r="CE267">
        <v>0</v>
      </c>
      <c r="CF267">
        <v>1528971</v>
      </c>
      <c r="CG267">
        <v>0</v>
      </c>
      <c r="CH267">
        <v>122221</v>
      </c>
      <c r="CI267">
        <v>0</v>
      </c>
      <c r="CJ267">
        <v>0</v>
      </c>
      <c r="CK267">
        <v>17706</v>
      </c>
    </row>
    <row r="268" spans="1:89" x14ac:dyDescent="0.3">
      <c r="A268" s="155">
        <v>9012</v>
      </c>
      <c r="B268" t="s">
        <v>1665</v>
      </c>
      <c r="C268" t="s">
        <v>971</v>
      </c>
      <c r="D268">
        <v>1.0109999999999999</v>
      </c>
      <c r="E268">
        <v>0</v>
      </c>
      <c r="F268">
        <v>4.8567999999999998</v>
      </c>
      <c r="G268">
        <v>2.2768000000000002</v>
      </c>
      <c r="H268">
        <v>0</v>
      </c>
      <c r="I268">
        <v>2.0213000000000001</v>
      </c>
      <c r="J268">
        <v>0</v>
      </c>
      <c r="K268">
        <v>0.58030000000000004</v>
      </c>
      <c r="L268">
        <v>0</v>
      </c>
      <c r="M268">
        <v>0</v>
      </c>
      <c r="N268">
        <v>0.34379999999999999</v>
      </c>
      <c r="O268">
        <v>3.2904</v>
      </c>
      <c r="P268">
        <v>0</v>
      </c>
      <c r="Q268">
        <v>0</v>
      </c>
      <c r="R268">
        <v>0</v>
      </c>
      <c r="S268">
        <v>0</v>
      </c>
      <c r="T268">
        <v>0</v>
      </c>
      <c r="U268">
        <v>0</v>
      </c>
      <c r="V268">
        <v>3.839</v>
      </c>
      <c r="W268">
        <v>2.5333000000000001</v>
      </c>
      <c r="X268">
        <v>0</v>
      </c>
      <c r="Y268">
        <v>0.57150000000000001</v>
      </c>
      <c r="Z268">
        <v>0.74029999999999996</v>
      </c>
      <c r="AA268">
        <v>5.0434999999999999</v>
      </c>
      <c r="AB268">
        <v>0</v>
      </c>
      <c r="AC268">
        <v>0</v>
      </c>
      <c r="AD268">
        <v>3.2038000000000002</v>
      </c>
      <c r="AE268">
        <v>1.0851999999999999</v>
      </c>
      <c r="AF268">
        <v>0.55979999999999996</v>
      </c>
      <c r="AG268">
        <v>0</v>
      </c>
      <c r="AH268">
        <v>9.8332999999999995</v>
      </c>
      <c r="AI268">
        <v>1.2797000000000001</v>
      </c>
      <c r="AJ268">
        <v>0.78859999999999997</v>
      </c>
      <c r="AK268">
        <v>2.0775999999999999</v>
      </c>
      <c r="AL268">
        <v>2.2141999999999999</v>
      </c>
      <c r="AM268">
        <v>0</v>
      </c>
      <c r="AN268">
        <v>3.4573999999999998</v>
      </c>
      <c r="AO268">
        <v>0</v>
      </c>
      <c r="AP268">
        <v>0</v>
      </c>
      <c r="AQ268">
        <v>2.3370000000000002</v>
      </c>
      <c r="AR268">
        <v>0</v>
      </c>
      <c r="AS268">
        <v>1.7509999999999999</v>
      </c>
      <c r="AT268">
        <v>2.3972000000000002</v>
      </c>
      <c r="AU268">
        <v>2.5851000000000002</v>
      </c>
      <c r="AV268">
        <v>0</v>
      </c>
      <c r="AW268">
        <v>0</v>
      </c>
      <c r="AX268">
        <v>0.42349999999999999</v>
      </c>
      <c r="AY268">
        <v>0</v>
      </c>
      <c r="AZ268">
        <v>0</v>
      </c>
      <c r="BA268">
        <v>0.872</v>
      </c>
      <c r="BB268">
        <v>0.40050000000000002</v>
      </c>
      <c r="BC268">
        <v>0.86260000000000003</v>
      </c>
      <c r="BD268">
        <v>0</v>
      </c>
      <c r="BE268">
        <v>0</v>
      </c>
      <c r="BF268">
        <v>0.54490000000000005</v>
      </c>
      <c r="BG268">
        <v>0</v>
      </c>
      <c r="BH268">
        <v>0</v>
      </c>
      <c r="BI268">
        <v>0.3659</v>
      </c>
      <c r="BJ268">
        <v>0</v>
      </c>
      <c r="BK268">
        <v>0.35070000000000001</v>
      </c>
      <c r="BL268">
        <v>4.391</v>
      </c>
      <c r="BM268">
        <v>1.7707999999999999</v>
      </c>
      <c r="BN268">
        <v>0</v>
      </c>
      <c r="BO268">
        <v>0.24110000000000001</v>
      </c>
      <c r="BP268">
        <v>1.5719000000000001</v>
      </c>
      <c r="BQ268">
        <v>0</v>
      </c>
      <c r="BR268">
        <v>1.2774000000000001</v>
      </c>
      <c r="BS268">
        <v>1.7034</v>
      </c>
      <c r="BT268">
        <v>0</v>
      </c>
      <c r="BU268">
        <v>-2.41E-2</v>
      </c>
      <c r="BV268">
        <v>0</v>
      </c>
      <c r="BW268">
        <v>0.37969999999999998</v>
      </c>
      <c r="BX268">
        <v>0.23569999999999999</v>
      </c>
      <c r="BY268">
        <v>0.86780000000000002</v>
      </c>
      <c r="BZ268">
        <v>2.0764</v>
      </c>
      <c r="CA268">
        <v>0.55559999999999998</v>
      </c>
      <c r="CB268">
        <v>2.1002999999999998</v>
      </c>
      <c r="CC268">
        <v>2.3393999999999999</v>
      </c>
      <c r="CD268">
        <v>4.1999999999999997E-3</v>
      </c>
      <c r="CE268">
        <v>0</v>
      </c>
      <c r="CF268">
        <v>1.3729</v>
      </c>
      <c r="CG268">
        <v>0</v>
      </c>
      <c r="CH268">
        <v>0.35980000000000001</v>
      </c>
      <c r="CI268">
        <v>0</v>
      </c>
      <c r="CJ268">
        <v>0</v>
      </c>
      <c r="CK268">
        <v>3.85E-2</v>
      </c>
    </row>
    <row r="269" spans="1:89" x14ac:dyDescent="0.3">
      <c r="A269" s="155">
        <v>9013</v>
      </c>
      <c r="B269" t="s">
        <v>972</v>
      </c>
      <c r="C269" t="s">
        <v>973</v>
      </c>
      <c r="D269">
        <v>57.75</v>
      </c>
      <c r="E269">
        <v>0</v>
      </c>
      <c r="F269">
        <v>60.53</v>
      </c>
      <c r="G269">
        <v>1.39</v>
      </c>
      <c r="H269">
        <v>0</v>
      </c>
      <c r="I269">
        <v>14.04</v>
      </c>
      <c r="J269">
        <v>0</v>
      </c>
      <c r="K269">
        <v>2.2599999999999998</v>
      </c>
      <c r="L269">
        <v>0</v>
      </c>
      <c r="M269">
        <v>0</v>
      </c>
      <c r="N269">
        <v>2.4</v>
      </c>
      <c r="O269">
        <v>16.48</v>
      </c>
      <c r="P269">
        <v>0</v>
      </c>
      <c r="Q269">
        <v>0</v>
      </c>
      <c r="R269">
        <v>0</v>
      </c>
      <c r="S269">
        <v>0</v>
      </c>
      <c r="T269">
        <v>0</v>
      </c>
      <c r="U269">
        <v>0</v>
      </c>
      <c r="V269">
        <v>19.23</v>
      </c>
      <c r="W269">
        <v>8.69</v>
      </c>
      <c r="X269">
        <v>0</v>
      </c>
      <c r="Y269">
        <v>1.06</v>
      </c>
      <c r="Z269">
        <v>1.8</v>
      </c>
      <c r="AA269">
        <v>50.91</v>
      </c>
      <c r="AB269">
        <v>0</v>
      </c>
      <c r="AC269">
        <v>0</v>
      </c>
      <c r="AD269">
        <v>14.39</v>
      </c>
      <c r="AE269">
        <v>14.95</v>
      </c>
      <c r="AF269">
        <v>1.45</v>
      </c>
      <c r="AG269">
        <v>0</v>
      </c>
      <c r="AH269">
        <v>0</v>
      </c>
      <c r="AI269">
        <v>10.99</v>
      </c>
      <c r="AJ269">
        <v>15.69</v>
      </c>
      <c r="AK269">
        <v>17.399999999999999</v>
      </c>
      <c r="AL269">
        <v>6.82</v>
      </c>
      <c r="AM269">
        <v>0</v>
      </c>
      <c r="AN269">
        <v>20.54</v>
      </c>
      <c r="AO269">
        <v>0</v>
      </c>
      <c r="AP269">
        <v>0</v>
      </c>
      <c r="AQ269">
        <v>20.36</v>
      </c>
      <c r="AR269">
        <v>0</v>
      </c>
      <c r="AS269">
        <v>0</v>
      </c>
      <c r="AT269">
        <v>15.19</v>
      </c>
      <c r="AU269">
        <v>17.260000000000002</v>
      </c>
      <c r="AV269">
        <v>0</v>
      </c>
      <c r="AW269">
        <v>0</v>
      </c>
      <c r="AX269">
        <v>2.4300000000000002</v>
      </c>
      <c r="AY269">
        <v>0</v>
      </c>
      <c r="AZ269">
        <v>0</v>
      </c>
      <c r="BA269">
        <v>30.89</v>
      </c>
      <c r="BB269">
        <v>0</v>
      </c>
      <c r="BC269">
        <v>12.01</v>
      </c>
      <c r="BD269">
        <v>0</v>
      </c>
      <c r="BE269">
        <v>0</v>
      </c>
      <c r="BF269">
        <v>4.04</v>
      </c>
      <c r="BG269">
        <v>0</v>
      </c>
      <c r="BH269">
        <v>0</v>
      </c>
      <c r="BI269">
        <v>8.91</v>
      </c>
      <c r="BJ269">
        <v>0</v>
      </c>
      <c r="BK269">
        <v>3.01</v>
      </c>
      <c r="BL269">
        <v>1.27</v>
      </c>
      <c r="BM269">
        <v>5.0599999999999996</v>
      </c>
      <c r="BN269">
        <v>0</v>
      </c>
      <c r="BO269">
        <v>1.8</v>
      </c>
      <c r="BP269">
        <v>3.75</v>
      </c>
      <c r="BQ269">
        <v>0</v>
      </c>
      <c r="BR269">
        <v>1.8</v>
      </c>
      <c r="BS269">
        <v>16.52</v>
      </c>
      <c r="BT269">
        <v>0</v>
      </c>
      <c r="BU269">
        <v>0</v>
      </c>
      <c r="BV269">
        <v>0</v>
      </c>
      <c r="BW269">
        <v>3.2</v>
      </c>
      <c r="BX269">
        <v>5.0199999999999996</v>
      </c>
      <c r="BY269">
        <v>8.2200000000000006</v>
      </c>
      <c r="BZ269">
        <v>11.79</v>
      </c>
      <c r="CA269">
        <v>19.309999999999999</v>
      </c>
      <c r="CB269">
        <v>14.61</v>
      </c>
      <c r="CC269">
        <v>1808.51</v>
      </c>
      <c r="CD269">
        <v>67.66</v>
      </c>
      <c r="CE269">
        <v>0</v>
      </c>
      <c r="CF269">
        <v>12.07</v>
      </c>
      <c r="CG269">
        <v>0</v>
      </c>
      <c r="CH269">
        <v>9.93</v>
      </c>
      <c r="CI269">
        <v>0</v>
      </c>
      <c r="CJ269">
        <v>0</v>
      </c>
      <c r="CK269">
        <v>1.95</v>
      </c>
    </row>
    <row r="270" spans="1:89" x14ac:dyDescent="0.3">
      <c r="A270" s="155">
        <v>9014</v>
      </c>
      <c r="B270" t="s">
        <v>974</v>
      </c>
      <c r="C270" t="s">
        <v>975</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0</v>
      </c>
      <c r="Z270">
        <v>9.43</v>
      </c>
      <c r="AA270">
        <v>0</v>
      </c>
      <c r="AB270">
        <v>0</v>
      </c>
      <c r="AC270">
        <v>0</v>
      </c>
      <c r="AD270">
        <v>0</v>
      </c>
      <c r="AE270">
        <v>0</v>
      </c>
      <c r="AF270">
        <v>2.7</v>
      </c>
      <c r="AG270">
        <v>0</v>
      </c>
      <c r="AH270">
        <v>0</v>
      </c>
      <c r="AI270">
        <v>0</v>
      </c>
      <c r="AJ270">
        <v>0</v>
      </c>
      <c r="AK270">
        <v>0</v>
      </c>
      <c r="AL270">
        <v>0</v>
      </c>
      <c r="AM270">
        <v>0</v>
      </c>
      <c r="AN270">
        <v>0</v>
      </c>
      <c r="AO270">
        <v>0</v>
      </c>
      <c r="AP270">
        <v>0</v>
      </c>
      <c r="AQ270">
        <v>8.2100000000000009</v>
      </c>
      <c r="AR270">
        <v>0</v>
      </c>
      <c r="AS270">
        <v>0</v>
      </c>
      <c r="AT270">
        <v>0</v>
      </c>
      <c r="AU270">
        <v>0</v>
      </c>
      <c r="AV270">
        <v>0</v>
      </c>
      <c r="AW270">
        <v>6.83</v>
      </c>
      <c r="AX270">
        <v>0</v>
      </c>
      <c r="AY270">
        <v>0</v>
      </c>
      <c r="AZ270">
        <v>0</v>
      </c>
      <c r="BA270">
        <v>0</v>
      </c>
      <c r="BB270">
        <v>0</v>
      </c>
      <c r="BC270">
        <v>10.88</v>
      </c>
      <c r="BD270">
        <v>0</v>
      </c>
      <c r="BE270">
        <v>0</v>
      </c>
      <c r="BF270">
        <v>0</v>
      </c>
      <c r="BG270">
        <v>0</v>
      </c>
      <c r="BH270">
        <v>0</v>
      </c>
      <c r="BI270">
        <v>0</v>
      </c>
      <c r="BJ270">
        <v>0</v>
      </c>
      <c r="BK270">
        <v>0</v>
      </c>
      <c r="BL270">
        <v>18.39</v>
      </c>
      <c r="BM270">
        <v>0</v>
      </c>
      <c r="BN270">
        <v>0</v>
      </c>
      <c r="BO270">
        <v>0</v>
      </c>
      <c r="BP270">
        <v>0</v>
      </c>
      <c r="BQ270">
        <v>0</v>
      </c>
      <c r="BR270">
        <v>0</v>
      </c>
      <c r="BS270">
        <v>0</v>
      </c>
      <c r="BT270">
        <v>0</v>
      </c>
      <c r="BU270">
        <v>0</v>
      </c>
      <c r="BV270">
        <v>0</v>
      </c>
      <c r="BW270">
        <v>0</v>
      </c>
      <c r="BX270">
        <v>1.99</v>
      </c>
      <c r="BY270">
        <v>2.59</v>
      </c>
      <c r="BZ270">
        <v>0</v>
      </c>
      <c r="CA270">
        <v>0</v>
      </c>
      <c r="CB270">
        <v>0</v>
      </c>
      <c r="CC270">
        <v>0</v>
      </c>
      <c r="CD270">
        <v>0</v>
      </c>
      <c r="CE270">
        <v>0</v>
      </c>
      <c r="CF270">
        <v>0</v>
      </c>
      <c r="CG270">
        <v>0</v>
      </c>
      <c r="CH270">
        <v>17.55</v>
      </c>
      <c r="CI270">
        <v>0</v>
      </c>
      <c r="CJ270">
        <v>0</v>
      </c>
      <c r="CK270">
        <v>0</v>
      </c>
    </row>
    <row r="271" spans="1:89" x14ac:dyDescent="0.3">
      <c r="A271" s="155">
        <v>9015</v>
      </c>
      <c r="B271" t="s">
        <v>1666</v>
      </c>
      <c r="C271" t="s">
        <v>349</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768854</v>
      </c>
      <c r="AA271">
        <v>0</v>
      </c>
      <c r="AB271">
        <v>0</v>
      </c>
      <c r="AC271">
        <v>0</v>
      </c>
      <c r="AD271">
        <v>0</v>
      </c>
      <c r="AE271">
        <v>0</v>
      </c>
      <c r="AF271">
        <v>988232</v>
      </c>
      <c r="AG271">
        <v>0</v>
      </c>
      <c r="AH271">
        <v>0</v>
      </c>
      <c r="AI271">
        <v>0</v>
      </c>
      <c r="AJ271">
        <v>0</v>
      </c>
      <c r="AK271">
        <v>0</v>
      </c>
      <c r="AL271">
        <v>0</v>
      </c>
      <c r="AM271">
        <v>0</v>
      </c>
      <c r="AN271">
        <v>0</v>
      </c>
      <c r="AO271">
        <v>0</v>
      </c>
      <c r="AP271">
        <v>0</v>
      </c>
      <c r="AQ271">
        <v>-1791236</v>
      </c>
      <c r="AR271">
        <v>0</v>
      </c>
      <c r="AS271">
        <v>0</v>
      </c>
      <c r="AT271">
        <v>0</v>
      </c>
      <c r="AU271">
        <v>0</v>
      </c>
      <c r="AV271">
        <v>0</v>
      </c>
      <c r="AW271">
        <v>413142</v>
      </c>
      <c r="AX271">
        <v>0</v>
      </c>
      <c r="AY271">
        <v>0</v>
      </c>
      <c r="AZ271">
        <v>0</v>
      </c>
      <c r="BA271">
        <v>0</v>
      </c>
      <c r="BB271">
        <v>0</v>
      </c>
      <c r="BC271">
        <v>2153837</v>
      </c>
      <c r="BD271">
        <v>0</v>
      </c>
      <c r="BE271">
        <v>0</v>
      </c>
      <c r="BF271">
        <v>0</v>
      </c>
      <c r="BG271">
        <v>0</v>
      </c>
      <c r="BH271">
        <v>0</v>
      </c>
      <c r="BI271">
        <v>0</v>
      </c>
      <c r="BJ271">
        <v>0</v>
      </c>
      <c r="BK271">
        <v>0</v>
      </c>
      <c r="BL271">
        <v>205625</v>
      </c>
      <c r="BM271">
        <v>0</v>
      </c>
      <c r="BN271">
        <v>0</v>
      </c>
      <c r="BO271">
        <v>0</v>
      </c>
      <c r="BP271">
        <v>0</v>
      </c>
      <c r="BQ271">
        <v>0</v>
      </c>
      <c r="BR271">
        <v>0</v>
      </c>
      <c r="BS271">
        <v>0</v>
      </c>
      <c r="BT271">
        <v>0</v>
      </c>
      <c r="BU271">
        <v>0</v>
      </c>
      <c r="BV271">
        <v>0</v>
      </c>
      <c r="BW271">
        <v>0</v>
      </c>
      <c r="BX271">
        <v>455346</v>
      </c>
      <c r="BY271">
        <v>2113074</v>
      </c>
      <c r="BZ271">
        <v>0</v>
      </c>
      <c r="CA271">
        <v>0</v>
      </c>
      <c r="CB271">
        <v>0</v>
      </c>
      <c r="CC271">
        <v>0</v>
      </c>
      <c r="CD271">
        <v>0</v>
      </c>
      <c r="CE271">
        <v>0</v>
      </c>
      <c r="CF271">
        <v>0</v>
      </c>
      <c r="CG271">
        <v>0</v>
      </c>
      <c r="CH271">
        <v>197236</v>
      </c>
      <c r="CI271">
        <v>0</v>
      </c>
      <c r="CJ271">
        <v>0</v>
      </c>
      <c r="CK271">
        <v>0</v>
      </c>
    </row>
    <row r="272" spans="1:89" x14ac:dyDescent="0.3">
      <c r="A272" s="155">
        <v>9016</v>
      </c>
      <c r="B272" t="s">
        <v>1667</v>
      </c>
      <c r="C272" t="s">
        <v>349</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0.55400000000000005</v>
      </c>
      <c r="AA272">
        <v>0</v>
      </c>
      <c r="AB272">
        <v>0</v>
      </c>
      <c r="AC272">
        <v>0</v>
      </c>
      <c r="AD272">
        <v>0</v>
      </c>
      <c r="AE272">
        <v>0</v>
      </c>
      <c r="AF272">
        <v>0.33329999999999999</v>
      </c>
      <c r="AG272">
        <v>0</v>
      </c>
      <c r="AH272">
        <v>0</v>
      </c>
      <c r="AI272">
        <v>0</v>
      </c>
      <c r="AJ272">
        <v>0</v>
      </c>
      <c r="AK272">
        <v>0</v>
      </c>
      <c r="AL272">
        <v>0</v>
      </c>
      <c r="AM272">
        <v>0</v>
      </c>
      <c r="AN272">
        <v>0</v>
      </c>
      <c r="AO272">
        <v>0</v>
      </c>
      <c r="AP272">
        <v>0</v>
      </c>
      <c r="AQ272">
        <v>0.97970000000000002</v>
      </c>
      <c r="AR272">
        <v>0</v>
      </c>
      <c r="AS272">
        <v>0</v>
      </c>
      <c r="AT272">
        <v>0</v>
      </c>
      <c r="AU272">
        <v>0</v>
      </c>
      <c r="AV272">
        <v>0</v>
      </c>
      <c r="AW272">
        <v>0.85270000000000001</v>
      </c>
      <c r="AX272">
        <v>0</v>
      </c>
      <c r="AY272">
        <v>0</v>
      </c>
      <c r="AZ272">
        <v>0</v>
      </c>
      <c r="BA272">
        <v>0</v>
      </c>
      <c r="BB272">
        <v>0</v>
      </c>
      <c r="BC272">
        <v>0.67449999999999999</v>
      </c>
      <c r="BD272">
        <v>0</v>
      </c>
      <c r="BE272">
        <v>0</v>
      </c>
      <c r="BF272">
        <v>0</v>
      </c>
      <c r="BG272">
        <v>0</v>
      </c>
      <c r="BH272">
        <v>0</v>
      </c>
      <c r="BI272">
        <v>0</v>
      </c>
      <c r="BJ272">
        <v>0</v>
      </c>
      <c r="BK272">
        <v>0</v>
      </c>
      <c r="BL272">
        <v>1.9063000000000001</v>
      </c>
      <c r="BM272">
        <v>0</v>
      </c>
      <c r="BN272">
        <v>0</v>
      </c>
      <c r="BO272">
        <v>0</v>
      </c>
      <c r="BP272">
        <v>0</v>
      </c>
      <c r="BQ272">
        <v>0</v>
      </c>
      <c r="BR272">
        <v>0</v>
      </c>
      <c r="BS272">
        <v>0</v>
      </c>
      <c r="BT272">
        <v>0</v>
      </c>
      <c r="BU272">
        <v>0</v>
      </c>
      <c r="BV272">
        <v>0</v>
      </c>
      <c r="BW272">
        <v>0</v>
      </c>
      <c r="BX272">
        <v>0.17130000000000001</v>
      </c>
      <c r="BY272">
        <v>0.16980000000000001</v>
      </c>
      <c r="BZ272">
        <v>0</v>
      </c>
      <c r="CA272">
        <v>0</v>
      </c>
      <c r="CB272">
        <v>0</v>
      </c>
      <c r="CC272">
        <v>0</v>
      </c>
      <c r="CD272">
        <v>0</v>
      </c>
      <c r="CE272">
        <v>0</v>
      </c>
      <c r="CF272">
        <v>0</v>
      </c>
      <c r="CG272">
        <v>0</v>
      </c>
      <c r="CH272">
        <v>3.0110999999999999</v>
      </c>
      <c r="CI272">
        <v>0</v>
      </c>
      <c r="CJ272">
        <v>0</v>
      </c>
      <c r="CK272">
        <v>0</v>
      </c>
    </row>
    <row r="273" spans="1:89" x14ac:dyDescent="0.3">
      <c r="A273" s="155">
        <v>9017</v>
      </c>
      <c r="B273" t="s">
        <v>976</v>
      </c>
      <c r="C273" t="s">
        <v>977</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9.43</v>
      </c>
      <c r="AA273">
        <v>0</v>
      </c>
      <c r="AB273">
        <v>0</v>
      </c>
      <c r="AC273">
        <v>0</v>
      </c>
      <c r="AD273">
        <v>0</v>
      </c>
      <c r="AE273">
        <v>0</v>
      </c>
      <c r="AF273">
        <v>2.7</v>
      </c>
      <c r="AG273">
        <v>0</v>
      </c>
      <c r="AH273">
        <v>0</v>
      </c>
      <c r="AI273">
        <v>0</v>
      </c>
      <c r="AJ273">
        <v>0</v>
      </c>
      <c r="AK273">
        <v>0</v>
      </c>
      <c r="AL273">
        <v>0</v>
      </c>
      <c r="AM273">
        <v>0</v>
      </c>
      <c r="AN273">
        <v>0</v>
      </c>
      <c r="AO273">
        <v>0</v>
      </c>
      <c r="AP273">
        <v>0</v>
      </c>
      <c r="AQ273">
        <v>8.2100000000000009</v>
      </c>
      <c r="AR273">
        <v>0</v>
      </c>
      <c r="AS273">
        <v>0</v>
      </c>
      <c r="AT273">
        <v>0</v>
      </c>
      <c r="AU273">
        <v>0</v>
      </c>
      <c r="AV273">
        <v>0</v>
      </c>
      <c r="AW273">
        <v>6.83</v>
      </c>
      <c r="AX273">
        <v>0</v>
      </c>
      <c r="AY273">
        <v>0</v>
      </c>
      <c r="AZ273">
        <v>0</v>
      </c>
      <c r="BA273">
        <v>0</v>
      </c>
      <c r="BB273">
        <v>0</v>
      </c>
      <c r="BC273">
        <v>10.88</v>
      </c>
      <c r="BD273">
        <v>0</v>
      </c>
      <c r="BE273">
        <v>0</v>
      </c>
      <c r="BF273">
        <v>0</v>
      </c>
      <c r="BG273">
        <v>0</v>
      </c>
      <c r="BH273">
        <v>0</v>
      </c>
      <c r="BI273">
        <v>0</v>
      </c>
      <c r="BJ273">
        <v>0</v>
      </c>
      <c r="BK273">
        <v>0</v>
      </c>
      <c r="BL273">
        <v>18.39</v>
      </c>
      <c r="BM273">
        <v>0</v>
      </c>
      <c r="BN273">
        <v>0</v>
      </c>
      <c r="BO273">
        <v>0</v>
      </c>
      <c r="BP273">
        <v>0</v>
      </c>
      <c r="BQ273">
        <v>0</v>
      </c>
      <c r="BR273">
        <v>0</v>
      </c>
      <c r="BS273">
        <v>0</v>
      </c>
      <c r="BT273">
        <v>0</v>
      </c>
      <c r="BU273">
        <v>0</v>
      </c>
      <c r="BV273">
        <v>0</v>
      </c>
      <c r="BW273">
        <v>0</v>
      </c>
      <c r="BX273">
        <v>1.99</v>
      </c>
      <c r="BY273">
        <v>2.59</v>
      </c>
      <c r="BZ273">
        <v>0</v>
      </c>
      <c r="CA273">
        <v>0</v>
      </c>
      <c r="CB273">
        <v>0</v>
      </c>
      <c r="CC273">
        <v>0</v>
      </c>
      <c r="CD273">
        <v>0</v>
      </c>
      <c r="CE273">
        <v>0</v>
      </c>
      <c r="CF273">
        <v>0</v>
      </c>
      <c r="CG273">
        <v>0</v>
      </c>
      <c r="CH273">
        <v>17.55</v>
      </c>
      <c r="CI273">
        <v>0</v>
      </c>
      <c r="CJ273">
        <v>0</v>
      </c>
      <c r="CK273">
        <v>0</v>
      </c>
    </row>
    <row r="274" spans="1:89" x14ac:dyDescent="0.3">
      <c r="A274" s="155">
        <v>9018</v>
      </c>
      <c r="B274" t="s">
        <v>978</v>
      </c>
      <c r="C274" t="s">
        <v>979</v>
      </c>
      <c r="D274">
        <v>296092</v>
      </c>
      <c r="E274">
        <v>210669</v>
      </c>
      <c r="F274" s="577">
        <v>22098</v>
      </c>
      <c r="G274">
        <v>36223</v>
      </c>
      <c r="H274">
        <v>0</v>
      </c>
      <c r="I274">
        <v>287817</v>
      </c>
      <c r="J274">
        <v>56397</v>
      </c>
      <c r="K274">
        <v>2269765</v>
      </c>
      <c r="L274">
        <v>0</v>
      </c>
      <c r="M274">
        <v>6330524</v>
      </c>
      <c r="N274">
        <v>341348</v>
      </c>
      <c r="O274">
        <v>77561123</v>
      </c>
      <c r="P274">
        <v>1014</v>
      </c>
      <c r="Q274">
        <v>4765</v>
      </c>
      <c r="R274">
        <v>75011</v>
      </c>
      <c r="S274">
        <v>324837</v>
      </c>
      <c r="T274">
        <v>299012</v>
      </c>
      <c r="U274">
        <v>9107</v>
      </c>
      <c r="V274">
        <v>98943</v>
      </c>
      <c r="W274">
        <v>34749</v>
      </c>
      <c r="X274">
        <v>24253666</v>
      </c>
      <c r="Y274">
        <v>386817000</v>
      </c>
      <c r="Z274">
        <v>968355</v>
      </c>
      <c r="AA274">
        <v>46768</v>
      </c>
      <c r="AB274">
        <v>500286</v>
      </c>
      <c r="AC274">
        <v>0</v>
      </c>
      <c r="AD274">
        <v>463076</v>
      </c>
      <c r="AE274">
        <v>205634</v>
      </c>
      <c r="AF274">
        <v>3612903</v>
      </c>
      <c r="AG274">
        <v>2988143</v>
      </c>
      <c r="AH274">
        <v>24823</v>
      </c>
      <c r="AI274">
        <v>964794</v>
      </c>
      <c r="AJ274">
        <v>94346</v>
      </c>
      <c r="AK274">
        <v>5068</v>
      </c>
      <c r="AL274">
        <v>70568</v>
      </c>
      <c r="AM274">
        <v>0</v>
      </c>
      <c r="AN274">
        <v>8520</v>
      </c>
      <c r="AO274">
        <v>0</v>
      </c>
      <c r="AP274">
        <v>1299</v>
      </c>
      <c r="AQ274">
        <v>34874789</v>
      </c>
      <c r="AR274">
        <v>34454</v>
      </c>
      <c r="AS274">
        <v>238585</v>
      </c>
      <c r="AT274">
        <v>2045495</v>
      </c>
      <c r="AU274">
        <v>35530</v>
      </c>
      <c r="AV274">
        <v>2784</v>
      </c>
      <c r="AW274">
        <v>11951108</v>
      </c>
      <c r="AX274">
        <v>7813</v>
      </c>
      <c r="AY274">
        <v>900401</v>
      </c>
      <c r="AZ274">
        <v>302471</v>
      </c>
      <c r="BA274">
        <v>552</v>
      </c>
      <c r="BB274">
        <v>2458</v>
      </c>
      <c r="BC274">
        <v>1391659</v>
      </c>
      <c r="BD274">
        <v>29863</v>
      </c>
      <c r="BE274">
        <v>4111599</v>
      </c>
      <c r="BF274">
        <v>27452</v>
      </c>
      <c r="BG274">
        <v>46289</v>
      </c>
      <c r="BH274">
        <v>137827</v>
      </c>
      <c r="BI274">
        <v>384532</v>
      </c>
      <c r="BJ274">
        <v>36137</v>
      </c>
      <c r="BK274">
        <v>106626</v>
      </c>
      <c r="BL274">
        <v>313272</v>
      </c>
      <c r="BM274">
        <v>87603</v>
      </c>
      <c r="BN274">
        <v>3797623</v>
      </c>
      <c r="BO274">
        <v>4257483</v>
      </c>
      <c r="BP274">
        <v>147478223</v>
      </c>
      <c r="BQ274">
        <v>691</v>
      </c>
      <c r="BR274">
        <v>1259</v>
      </c>
      <c r="BS274">
        <v>103603</v>
      </c>
      <c r="BT274">
        <v>0</v>
      </c>
      <c r="BU274">
        <v>104178</v>
      </c>
      <c r="BV274">
        <v>85629</v>
      </c>
      <c r="BW274">
        <v>2569511</v>
      </c>
      <c r="BX274">
        <v>1474896</v>
      </c>
      <c r="BY274">
        <v>5054329</v>
      </c>
      <c r="BZ274">
        <v>1356077</v>
      </c>
      <c r="CA274">
        <v>47655</v>
      </c>
      <c r="CB274">
        <v>311364</v>
      </c>
      <c r="CC274">
        <v>6857</v>
      </c>
      <c r="CD274">
        <v>19374</v>
      </c>
      <c r="CE274">
        <v>0</v>
      </c>
      <c r="CF274">
        <v>2305334</v>
      </c>
      <c r="CG274">
        <v>3037399</v>
      </c>
      <c r="CH274">
        <v>411678</v>
      </c>
      <c r="CI274">
        <v>946131</v>
      </c>
      <c r="CJ274">
        <v>0</v>
      </c>
      <c r="CK274">
        <v>647</v>
      </c>
    </row>
    <row r="275" spans="1:89" x14ac:dyDescent="0.3">
      <c r="A275" s="155">
        <v>9019</v>
      </c>
      <c r="B275" t="s">
        <v>980</v>
      </c>
      <c r="C275" t="s">
        <v>981</v>
      </c>
      <c r="D275">
        <v>296092</v>
      </c>
      <c r="E275">
        <v>210669</v>
      </c>
      <c r="F275">
        <v>22098</v>
      </c>
      <c r="G275">
        <v>36223</v>
      </c>
      <c r="H275">
        <v>0</v>
      </c>
      <c r="I275">
        <v>287817</v>
      </c>
      <c r="J275">
        <v>56397</v>
      </c>
      <c r="K275">
        <v>2269765</v>
      </c>
      <c r="L275">
        <v>0</v>
      </c>
      <c r="M275">
        <v>6330524</v>
      </c>
      <c r="N275">
        <v>341348</v>
      </c>
      <c r="O275">
        <v>77561123</v>
      </c>
      <c r="P275">
        <v>1014</v>
      </c>
      <c r="Q275">
        <v>4765</v>
      </c>
      <c r="R275">
        <v>75011</v>
      </c>
      <c r="S275">
        <v>324837</v>
      </c>
      <c r="T275">
        <v>299012</v>
      </c>
      <c r="U275">
        <v>9107</v>
      </c>
      <c r="V275">
        <v>98943</v>
      </c>
      <c r="W275">
        <v>34749</v>
      </c>
      <c r="X275">
        <v>24253666</v>
      </c>
      <c r="Y275">
        <v>386817000</v>
      </c>
      <c r="Z275">
        <v>968355</v>
      </c>
      <c r="AA275">
        <v>46768</v>
      </c>
      <c r="AB275">
        <v>500286</v>
      </c>
      <c r="AC275">
        <v>0</v>
      </c>
      <c r="AD275">
        <v>463076</v>
      </c>
      <c r="AE275">
        <v>205634</v>
      </c>
      <c r="AF275">
        <v>3612903</v>
      </c>
      <c r="AG275">
        <v>2988143</v>
      </c>
      <c r="AH275">
        <v>24823</v>
      </c>
      <c r="AI275">
        <v>964794</v>
      </c>
      <c r="AJ275">
        <v>94346</v>
      </c>
      <c r="AK275">
        <v>5068</v>
      </c>
      <c r="AL275">
        <v>70568</v>
      </c>
      <c r="AM275">
        <v>0</v>
      </c>
      <c r="AN275">
        <v>8520</v>
      </c>
      <c r="AO275">
        <v>0</v>
      </c>
      <c r="AP275">
        <v>1299</v>
      </c>
      <c r="AQ275">
        <v>34874789</v>
      </c>
      <c r="AR275">
        <v>34454</v>
      </c>
      <c r="AS275">
        <v>238585</v>
      </c>
      <c r="AT275">
        <v>2045495</v>
      </c>
      <c r="AU275">
        <v>35530</v>
      </c>
      <c r="AV275">
        <v>2784</v>
      </c>
      <c r="AW275">
        <v>11951108</v>
      </c>
      <c r="AX275">
        <v>7813</v>
      </c>
      <c r="AY275">
        <v>900401</v>
      </c>
      <c r="AZ275">
        <v>302471</v>
      </c>
      <c r="BA275">
        <v>552</v>
      </c>
      <c r="BB275">
        <v>2458</v>
      </c>
      <c r="BC275">
        <v>1391659</v>
      </c>
      <c r="BD275">
        <v>29863</v>
      </c>
      <c r="BE275">
        <v>4111599</v>
      </c>
      <c r="BF275">
        <v>27452</v>
      </c>
      <c r="BG275">
        <v>46289</v>
      </c>
      <c r="BH275">
        <v>137827</v>
      </c>
      <c r="BI275">
        <v>384532</v>
      </c>
      <c r="BJ275">
        <v>36137</v>
      </c>
      <c r="BK275">
        <v>106626</v>
      </c>
      <c r="BL275">
        <v>313272</v>
      </c>
      <c r="BM275">
        <v>87603</v>
      </c>
      <c r="BN275">
        <v>3797623</v>
      </c>
      <c r="BO275">
        <v>4257483</v>
      </c>
      <c r="BP275">
        <v>147478223</v>
      </c>
      <c r="BQ275">
        <v>691</v>
      </c>
      <c r="BR275">
        <v>1259</v>
      </c>
      <c r="BS275">
        <v>103603</v>
      </c>
      <c r="BT275">
        <v>0</v>
      </c>
      <c r="BU275">
        <v>104178</v>
      </c>
      <c r="BV275">
        <v>85629</v>
      </c>
      <c r="BW275">
        <v>2569511</v>
      </c>
      <c r="BX275">
        <v>1474896</v>
      </c>
      <c r="BY275">
        <v>5054329</v>
      </c>
      <c r="BZ275">
        <v>1356077</v>
      </c>
      <c r="CA275">
        <v>47655</v>
      </c>
      <c r="CB275">
        <v>311364</v>
      </c>
      <c r="CC275">
        <v>6857</v>
      </c>
      <c r="CD275">
        <v>19374</v>
      </c>
      <c r="CE275">
        <v>0</v>
      </c>
      <c r="CF275">
        <v>2305334</v>
      </c>
      <c r="CG275">
        <v>3037399</v>
      </c>
      <c r="CH275">
        <v>411678</v>
      </c>
      <c r="CI275">
        <v>946131</v>
      </c>
      <c r="CJ275">
        <v>0</v>
      </c>
      <c r="CK275">
        <v>647</v>
      </c>
    </row>
    <row r="276" spans="1:89" s="567" customFormat="1" ht="43.2" x14ac:dyDescent="0.3">
      <c r="A276" s="787"/>
      <c r="B276" s="786" t="s">
        <v>1872</v>
      </c>
      <c r="C276" s="926" t="s">
        <v>1670</v>
      </c>
      <c r="D276" s="786">
        <f>(D106+D135-D3-D4-D5-D8+D191)/(D132+D109+D11-D133-D108-D240)</f>
        <v>5.2877921911636427</v>
      </c>
      <c r="E276" s="786">
        <f t="shared" ref="E276:J276" si="0">(E106+E135-E3-E4-E5-E8+E191)/(E132+E109+E11-E133-E108-E240)</f>
        <v>1.3964617705417086</v>
      </c>
      <c r="F276" s="786">
        <f t="shared" si="0"/>
        <v>2.3463954811654602</v>
      </c>
      <c r="G276" s="786">
        <f t="shared" si="0"/>
        <v>3.0920329256158476</v>
      </c>
      <c r="H276" s="786" t="e">
        <f t="shared" si="0"/>
        <v>#DIV/0!</v>
      </c>
      <c r="I276" s="786">
        <f t="shared" si="0"/>
        <v>0.39891388336312161</v>
      </c>
      <c r="J276" s="786">
        <f t="shared" si="0"/>
        <v>1.0193459863387766</v>
      </c>
      <c r="K276" s="786">
        <f>(L106+L135-L3-L4-L5-L8+L191)/(L132+L109+L11-L133-L108-L240)</f>
        <v>1.5482317381443962</v>
      </c>
      <c r="L276" s="786">
        <f t="shared" ref="L276:T276" si="1">(L106+L135-L3-L4-L5-L8+L191)/(L132+L109+L11-L133-L108-L240)</f>
        <v>1.5482317381443962</v>
      </c>
      <c r="M276" s="786">
        <f t="shared" si="1"/>
        <v>0.39042293310909465</v>
      </c>
      <c r="N276" s="786">
        <f t="shared" si="1"/>
        <v>0.62139958292936626</v>
      </c>
      <c r="O276" s="786">
        <f t="shared" si="1"/>
        <v>0.64011574620110689</v>
      </c>
      <c r="P276" s="786">
        <f t="shared" si="1"/>
        <v>2.024322446143155</v>
      </c>
      <c r="Q276" s="786">
        <f t="shared" si="1"/>
        <v>1.6406473470727532</v>
      </c>
      <c r="R276" s="786">
        <f t="shared" si="1"/>
        <v>0.92879666865872101</v>
      </c>
      <c r="S276" s="786">
        <f t="shared" si="1"/>
        <v>1.2762871340403368</v>
      </c>
      <c r="T276" s="786">
        <f t="shared" si="1"/>
        <v>0.56995630010603582</v>
      </c>
      <c r="U276" s="786"/>
      <c r="V276" s="786">
        <f t="shared" ref="V276:AU276" si="2">(V106+V135-V3-V4-V5-V8+V191)/(V132+V109+V11-V133-V108-V240)</f>
        <v>1.4263656129143978</v>
      </c>
      <c r="W276" s="786">
        <f t="shared" si="2"/>
        <v>1.2114739636455412</v>
      </c>
      <c r="X276" s="786">
        <f t="shared" si="2"/>
        <v>0.53453243864953603</v>
      </c>
      <c r="Y276" s="786">
        <f t="shared" si="2"/>
        <v>0.44335886955718862</v>
      </c>
      <c r="Z276" s="786">
        <f t="shared" si="2"/>
        <v>0.73013284915082655</v>
      </c>
      <c r="AA276" s="786">
        <f t="shared" si="2"/>
        <v>0.94859509078097703</v>
      </c>
      <c r="AB276" s="786">
        <f t="shared" si="2"/>
        <v>0.62926928911251212</v>
      </c>
      <c r="AC276" s="786" t="e">
        <f t="shared" si="2"/>
        <v>#DIV/0!</v>
      </c>
      <c r="AD276" s="786">
        <f t="shared" si="2"/>
        <v>0.88012129271665063</v>
      </c>
      <c r="AE276" s="786">
        <f t="shared" si="2"/>
        <v>4.1209661604528334</v>
      </c>
      <c r="AF276" s="786">
        <f t="shared" si="2"/>
        <v>0.6470642382659676</v>
      </c>
      <c r="AG276" s="786">
        <f t="shared" si="2"/>
        <v>1.1070895230415154</v>
      </c>
      <c r="AH276" s="786">
        <f t="shared" si="2"/>
        <v>1.7974475600037818</v>
      </c>
      <c r="AI276" s="786">
        <f t="shared" si="2"/>
        <v>0.53500600275203869</v>
      </c>
      <c r="AJ276" s="786">
        <f t="shared" si="2"/>
        <v>1.1416323619097404</v>
      </c>
      <c r="AK276" s="786">
        <f t="shared" si="2"/>
        <v>1.1163551297730854</v>
      </c>
      <c r="AL276" s="786">
        <f t="shared" si="2"/>
        <v>2.1008645947721507</v>
      </c>
      <c r="AM276" s="786" t="e">
        <f t="shared" si="2"/>
        <v>#DIV/0!</v>
      </c>
      <c r="AN276" s="786">
        <f t="shared" si="2"/>
        <v>1.8330239387454688</v>
      </c>
      <c r="AO276" s="786" t="e">
        <f t="shared" si="2"/>
        <v>#DIV/0!</v>
      </c>
      <c r="AP276" s="786">
        <f t="shared" si="2"/>
        <v>3.25419422487498</v>
      </c>
      <c r="AQ276" s="786">
        <f t="shared" si="2"/>
        <v>0.57061832730773665</v>
      </c>
      <c r="AR276" s="786">
        <f t="shared" si="2"/>
        <v>2.3972320898800215</v>
      </c>
      <c r="AS276" s="786">
        <f t="shared" si="2"/>
        <v>3.5712553467766575</v>
      </c>
      <c r="AT276" s="786">
        <f t="shared" si="2"/>
        <v>0.88022103887537506</v>
      </c>
      <c r="AU276" s="786">
        <f t="shared" si="2"/>
        <v>0.74152607517093494</v>
      </c>
      <c r="AV276" s="786">
        <f>(AW106+AW135-AW3-AW4-AW5-AW8+AW191)/(AW132+AW109+AW11-AW133-AW108-AW240)</f>
        <v>0.89769598005530005</v>
      </c>
      <c r="AW276" s="786">
        <f t="shared" ref="AW276:BR276" si="3">(AW106+AW135-AW3-AW4-AW5-AW8+AW191)/(AW132+AW109+AW11-AW133-AW108-AW240)</f>
        <v>0.89769598005530005</v>
      </c>
      <c r="AX276" s="786">
        <f t="shared" si="3"/>
        <v>0.42147404052378046</v>
      </c>
      <c r="AY276" s="786">
        <f t="shared" si="3"/>
        <v>0.53995064858396891</v>
      </c>
      <c r="AZ276" s="786">
        <f t="shared" si="3"/>
        <v>2.2019418618248228</v>
      </c>
      <c r="BA276" s="786">
        <f t="shared" si="3"/>
        <v>3.2228574449944811</v>
      </c>
      <c r="BB276" s="786">
        <f t="shared" si="3"/>
        <v>2.6735848522852645</v>
      </c>
      <c r="BC276" s="786">
        <f t="shared" si="3"/>
        <v>0.85768692158202253</v>
      </c>
      <c r="BD276" s="786">
        <f t="shared" si="3"/>
        <v>2.2493086808003038</v>
      </c>
      <c r="BE276" s="786">
        <f t="shared" si="3"/>
        <v>0.77571319367378522</v>
      </c>
      <c r="BF276" s="786">
        <f t="shared" si="3"/>
        <v>1.6701182188141124</v>
      </c>
      <c r="BG276" s="786">
        <f t="shared" si="3"/>
        <v>1.3392714434726791</v>
      </c>
      <c r="BH276" s="786">
        <f t="shared" si="3"/>
        <v>1.5840621011163385</v>
      </c>
      <c r="BI276" s="786">
        <f t="shared" si="3"/>
        <v>0.73345675798856569</v>
      </c>
      <c r="BJ276" s="786">
        <f t="shared" si="3"/>
        <v>6.8430742725321574</v>
      </c>
      <c r="BK276" s="786">
        <f t="shared" si="3"/>
        <v>5.5913143412996323E-2</v>
      </c>
      <c r="BL276" s="786">
        <f t="shared" si="3"/>
        <v>1.7606685304421055</v>
      </c>
      <c r="BM276" s="786">
        <f t="shared" si="3"/>
        <v>2.467083011496495</v>
      </c>
      <c r="BN276" s="786">
        <f t="shared" si="3"/>
        <v>0.98929622783700411</v>
      </c>
      <c r="BO276" s="786">
        <f t="shared" si="3"/>
        <v>0.38089443952582797</v>
      </c>
      <c r="BP276" s="786">
        <f t="shared" si="3"/>
        <v>0.53212382010429793</v>
      </c>
      <c r="BQ276" s="786">
        <f t="shared" si="3"/>
        <v>1.1939492795836733</v>
      </c>
      <c r="BR276" s="786">
        <f t="shared" si="3"/>
        <v>2.2563277809687921</v>
      </c>
      <c r="BS276" s="786">
        <f t="shared" ref="BS276:CK276" si="4">(BS106+BS135-BS3-BS4-BS5-BS8+BS191)/(BS132+BS109+BS11-BS133-BS108-BS240)</f>
        <v>2.4365195899861574</v>
      </c>
      <c r="BT276" s="786" t="e">
        <f t="shared" si="4"/>
        <v>#DIV/0!</v>
      </c>
      <c r="BU276" s="786">
        <f t="shared" si="4"/>
        <v>0.64314403476840121</v>
      </c>
      <c r="BV276" s="786">
        <f t="shared" si="4"/>
        <v>4.2023850639061591</v>
      </c>
      <c r="BW276" s="786">
        <f t="shared" si="4"/>
        <v>0.58258168360784301</v>
      </c>
      <c r="BX276" s="786">
        <f t="shared" si="4"/>
        <v>0.44885284391836583</v>
      </c>
      <c r="BY276" s="786">
        <f t="shared" si="4"/>
        <v>0.15695287067095662</v>
      </c>
      <c r="BZ276" s="786">
        <f t="shared" si="4"/>
        <v>0.28056855289821769</v>
      </c>
      <c r="CA276" s="786">
        <f t="shared" si="4"/>
        <v>2.3513570718009862</v>
      </c>
      <c r="CB276" s="786">
        <f t="shared" si="4"/>
        <v>0.98094664430450385</v>
      </c>
      <c r="CC276" s="786">
        <f t="shared" si="4"/>
        <v>2.7609255361644562</v>
      </c>
      <c r="CD276" s="786">
        <f t="shared" si="4"/>
        <v>0.84719052800164329</v>
      </c>
      <c r="CE276" s="786" t="e">
        <f t="shared" si="4"/>
        <v>#DIV/0!</v>
      </c>
      <c r="CF276" s="786">
        <f t="shared" si="4"/>
        <v>1.0421953880199271</v>
      </c>
      <c r="CG276" s="786">
        <f t="shared" si="4"/>
        <v>0.22392103846160288</v>
      </c>
      <c r="CH276" s="786">
        <f t="shared" si="4"/>
        <v>1.6096741381704024E-2</v>
      </c>
      <c r="CI276" s="786">
        <f t="shared" si="4"/>
        <v>1.1094533286733634</v>
      </c>
      <c r="CJ276" s="786" t="e">
        <f t="shared" si="4"/>
        <v>#DIV/0!</v>
      </c>
      <c r="CK276" s="786">
        <f t="shared" si="4"/>
        <v>1.0050922558031876</v>
      </c>
    </row>
    <row r="277" spans="1:89" x14ac:dyDescent="0.3">
      <c r="A277" s="566" t="s">
        <v>1882</v>
      </c>
      <c r="B277" s="567" t="s">
        <v>1881</v>
      </c>
      <c r="C277" s="567"/>
      <c r="D277" s="972">
        <f t="shared" ref="D277:AI277" si="5">1-((D123+D124+D125+D126)/(D115+D116+D117+D118))</f>
        <v>0.60136411947412372</v>
      </c>
      <c r="E277" s="972" t="e">
        <f t="shared" si="5"/>
        <v>#DIV/0!</v>
      </c>
      <c r="F277" s="972">
        <f t="shared" si="5"/>
        <v>0.65728748751294264</v>
      </c>
      <c r="G277" s="972">
        <f t="shared" si="5"/>
        <v>0.27826845184518456</v>
      </c>
      <c r="H277" s="972" t="e">
        <f t="shared" si="5"/>
        <v>#DIV/0!</v>
      </c>
      <c r="I277" s="972">
        <f t="shared" si="5"/>
        <v>0.6509742254007217</v>
      </c>
      <c r="J277" s="972" t="e">
        <f t="shared" si="5"/>
        <v>#DIV/0!</v>
      </c>
      <c r="K277" s="972">
        <f t="shared" si="5"/>
        <v>0.63799756639586591</v>
      </c>
      <c r="L277" s="972" t="e">
        <f t="shared" si="5"/>
        <v>#DIV/0!</v>
      </c>
      <c r="M277" s="972" t="e">
        <f t="shared" si="5"/>
        <v>#DIV/0!</v>
      </c>
      <c r="N277" s="972">
        <f t="shared" si="5"/>
        <v>0.58390758233253637</v>
      </c>
      <c r="O277" s="972">
        <f t="shared" si="5"/>
        <v>0.6782330161736928</v>
      </c>
      <c r="P277" s="972" t="e">
        <f t="shared" si="5"/>
        <v>#DIV/0!</v>
      </c>
      <c r="Q277" s="972" t="e">
        <f t="shared" si="5"/>
        <v>#DIV/0!</v>
      </c>
      <c r="R277" s="972" t="e">
        <f t="shared" si="5"/>
        <v>#DIV/0!</v>
      </c>
      <c r="S277" s="972" t="e">
        <f t="shared" si="5"/>
        <v>#DIV/0!</v>
      </c>
      <c r="T277" s="972" t="e">
        <f t="shared" si="5"/>
        <v>#DIV/0!</v>
      </c>
      <c r="U277" s="972" t="e">
        <f t="shared" si="5"/>
        <v>#DIV/0!</v>
      </c>
      <c r="V277" s="972">
        <f t="shared" si="5"/>
        <v>0.64077064103333448</v>
      </c>
      <c r="W277" s="972">
        <f t="shared" si="5"/>
        <v>0.68297530291605524</v>
      </c>
      <c r="X277" s="972" t="e">
        <f t="shared" si="5"/>
        <v>#DIV/0!</v>
      </c>
      <c r="Y277" s="972">
        <f t="shared" si="5"/>
        <v>0.65346658945770597</v>
      </c>
      <c r="Z277" s="972">
        <f t="shared" si="5"/>
        <v>0.45530605737915308</v>
      </c>
      <c r="AA277" s="972">
        <f t="shared" si="5"/>
        <v>0.72182566794545466</v>
      </c>
      <c r="AB277" s="972" t="e">
        <f t="shared" si="5"/>
        <v>#DIV/0!</v>
      </c>
      <c r="AC277" s="972" t="e">
        <f t="shared" si="5"/>
        <v>#DIV/0!</v>
      </c>
      <c r="AD277" s="972">
        <f t="shared" si="5"/>
        <v>0.39186873417983892</v>
      </c>
      <c r="AE277" s="972">
        <f t="shared" si="5"/>
        <v>0.58347117398301651</v>
      </c>
      <c r="AF277" s="972">
        <f t="shared" si="5"/>
        <v>0.7404914360871937</v>
      </c>
      <c r="AG277" s="972" t="e">
        <f t="shared" si="5"/>
        <v>#DIV/0!</v>
      </c>
      <c r="AH277" s="972">
        <f t="shared" si="5"/>
        <v>0.45989979630196198</v>
      </c>
      <c r="AI277" s="972">
        <f t="shared" si="5"/>
        <v>0.41651269550866166</v>
      </c>
      <c r="AJ277" s="972">
        <f t="shared" ref="AJ277:BR277" si="6">1-((AJ123+AJ124+AJ125+AJ126)/(AJ115+AJ116+AJ117+AJ118))</f>
        <v>0.61439785728651486</v>
      </c>
      <c r="AK277" s="972">
        <f t="shared" si="6"/>
        <v>0.15994663827792688</v>
      </c>
      <c r="AL277" s="972">
        <f t="shared" si="6"/>
        <v>0.516921850694118</v>
      </c>
      <c r="AM277" s="972" t="e">
        <f t="shared" si="6"/>
        <v>#DIV/0!</v>
      </c>
      <c r="AN277" s="972">
        <f t="shared" si="6"/>
        <v>0.65152346536462769</v>
      </c>
      <c r="AO277" s="972" t="e">
        <f t="shared" si="6"/>
        <v>#DIV/0!</v>
      </c>
      <c r="AP277" s="972" t="e">
        <f t="shared" si="6"/>
        <v>#DIV/0!</v>
      </c>
      <c r="AQ277" s="972">
        <f t="shared" si="6"/>
        <v>0.54061218135140077</v>
      </c>
      <c r="AR277" s="972" t="e">
        <f t="shared" si="6"/>
        <v>#DIV/0!</v>
      </c>
      <c r="AS277" s="972">
        <f t="shared" si="6"/>
        <v>0.47757588330417911</v>
      </c>
      <c r="AT277" s="972">
        <f t="shared" si="6"/>
        <v>0.54082842136389986</v>
      </c>
      <c r="AU277" s="972">
        <f t="shared" si="6"/>
        <v>0.53097014035069112</v>
      </c>
      <c r="AV277" s="972" t="e">
        <f t="shared" si="6"/>
        <v>#DIV/0!</v>
      </c>
      <c r="AW277" s="972" t="e">
        <f t="shared" si="6"/>
        <v>#DIV/0!</v>
      </c>
      <c r="AX277" s="972">
        <f t="shared" si="6"/>
        <v>0.69575252092374773</v>
      </c>
      <c r="AY277" s="972" t="e">
        <f t="shared" si="6"/>
        <v>#DIV/0!</v>
      </c>
      <c r="AZ277" s="972" t="e">
        <f t="shared" si="6"/>
        <v>#DIV/0!</v>
      </c>
      <c r="BA277" s="972">
        <f t="shared" si="6"/>
        <v>0.61206132302487026</v>
      </c>
      <c r="BB277" s="972">
        <f t="shared" si="6"/>
        <v>0.56595784167579644</v>
      </c>
      <c r="BC277" s="972">
        <f t="shared" si="6"/>
        <v>0.47046249654025452</v>
      </c>
      <c r="BD277" s="972" t="e">
        <f t="shared" si="6"/>
        <v>#DIV/0!</v>
      </c>
      <c r="BE277" s="972" t="e">
        <f t="shared" si="6"/>
        <v>#DIV/0!</v>
      </c>
      <c r="BF277" s="972">
        <f t="shared" si="6"/>
        <v>0.52625161486226091</v>
      </c>
      <c r="BG277" s="972" t="e">
        <f t="shared" si="6"/>
        <v>#DIV/0!</v>
      </c>
      <c r="BH277" s="972" t="e">
        <f t="shared" si="6"/>
        <v>#DIV/0!</v>
      </c>
      <c r="BI277" s="972">
        <f t="shared" si="6"/>
        <v>0.6499790752318827</v>
      </c>
      <c r="BJ277" s="972" t="e">
        <f t="shared" si="6"/>
        <v>#DIV/0!</v>
      </c>
      <c r="BK277" s="972">
        <f t="shared" si="6"/>
        <v>0.74123311970914929</v>
      </c>
      <c r="BL277" s="972">
        <f t="shared" si="6"/>
        <v>0.10677946253839721</v>
      </c>
      <c r="BM277" s="972">
        <f t="shared" si="6"/>
        <v>0.56889431947763758</v>
      </c>
      <c r="BN277" s="972" t="e">
        <f t="shared" si="6"/>
        <v>#DIV/0!</v>
      </c>
      <c r="BO277" s="972">
        <f t="shared" si="6"/>
        <v>0.52873505060239889</v>
      </c>
      <c r="BP277" s="972">
        <f t="shared" si="6"/>
        <v>0.54125323190916519</v>
      </c>
      <c r="BQ277" s="972" t="e">
        <f t="shared" si="6"/>
        <v>#DIV/0!</v>
      </c>
      <c r="BR277" s="972">
        <f t="shared" si="6"/>
        <v>0.26492613145608812</v>
      </c>
      <c r="BS277" s="972">
        <f t="shared" ref="BS277:CK277" si="7">1-((BS123+BS124+BS125+BS126)/(BS115+BS116+BS117+BS118))</f>
        <v>0.3445283023419633</v>
      </c>
      <c r="BT277" s="972" t="e">
        <f t="shared" si="7"/>
        <v>#DIV/0!</v>
      </c>
      <c r="BU277" s="972">
        <f t="shared" si="7"/>
        <v>0.60525123929426439</v>
      </c>
      <c r="BV277" s="972" t="e">
        <f t="shared" si="7"/>
        <v>#DIV/0!</v>
      </c>
      <c r="BW277" s="972">
        <f t="shared" si="7"/>
        <v>0.46824088496509886</v>
      </c>
      <c r="BX277" s="972">
        <f t="shared" si="7"/>
        <v>0.30480502072135929</v>
      </c>
      <c r="BY277" s="972">
        <f t="shared" si="7"/>
        <v>0.54367985787906892</v>
      </c>
      <c r="BZ277" s="972">
        <f t="shared" si="7"/>
        <v>0.46607036660376155</v>
      </c>
      <c r="CA277" s="972">
        <f t="shared" si="7"/>
        <v>0.43568828587725394</v>
      </c>
      <c r="CB277" s="972">
        <f t="shared" si="7"/>
        <v>0.53361112477736106</v>
      </c>
      <c r="CC277" s="972">
        <f t="shared" si="7"/>
        <v>0.58716941887812624</v>
      </c>
      <c r="CD277" s="972">
        <f t="shared" si="7"/>
        <v>0.7178458334968465</v>
      </c>
      <c r="CE277" s="972" t="e">
        <f t="shared" si="7"/>
        <v>#DIV/0!</v>
      </c>
      <c r="CF277" s="972">
        <f t="shared" si="7"/>
        <v>0.50665176556907643</v>
      </c>
      <c r="CG277" s="972" t="e">
        <f t="shared" si="7"/>
        <v>#DIV/0!</v>
      </c>
      <c r="CH277" s="972">
        <f t="shared" si="7"/>
        <v>0.43693347719211117</v>
      </c>
      <c r="CI277" s="972" t="e">
        <f t="shared" si="7"/>
        <v>#DIV/0!</v>
      </c>
      <c r="CJ277" s="972" t="e">
        <f t="shared" si="7"/>
        <v>#DIV/0!</v>
      </c>
      <c r="CK277" s="972">
        <f t="shared" si="7"/>
        <v>0.5670259048291193</v>
      </c>
    </row>
    <row r="280" spans="1:89" x14ac:dyDescent="0.3">
      <c r="D280" s="1061">
        <v>45772004.009999998</v>
      </c>
      <c r="E280" s="1061">
        <v>35600952.780000001</v>
      </c>
      <c r="F280" s="1061">
        <v>34728327.699999996</v>
      </c>
      <c r="G280" s="1061">
        <v>14175638.529999999</v>
      </c>
      <c r="H280" s="1061">
        <v>0.01</v>
      </c>
      <c r="I280" s="1061">
        <v>225662021.08999997</v>
      </c>
      <c r="J280" s="1061">
        <v>44105632.07</v>
      </c>
      <c r="K280" s="1061">
        <v>671016925.97000003</v>
      </c>
      <c r="L280" s="1061">
        <v>85441314.649999991</v>
      </c>
      <c r="M280" s="1061">
        <v>604287104.47000003</v>
      </c>
      <c r="N280" s="1061">
        <v>187209535.69999999</v>
      </c>
      <c r="O280" s="1061">
        <v>14129844789.130001</v>
      </c>
      <c r="P280" s="1061">
        <v>1540185.93</v>
      </c>
      <c r="Q280" s="1061">
        <v>5419549.6200000001</v>
      </c>
      <c r="R280" s="1061">
        <v>45601732.560000002</v>
      </c>
      <c r="S280" s="1061">
        <v>23096442.309999999</v>
      </c>
      <c r="T280" s="1061">
        <v>39470910.909999996</v>
      </c>
      <c r="U280" s="1061">
        <v>5806859.1399999997</v>
      </c>
      <c r="V280" s="1061">
        <v>18063003.560000002</v>
      </c>
      <c r="W280" s="1061">
        <v>106513242.96000001</v>
      </c>
      <c r="X280" s="1061">
        <v>1998709635.5699999</v>
      </c>
      <c r="Y280" s="1061">
        <v>67842275895.19001</v>
      </c>
      <c r="Z280" s="1061">
        <v>339477073.35999995</v>
      </c>
      <c r="AA280" s="1061">
        <v>32845497.400000002</v>
      </c>
      <c r="AB280" s="1061">
        <v>84371714.030000001</v>
      </c>
      <c r="AC280" s="1061">
        <v>0.01</v>
      </c>
      <c r="AD280" s="1061">
        <v>171590924.28999999</v>
      </c>
      <c r="AE280" s="1061">
        <v>57608306.029999994</v>
      </c>
      <c r="AF280" s="1061">
        <v>1769522579.5899999</v>
      </c>
      <c r="AG280" s="1061">
        <v>327926739.47999996</v>
      </c>
      <c r="AH280" s="1061">
        <v>79376561.160000011</v>
      </c>
      <c r="AI280" s="1061">
        <v>456654644.34999996</v>
      </c>
      <c r="AJ280" s="1061">
        <v>53477019.07</v>
      </c>
      <c r="AK280" s="1061">
        <v>43752819.289999999</v>
      </c>
      <c r="AL280" s="1061">
        <v>27847307.060000002</v>
      </c>
      <c r="AM280" s="1061">
        <v>0.01</v>
      </c>
      <c r="AN280" s="1061">
        <v>88305949.719999999</v>
      </c>
      <c r="AO280" s="1061">
        <v>0.01</v>
      </c>
      <c r="AP280" s="1061">
        <v>1110358.97</v>
      </c>
      <c r="AQ280" s="1061">
        <v>8133820486.6200008</v>
      </c>
      <c r="AR280" s="1061">
        <v>4208218.1099999994</v>
      </c>
      <c r="AS280" s="1061">
        <v>37181860.819999993</v>
      </c>
      <c r="AT280" s="1061">
        <v>644074456.92000008</v>
      </c>
      <c r="AU280" s="1061">
        <v>37827537.850000001</v>
      </c>
      <c r="AV280" s="1061">
        <v>14824535.379999999</v>
      </c>
      <c r="AW280" s="1061">
        <v>987820591.98000002</v>
      </c>
      <c r="AX280" s="1061">
        <v>27405990.850000001</v>
      </c>
      <c r="AY280" s="1061">
        <v>142768558.85999998</v>
      </c>
      <c r="AZ280" s="1061">
        <v>181757014.36000001</v>
      </c>
      <c r="BA280" s="1061">
        <v>33088513.600000001</v>
      </c>
      <c r="BB280" s="1061">
        <v>10126269.76</v>
      </c>
      <c r="BC280" s="1061">
        <v>292330633.64999998</v>
      </c>
      <c r="BD280" s="1061">
        <v>2345148.79</v>
      </c>
      <c r="BE280" s="1061">
        <v>485248998.22000003</v>
      </c>
      <c r="BF280" s="1061">
        <v>114092785.01000001</v>
      </c>
      <c r="BG280" s="1061">
        <v>11193145.550000001</v>
      </c>
      <c r="BH280" s="1061">
        <v>9066967.3199999984</v>
      </c>
      <c r="BI280" s="1061">
        <v>108835285.74000001</v>
      </c>
      <c r="BJ280" s="1061">
        <v>27344939</v>
      </c>
      <c r="BK280" s="1061">
        <v>39554387.530000001</v>
      </c>
      <c r="BL280" s="1061">
        <v>113807008.00999999</v>
      </c>
      <c r="BM280" s="1061">
        <v>29437255.870000001</v>
      </c>
      <c r="BN280" s="1061">
        <v>250434828.56</v>
      </c>
      <c r="BO280" s="1061">
        <v>453541759.16999996</v>
      </c>
      <c r="BP280" s="1061">
        <v>14913367813.210001</v>
      </c>
      <c r="BQ280" s="1061">
        <v>1613737.66</v>
      </c>
      <c r="BR280" s="1061">
        <v>6818097.5800000001</v>
      </c>
      <c r="BS280" s="1061">
        <v>23657842.940000001</v>
      </c>
      <c r="BT280" s="1061">
        <v>0</v>
      </c>
      <c r="BU280" s="1061">
        <v>64201404.389999993</v>
      </c>
      <c r="BV280" s="1061">
        <v>75098397.50999999</v>
      </c>
      <c r="BW280" s="1061">
        <v>818317219.16999996</v>
      </c>
      <c r="BX280" s="1061">
        <v>306743189.77999997</v>
      </c>
      <c r="BY280" s="1061">
        <v>1184922566.28</v>
      </c>
      <c r="BZ280" s="1061">
        <v>265195182.76999998</v>
      </c>
      <c r="CA280" s="1061">
        <v>26387915.930000003</v>
      </c>
      <c r="CB280" s="1061">
        <v>193716691.28999999</v>
      </c>
      <c r="CC280" s="1061">
        <v>35738799.289999999</v>
      </c>
      <c r="CD280" s="1061">
        <v>49803235.219999999</v>
      </c>
      <c r="CE280" s="1061">
        <v>0.01</v>
      </c>
      <c r="CF280" s="1061">
        <v>283519509.44999999</v>
      </c>
      <c r="CG280" s="1061">
        <v>214465690.79999998</v>
      </c>
      <c r="CH280" s="1061">
        <v>180875037.13</v>
      </c>
      <c r="CI280" s="1061">
        <v>85537630.849999994</v>
      </c>
      <c r="CJ280" s="1061">
        <v>0.01</v>
      </c>
      <c r="CK280" s="1061">
        <v>10033721.069999998</v>
      </c>
    </row>
    <row r="281" spans="1:89" x14ac:dyDescent="0.3">
      <c r="V281" s="577"/>
      <c r="Z281" s="577"/>
      <c r="AU281" s="577"/>
      <c r="BS281" s="570"/>
    </row>
    <row r="282" spans="1:89" x14ac:dyDescent="0.3">
      <c r="D282" s="1051">
        <f>D257-D280</f>
        <v>0</v>
      </c>
      <c r="E282" s="1051">
        <f t="shared" ref="E282:BP282" si="8">E257-E280</f>
        <v>-2.499997615814209E-3</v>
      </c>
      <c r="F282" s="1051">
        <f t="shared" si="8"/>
        <v>0</v>
      </c>
      <c r="G282" s="1051">
        <f t="shared" si="8"/>
        <v>0</v>
      </c>
      <c r="H282" s="1057">
        <f t="shared" si="8"/>
        <v>50112</v>
      </c>
      <c r="I282" s="1051">
        <f t="shared" si="8"/>
        <v>0</v>
      </c>
      <c r="J282" s="1051">
        <f t="shared" si="8"/>
        <v>2.499997615814209E-3</v>
      </c>
      <c r="K282" s="1051">
        <f t="shared" si="8"/>
        <v>-4.999995231628418E-3</v>
      </c>
      <c r="L282" s="1051">
        <f t="shared" si="8"/>
        <v>1.6000121831893921E-3</v>
      </c>
      <c r="M282" s="1051">
        <f t="shared" si="8"/>
        <v>4.8999786376953125E-3</v>
      </c>
      <c r="N282" s="1051">
        <f t="shared" si="8"/>
        <v>-4.999995231628418E-3</v>
      </c>
      <c r="O282" s="1051">
        <f t="shared" si="8"/>
        <v>-5.001068115234375E-3</v>
      </c>
      <c r="P282" s="1051">
        <f t="shared" si="8"/>
        <v>0</v>
      </c>
      <c r="Q282" s="1051">
        <f t="shared" si="8"/>
        <v>0</v>
      </c>
      <c r="R282" s="1051">
        <f t="shared" si="8"/>
        <v>0</v>
      </c>
      <c r="S282" s="1051">
        <f t="shared" si="8"/>
        <v>0</v>
      </c>
      <c r="T282" s="1051">
        <f t="shared" si="8"/>
        <v>-2.499997615814209E-3</v>
      </c>
      <c r="U282" s="1051">
        <f t="shared" si="8"/>
        <v>0</v>
      </c>
      <c r="V282" s="1051">
        <f t="shared" si="8"/>
        <v>0</v>
      </c>
      <c r="W282" s="1051">
        <f t="shared" si="8"/>
        <v>0</v>
      </c>
      <c r="X282" s="1051">
        <f t="shared" si="8"/>
        <v>2.0000934600830078E-3</v>
      </c>
      <c r="Y282" s="1051">
        <f t="shared" si="8"/>
        <v>0</v>
      </c>
      <c r="Z282" s="1051">
        <f t="shared" si="8"/>
        <v>0</v>
      </c>
      <c r="AA282" s="1051">
        <f t="shared" si="8"/>
        <v>0</v>
      </c>
      <c r="AB282" s="1051">
        <f t="shared" si="8"/>
        <v>0</v>
      </c>
      <c r="AC282" s="1057">
        <f t="shared" si="8"/>
        <v>50128</v>
      </c>
      <c r="AD282" s="1051">
        <f t="shared" si="8"/>
        <v>0</v>
      </c>
      <c r="AE282" s="1051">
        <f t="shared" si="8"/>
        <v>0</v>
      </c>
      <c r="AF282" s="1051">
        <f t="shared" si="8"/>
        <v>0</v>
      </c>
      <c r="AG282" s="1051">
        <f t="shared" si="8"/>
        <v>-4.9999356269836426E-3</v>
      </c>
      <c r="AH282" s="1051">
        <f t="shared" si="8"/>
        <v>0</v>
      </c>
      <c r="AI282" s="1051">
        <f t="shared" si="8"/>
        <v>0</v>
      </c>
      <c r="AJ282" s="1051">
        <f t="shared" si="8"/>
        <v>0</v>
      </c>
      <c r="AK282" s="1051">
        <f t="shared" si="8"/>
        <v>0</v>
      </c>
      <c r="AL282" s="1051">
        <f t="shared" si="8"/>
        <v>0</v>
      </c>
      <c r="AM282" s="1057">
        <f t="shared" si="8"/>
        <v>50136</v>
      </c>
      <c r="AN282" s="1051">
        <f t="shared" si="8"/>
        <v>1.0000020265579224E-3</v>
      </c>
      <c r="AO282" s="1057">
        <f t="shared" si="8"/>
        <v>50138</v>
      </c>
      <c r="AP282" s="1051">
        <f t="shared" si="8"/>
        <v>0</v>
      </c>
      <c r="AQ282" s="1051">
        <f t="shared" si="8"/>
        <v>0</v>
      </c>
      <c r="AR282" s="1051">
        <f t="shared" si="8"/>
        <v>0</v>
      </c>
      <c r="AS282" s="1051">
        <f t="shared" si="8"/>
        <v>0</v>
      </c>
      <c r="AT282" s="1051">
        <f t="shared" si="8"/>
        <v>0</v>
      </c>
      <c r="AU282" s="1051">
        <f t="shared" si="8"/>
        <v>0</v>
      </c>
      <c r="AV282" s="1051">
        <f t="shared" si="8"/>
        <v>0</v>
      </c>
      <c r="AW282" s="1051">
        <f t="shared" si="8"/>
        <v>1.999974250793457E-3</v>
      </c>
      <c r="AX282" s="1051">
        <f t="shared" si="8"/>
        <v>0</v>
      </c>
      <c r="AY282" s="1051">
        <f t="shared" si="8"/>
        <v>-4.999995231628418E-3</v>
      </c>
      <c r="AZ282" s="1057">
        <f t="shared" si="8"/>
        <v>-5.0000250339508057E-3</v>
      </c>
      <c r="BA282" s="1051">
        <f t="shared" si="8"/>
        <v>0</v>
      </c>
      <c r="BB282" s="1051">
        <f t="shared" si="8"/>
        <v>0</v>
      </c>
      <c r="BC282" s="1051">
        <f t="shared" si="8"/>
        <v>0</v>
      </c>
      <c r="BD282" s="1051">
        <f t="shared" si="8"/>
        <v>0</v>
      </c>
      <c r="BE282" s="1057">
        <f t="shared" si="8"/>
        <v>-5.0000548362731934E-3</v>
      </c>
      <c r="BF282" s="1051">
        <f t="shared" si="8"/>
        <v>0</v>
      </c>
      <c r="BG282" s="1051">
        <f t="shared" si="8"/>
        <v>0</v>
      </c>
      <c r="BH282" s="1051">
        <f t="shared" si="8"/>
        <v>0</v>
      </c>
      <c r="BI282" s="1051">
        <f t="shared" si="8"/>
        <v>0</v>
      </c>
      <c r="BJ282" s="1051">
        <f t="shared" si="8"/>
        <v>0</v>
      </c>
      <c r="BK282" s="1051">
        <f t="shared" si="8"/>
        <v>0</v>
      </c>
      <c r="BL282" s="1051">
        <f t="shared" si="8"/>
        <v>0</v>
      </c>
      <c r="BM282" s="1051">
        <f t="shared" si="8"/>
        <v>0</v>
      </c>
      <c r="BN282" s="1051">
        <f t="shared" si="8"/>
        <v>0</v>
      </c>
      <c r="BO282" s="1051">
        <f t="shared" si="8"/>
        <v>0</v>
      </c>
      <c r="BP282" s="1057">
        <f t="shared" si="8"/>
        <v>-6.3018798828125E-3</v>
      </c>
      <c r="BQ282" s="1051">
        <f t="shared" ref="BQ282:CK282" si="9">BQ257-BQ280</f>
        <v>0</v>
      </c>
      <c r="BR282" s="1051">
        <f t="shared" si="9"/>
        <v>0</v>
      </c>
      <c r="BS282" s="1051">
        <f t="shared" si="9"/>
        <v>0</v>
      </c>
      <c r="BT282" s="1051">
        <f t="shared" si="9"/>
        <v>50162</v>
      </c>
      <c r="BU282" s="1051">
        <f t="shared" si="9"/>
        <v>0</v>
      </c>
      <c r="BV282" s="1051">
        <f t="shared" si="9"/>
        <v>0</v>
      </c>
      <c r="BW282" s="1051">
        <f t="shared" si="9"/>
        <v>0</v>
      </c>
      <c r="BX282" s="1051">
        <f t="shared" si="9"/>
        <v>0</v>
      </c>
      <c r="BY282" s="1051">
        <f t="shared" si="9"/>
        <v>-4.9998760223388672E-3</v>
      </c>
      <c r="BZ282" s="1051">
        <f t="shared" si="9"/>
        <v>-4.999995231628418E-3</v>
      </c>
      <c r="CA282" s="1051">
        <f t="shared" si="9"/>
        <v>0</v>
      </c>
      <c r="CB282" s="1051">
        <f t="shared" si="9"/>
        <v>-4.5000016689300537E-3</v>
      </c>
      <c r="CC282" s="1051">
        <f t="shared" si="9"/>
        <v>0</v>
      </c>
      <c r="CD282" s="1051">
        <f t="shared" si="9"/>
        <v>0</v>
      </c>
      <c r="CE282" s="1057">
        <f t="shared" si="9"/>
        <v>50172</v>
      </c>
      <c r="CF282" s="1051">
        <f t="shared" si="9"/>
        <v>0</v>
      </c>
      <c r="CG282" s="1051">
        <f t="shared" si="9"/>
        <v>-4.999995231628418E-3</v>
      </c>
      <c r="CH282" s="1051">
        <f t="shared" si="9"/>
        <v>-2.9999911785125732E-3</v>
      </c>
      <c r="CI282" s="1051">
        <f t="shared" si="9"/>
        <v>0</v>
      </c>
      <c r="CJ282" s="1057">
        <f t="shared" si="9"/>
        <v>50177</v>
      </c>
      <c r="CK282" s="1051">
        <f t="shared" si="9"/>
        <v>0</v>
      </c>
    </row>
  </sheetData>
  <sheetProtection algorithmName="SHA-512" hashValue="daSQaFGovlW9F0M95TSx5n/8oKP8a2KuybiPg9jMmtdmWHJs00cP2d0sVVkbb3VF0TMxbAcW5bRNbELVDBy3vA==" saltValue="9UBpv+VmXvcvAvkb/twWkQ==" spinCount="100000" sheet="1" objects="1" scenario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T95"/>
  <sheetViews>
    <sheetView workbookViewId="0">
      <selection activeCell="H11" sqref="H11"/>
    </sheetView>
  </sheetViews>
  <sheetFormatPr defaultColWidth="9.109375" defaultRowHeight="14.4" x14ac:dyDescent="0.3"/>
  <cols>
    <col min="1" max="1" width="28.5546875" style="382" customWidth="1"/>
    <col min="2" max="12" width="9.109375" style="382"/>
    <col min="13" max="13" width="21.6640625" style="382" customWidth="1"/>
    <col min="14" max="14" width="16.88671875" style="382" customWidth="1"/>
    <col min="15" max="16" width="9.109375" style="382"/>
    <col min="17" max="17" width="18.109375" style="382" customWidth="1"/>
    <col min="18" max="18" width="11" style="382" customWidth="1"/>
    <col min="19" max="16384" width="9.109375" style="382"/>
  </cols>
  <sheetData>
    <row r="1" spans="1:20" x14ac:dyDescent="0.3">
      <c r="A1" s="382" t="s">
        <v>798</v>
      </c>
    </row>
    <row r="2" spans="1:20" ht="15" thickBot="1" x14ac:dyDescent="0.35">
      <c r="A2" s="380" t="s">
        <v>1136</v>
      </c>
      <c r="B2" s="156">
        <v>50508</v>
      </c>
      <c r="C2" s="378">
        <v>50</v>
      </c>
      <c r="D2" s="50"/>
      <c r="E2" s="50"/>
      <c r="G2" s="382">
        <v>100</v>
      </c>
      <c r="I2" s="382" t="s">
        <v>330</v>
      </c>
    </row>
    <row r="3" spans="1:20" ht="15" customHeight="1" thickBot="1" x14ac:dyDescent="0.35">
      <c r="A3" s="381" t="s">
        <v>1137</v>
      </c>
      <c r="B3" s="156">
        <v>50465</v>
      </c>
      <c r="C3" s="378">
        <v>50</v>
      </c>
      <c r="D3" s="49"/>
      <c r="E3" s="50"/>
      <c r="G3" s="382">
        <v>200</v>
      </c>
      <c r="I3" s="382" t="s">
        <v>331</v>
      </c>
      <c r="O3" s="384"/>
      <c r="P3" s="384"/>
      <c r="S3" s="384"/>
      <c r="T3" s="384"/>
    </row>
    <row r="4" spans="1:20" ht="15" customHeight="1" thickBot="1" x14ac:dyDescent="0.35">
      <c r="A4" s="381" t="s">
        <v>1138</v>
      </c>
      <c r="B4" s="156">
        <v>50060</v>
      </c>
      <c r="C4" s="378">
        <v>50</v>
      </c>
      <c r="D4" s="49"/>
      <c r="E4" s="50"/>
      <c r="G4" s="382">
        <v>300</v>
      </c>
      <c r="I4" s="382" t="s">
        <v>332</v>
      </c>
      <c r="O4" s="384"/>
      <c r="P4" s="384"/>
      <c r="S4" s="384"/>
      <c r="T4" s="384"/>
    </row>
    <row r="5" spans="1:20" ht="15" thickBot="1" x14ac:dyDescent="0.35">
      <c r="A5" s="381" t="s">
        <v>1139</v>
      </c>
      <c r="B5" s="156">
        <v>50061</v>
      </c>
      <c r="C5" s="378">
        <v>50</v>
      </c>
      <c r="D5" s="49"/>
      <c r="E5" s="50"/>
      <c r="G5" s="382">
        <v>400</v>
      </c>
      <c r="O5" s="384"/>
      <c r="P5" s="384"/>
      <c r="S5" s="384"/>
      <c r="T5" s="384"/>
    </row>
    <row r="6" spans="1:20" ht="15" thickBot="1" x14ac:dyDescent="0.35">
      <c r="A6" s="381" t="s">
        <v>1140</v>
      </c>
      <c r="B6" s="156">
        <v>50062</v>
      </c>
      <c r="C6" s="378">
        <v>50</v>
      </c>
      <c r="D6" s="49"/>
      <c r="E6" s="50"/>
      <c r="G6" s="382">
        <v>500</v>
      </c>
      <c r="O6" s="384"/>
      <c r="P6" s="384"/>
      <c r="S6" s="384"/>
      <c r="T6" s="384"/>
    </row>
    <row r="7" spans="1:20" ht="15" thickBot="1" x14ac:dyDescent="0.35">
      <c r="A7" s="381" t="s">
        <v>1141</v>
      </c>
      <c r="B7" s="156">
        <v>50063</v>
      </c>
      <c r="C7" s="378">
        <v>50</v>
      </c>
      <c r="D7" s="49"/>
      <c r="E7" s="50"/>
      <c r="O7" s="384"/>
      <c r="P7" s="384"/>
      <c r="S7" s="384"/>
      <c r="T7" s="384"/>
    </row>
    <row r="8" spans="1:20" ht="15" thickBot="1" x14ac:dyDescent="0.35">
      <c r="A8" s="381" t="s">
        <v>1142</v>
      </c>
      <c r="B8" s="156">
        <v>50064</v>
      </c>
      <c r="C8" s="378">
        <v>50</v>
      </c>
      <c r="D8" s="49"/>
      <c r="E8" s="50"/>
      <c r="O8" s="384"/>
      <c r="P8" s="384"/>
      <c r="S8" s="384"/>
      <c r="T8" s="384"/>
    </row>
    <row r="9" spans="1:20" ht="15" thickBot="1" x14ac:dyDescent="0.35">
      <c r="A9" s="381" t="s">
        <v>1143</v>
      </c>
      <c r="B9" s="156">
        <v>50065</v>
      </c>
      <c r="C9" s="378">
        <v>50</v>
      </c>
      <c r="D9" s="49"/>
      <c r="E9" s="50"/>
      <c r="O9" s="384"/>
      <c r="P9" s="384"/>
      <c r="S9" s="384"/>
      <c r="T9" s="384"/>
    </row>
    <row r="10" spans="1:20" ht="15" thickBot="1" x14ac:dyDescent="0.35">
      <c r="A10" s="381" t="s">
        <v>1144</v>
      </c>
      <c r="B10" s="156">
        <v>50551</v>
      </c>
      <c r="C10" s="378">
        <v>50</v>
      </c>
      <c r="D10" s="49"/>
      <c r="E10" s="50"/>
      <c r="O10" s="384"/>
      <c r="P10" s="384"/>
      <c r="S10" s="384"/>
      <c r="T10" s="384"/>
    </row>
    <row r="11" spans="1:20" ht="15" thickBot="1" x14ac:dyDescent="0.35">
      <c r="A11" s="381" t="s">
        <v>1145</v>
      </c>
      <c r="B11" s="156">
        <v>50066</v>
      </c>
      <c r="C11" s="378">
        <v>50</v>
      </c>
      <c r="D11" s="49"/>
      <c r="E11" s="50"/>
      <c r="O11" s="384"/>
      <c r="P11" s="384"/>
      <c r="S11" s="384"/>
      <c r="T11" s="384"/>
    </row>
    <row r="12" spans="1:20" ht="15" thickBot="1" x14ac:dyDescent="0.35">
      <c r="A12" s="381" t="s">
        <v>1146</v>
      </c>
      <c r="B12" s="156">
        <v>50067</v>
      </c>
      <c r="C12" s="378">
        <v>50</v>
      </c>
      <c r="D12" s="49"/>
      <c r="E12" s="50"/>
      <c r="O12" s="384"/>
      <c r="P12" s="384"/>
      <c r="S12" s="384"/>
      <c r="T12" s="384"/>
    </row>
    <row r="13" spans="1:20" ht="15" thickBot="1" x14ac:dyDescent="0.35">
      <c r="A13" s="381" t="s">
        <v>1147</v>
      </c>
      <c r="B13" s="156">
        <v>50068</v>
      </c>
      <c r="C13" s="378">
        <v>50</v>
      </c>
      <c r="D13" s="49"/>
      <c r="E13" s="50"/>
      <c r="O13" s="384"/>
      <c r="P13" s="384"/>
      <c r="S13" s="384"/>
      <c r="T13" s="384"/>
    </row>
    <row r="14" spans="1:20" ht="15" thickBot="1" x14ac:dyDescent="0.35">
      <c r="A14" s="381" t="s">
        <v>805</v>
      </c>
      <c r="B14" s="156">
        <v>50466</v>
      </c>
      <c r="C14" s="378">
        <v>50</v>
      </c>
      <c r="D14" s="49"/>
      <c r="E14" s="50"/>
      <c r="O14" s="384"/>
      <c r="P14" s="384"/>
      <c r="S14" s="384"/>
      <c r="T14" s="384"/>
    </row>
    <row r="15" spans="1:20" ht="15" thickBot="1" x14ac:dyDescent="0.35">
      <c r="A15" s="381" t="s">
        <v>484</v>
      </c>
      <c r="B15" s="156">
        <v>50069</v>
      </c>
      <c r="C15" s="378">
        <v>50</v>
      </c>
      <c r="D15" s="49"/>
      <c r="E15" s="50"/>
      <c r="O15" s="384"/>
      <c r="P15" s="384"/>
      <c r="S15" s="384"/>
      <c r="T15" s="384"/>
    </row>
    <row r="16" spans="1:20" ht="15" thickBot="1" x14ac:dyDescent="0.35">
      <c r="A16" s="381" t="s">
        <v>1148</v>
      </c>
      <c r="B16" s="156">
        <v>50450</v>
      </c>
      <c r="C16" s="378">
        <v>50</v>
      </c>
      <c r="D16" s="49"/>
      <c r="E16" s="50"/>
      <c r="O16" s="384"/>
      <c r="P16" s="384"/>
      <c r="S16" s="384"/>
      <c r="T16" s="384"/>
    </row>
    <row r="17" spans="1:20" ht="15" thickBot="1" x14ac:dyDescent="0.35">
      <c r="A17" s="381" t="s">
        <v>1149</v>
      </c>
      <c r="B17" s="156">
        <v>50070</v>
      </c>
      <c r="C17" s="378">
        <v>50</v>
      </c>
      <c r="D17" s="49"/>
      <c r="E17" s="50"/>
      <c r="O17" s="384"/>
      <c r="P17" s="384"/>
      <c r="S17" s="384"/>
      <c r="T17" s="384"/>
    </row>
    <row r="18" spans="1:20" ht="15" thickBot="1" x14ac:dyDescent="0.35">
      <c r="A18" s="381" t="s">
        <v>1150</v>
      </c>
      <c r="B18" s="156">
        <v>50509</v>
      </c>
      <c r="C18" s="378">
        <v>50</v>
      </c>
      <c r="D18" s="49"/>
      <c r="E18" s="50"/>
      <c r="O18" s="384"/>
      <c r="P18" s="384"/>
      <c r="S18" s="384"/>
      <c r="T18" s="384"/>
    </row>
    <row r="19" spans="1:20" ht="15" thickBot="1" x14ac:dyDescent="0.35">
      <c r="A19" s="381" t="s">
        <v>1151</v>
      </c>
      <c r="B19" s="156">
        <v>50539</v>
      </c>
      <c r="C19" s="378">
        <v>50</v>
      </c>
      <c r="D19" s="49"/>
      <c r="E19" s="50"/>
      <c r="O19" s="384"/>
      <c r="P19" s="384"/>
      <c r="S19" s="384"/>
      <c r="T19" s="384"/>
    </row>
    <row r="20" spans="1:20" ht="15" thickBot="1" x14ac:dyDescent="0.35">
      <c r="A20" s="381" t="s">
        <v>485</v>
      </c>
      <c r="B20" s="156">
        <v>50467</v>
      </c>
      <c r="C20" s="378">
        <v>50</v>
      </c>
      <c r="D20" s="49"/>
      <c r="E20" s="50"/>
      <c r="O20" s="384"/>
      <c r="P20" s="384"/>
      <c r="S20" s="384"/>
      <c r="T20" s="384"/>
    </row>
    <row r="21" spans="1:20" ht="15" thickBot="1" x14ac:dyDescent="0.35">
      <c r="A21" s="381" t="s">
        <v>1152</v>
      </c>
      <c r="B21" s="156">
        <v>50072</v>
      </c>
      <c r="C21" s="378">
        <v>50</v>
      </c>
      <c r="D21" s="49"/>
      <c r="E21" s="50"/>
      <c r="O21" s="384"/>
      <c r="P21" s="384"/>
      <c r="S21" s="384"/>
      <c r="T21" s="384"/>
    </row>
    <row r="22" spans="1:20" ht="15" thickBot="1" x14ac:dyDescent="0.35">
      <c r="A22" s="381" t="s">
        <v>392</v>
      </c>
      <c r="B22" s="156">
        <v>50074</v>
      </c>
      <c r="C22" s="378">
        <v>50</v>
      </c>
      <c r="D22" s="49"/>
      <c r="E22" s="50"/>
      <c r="O22" s="384"/>
      <c r="P22" s="384"/>
      <c r="S22" s="384"/>
      <c r="T22" s="384"/>
    </row>
    <row r="23" spans="1:20" ht="15" thickBot="1" x14ac:dyDescent="0.35">
      <c r="A23" s="381" t="s">
        <v>393</v>
      </c>
      <c r="B23" s="156">
        <v>50075</v>
      </c>
      <c r="C23" s="378">
        <v>50</v>
      </c>
      <c r="D23" s="49"/>
      <c r="E23" s="50"/>
      <c r="O23" s="384"/>
      <c r="P23" s="384"/>
      <c r="S23" s="384"/>
      <c r="T23" s="384"/>
    </row>
    <row r="24" spans="1:20" ht="15" thickBot="1" x14ac:dyDescent="0.35">
      <c r="A24" s="381" t="s">
        <v>1153</v>
      </c>
      <c r="B24" s="156">
        <v>50076</v>
      </c>
      <c r="C24" s="378">
        <v>50</v>
      </c>
      <c r="D24" s="49"/>
      <c r="E24" s="50"/>
      <c r="O24" s="384"/>
      <c r="P24" s="384"/>
      <c r="S24" s="384"/>
      <c r="T24" s="384"/>
    </row>
    <row r="25" spans="1:20" ht="15" thickBot="1" x14ac:dyDescent="0.35">
      <c r="A25" s="381" t="s">
        <v>486</v>
      </c>
      <c r="B25" s="156">
        <v>50510</v>
      </c>
      <c r="C25" s="378">
        <v>50</v>
      </c>
      <c r="D25" s="49"/>
      <c r="E25" s="50"/>
      <c r="O25" s="384"/>
      <c r="P25" s="384"/>
      <c r="S25" s="384"/>
      <c r="T25" s="384"/>
    </row>
    <row r="26" spans="1:20" ht="15" thickBot="1" x14ac:dyDescent="0.35">
      <c r="A26" s="381" t="s">
        <v>1154</v>
      </c>
      <c r="B26" s="156">
        <v>50077</v>
      </c>
      <c r="C26" s="378">
        <v>50</v>
      </c>
      <c r="D26" s="49"/>
      <c r="E26" s="50"/>
      <c r="O26" s="384"/>
      <c r="P26" s="384"/>
      <c r="S26" s="384"/>
      <c r="T26" s="384"/>
    </row>
    <row r="27" spans="1:20" ht="15" thickBot="1" x14ac:dyDescent="0.35">
      <c r="A27" s="381" t="s">
        <v>806</v>
      </c>
      <c r="B27" s="156">
        <v>50078</v>
      </c>
      <c r="C27" s="378">
        <v>50</v>
      </c>
      <c r="D27" s="49"/>
      <c r="E27" s="50"/>
      <c r="O27" s="384"/>
      <c r="P27" s="384"/>
      <c r="S27" s="384"/>
      <c r="T27" s="384"/>
    </row>
    <row r="28" spans="1:20" ht="15" thickBot="1" x14ac:dyDescent="0.35">
      <c r="A28" s="381" t="s">
        <v>1155</v>
      </c>
      <c r="B28" s="156">
        <v>50079</v>
      </c>
      <c r="C28" s="378">
        <v>50</v>
      </c>
      <c r="D28" s="49"/>
      <c r="E28" s="50"/>
      <c r="O28" s="384"/>
      <c r="P28" s="384"/>
      <c r="S28" s="384"/>
      <c r="T28" s="384"/>
    </row>
    <row r="29" spans="1:20" ht="15" thickBot="1" x14ac:dyDescent="0.35">
      <c r="A29" s="381" t="s">
        <v>807</v>
      </c>
      <c r="B29" s="156">
        <v>50080</v>
      </c>
      <c r="C29" s="378">
        <v>50</v>
      </c>
      <c r="D29" s="49"/>
      <c r="E29" s="50"/>
      <c r="O29" s="384"/>
      <c r="P29" s="384"/>
      <c r="S29" s="384"/>
      <c r="T29" s="384"/>
    </row>
    <row r="30" spans="1:20" ht="15" thickBot="1" x14ac:dyDescent="0.35">
      <c r="A30" s="381" t="s">
        <v>1156</v>
      </c>
      <c r="B30" s="156">
        <v>50081</v>
      </c>
      <c r="C30" s="378">
        <v>50</v>
      </c>
      <c r="D30" s="49"/>
      <c r="E30" s="50"/>
      <c r="O30" s="384"/>
      <c r="P30" s="384"/>
      <c r="S30" s="384"/>
      <c r="T30" s="384"/>
    </row>
    <row r="31" spans="1:20" ht="15" thickBot="1" x14ac:dyDescent="0.35">
      <c r="A31" s="381" t="s">
        <v>1157</v>
      </c>
      <c r="B31" s="156">
        <v>50502</v>
      </c>
      <c r="C31" s="378">
        <v>50</v>
      </c>
      <c r="D31" s="49"/>
      <c r="E31" s="50"/>
      <c r="O31" s="384"/>
      <c r="P31" s="384"/>
      <c r="S31" s="384"/>
      <c r="T31" s="384"/>
    </row>
    <row r="32" spans="1:20" ht="15" thickBot="1" x14ac:dyDescent="0.35">
      <c r="A32" s="381" t="s">
        <v>1158</v>
      </c>
      <c r="B32" s="156">
        <v>50082</v>
      </c>
      <c r="C32" s="378">
        <v>50</v>
      </c>
      <c r="D32" s="49"/>
      <c r="E32" s="50"/>
      <c r="O32" s="384"/>
      <c r="P32" s="384"/>
      <c r="S32" s="384"/>
      <c r="T32" s="384"/>
    </row>
    <row r="33" spans="1:20" ht="15" thickBot="1" x14ac:dyDescent="0.35">
      <c r="A33" s="381" t="s">
        <v>1159</v>
      </c>
      <c r="B33" s="156">
        <v>50083</v>
      </c>
      <c r="C33" s="378">
        <v>50</v>
      </c>
      <c r="D33" s="49"/>
      <c r="E33" s="50"/>
      <c r="O33" s="384"/>
      <c r="P33" s="384"/>
      <c r="S33" s="384"/>
      <c r="T33" s="384"/>
    </row>
    <row r="34" spans="1:20" ht="15" thickBot="1" x14ac:dyDescent="0.35">
      <c r="A34" s="381" t="s">
        <v>1160</v>
      </c>
      <c r="B34" s="156">
        <v>50084</v>
      </c>
      <c r="C34" s="378">
        <v>50</v>
      </c>
      <c r="D34" s="49"/>
      <c r="E34" s="50"/>
      <c r="O34" s="384"/>
      <c r="P34" s="384"/>
      <c r="S34" s="384"/>
      <c r="T34" s="384"/>
    </row>
    <row r="35" spans="1:20" ht="15" thickBot="1" x14ac:dyDescent="0.35">
      <c r="A35" s="381" t="s">
        <v>1161</v>
      </c>
      <c r="B35" s="156">
        <v>50085</v>
      </c>
      <c r="C35" s="378">
        <v>50</v>
      </c>
      <c r="D35" s="49"/>
      <c r="E35" s="50"/>
      <c r="O35" s="384"/>
      <c r="P35" s="384"/>
      <c r="S35" s="384"/>
      <c r="T35" s="384"/>
    </row>
    <row r="36" spans="1:20" ht="15" thickBot="1" x14ac:dyDescent="0.35">
      <c r="A36" s="381" t="s">
        <v>808</v>
      </c>
      <c r="B36" s="156">
        <v>50468</v>
      </c>
      <c r="C36" s="378">
        <v>50</v>
      </c>
      <c r="D36" s="49"/>
      <c r="E36" s="50"/>
      <c r="O36" s="384"/>
      <c r="P36" s="384"/>
      <c r="S36" s="384"/>
      <c r="T36" s="384"/>
    </row>
    <row r="37" spans="1:20" ht="15" thickBot="1" x14ac:dyDescent="0.35">
      <c r="A37" s="381" t="s">
        <v>487</v>
      </c>
      <c r="B37" s="156">
        <v>50086</v>
      </c>
      <c r="C37" s="378">
        <v>50</v>
      </c>
      <c r="D37" s="49"/>
      <c r="E37" s="50"/>
      <c r="O37" s="384"/>
      <c r="P37" s="384"/>
      <c r="S37" s="384"/>
      <c r="T37" s="384"/>
    </row>
    <row r="38" spans="1:20" ht="15" thickBot="1" x14ac:dyDescent="0.35">
      <c r="A38" s="381" t="s">
        <v>488</v>
      </c>
      <c r="B38" s="156">
        <v>50087</v>
      </c>
      <c r="C38" s="378">
        <v>50</v>
      </c>
      <c r="D38" s="49"/>
      <c r="E38" s="50"/>
      <c r="O38" s="384"/>
      <c r="P38" s="384"/>
      <c r="S38" s="384"/>
      <c r="T38" s="384"/>
    </row>
    <row r="39" spans="1:20" ht="15" thickBot="1" x14ac:dyDescent="0.35">
      <c r="A39" s="381" t="s">
        <v>1162</v>
      </c>
      <c r="B39" s="156">
        <v>50088</v>
      </c>
      <c r="C39" s="378">
        <v>50</v>
      </c>
      <c r="D39" s="49"/>
      <c r="E39" s="50"/>
      <c r="O39" s="384"/>
      <c r="P39" s="384"/>
      <c r="S39" s="384"/>
      <c r="T39" s="384"/>
    </row>
    <row r="40" spans="1:20" ht="15" thickBot="1" x14ac:dyDescent="0.35">
      <c r="A40" s="381" t="s">
        <v>1163</v>
      </c>
      <c r="B40" s="156">
        <v>50089</v>
      </c>
      <c r="C40" s="378">
        <v>50</v>
      </c>
      <c r="D40" s="49"/>
      <c r="E40" s="50"/>
      <c r="O40" s="384"/>
      <c r="P40" s="384"/>
      <c r="S40" s="384"/>
      <c r="T40" s="384"/>
    </row>
    <row r="41" spans="1:20" ht="15" thickBot="1" x14ac:dyDescent="0.35">
      <c r="A41" s="381" t="s">
        <v>1164</v>
      </c>
      <c r="B41" s="156">
        <v>50090</v>
      </c>
      <c r="C41" s="378">
        <v>50</v>
      </c>
      <c r="D41" s="49"/>
      <c r="E41" s="50"/>
      <c r="O41" s="384"/>
      <c r="P41" s="384"/>
      <c r="S41" s="384"/>
      <c r="T41" s="384"/>
    </row>
    <row r="42" spans="1:20" ht="15" thickBot="1" x14ac:dyDescent="0.35">
      <c r="A42" s="381" t="s">
        <v>809</v>
      </c>
      <c r="B42" s="156">
        <v>50091</v>
      </c>
      <c r="C42" s="378">
        <v>50</v>
      </c>
      <c r="D42" s="49"/>
      <c r="E42" s="50"/>
      <c r="O42" s="384"/>
      <c r="P42" s="384"/>
      <c r="S42" s="384"/>
      <c r="T42" s="384"/>
    </row>
    <row r="43" spans="1:20" ht="15" thickBot="1" x14ac:dyDescent="0.35">
      <c r="A43" s="381" t="s">
        <v>1165</v>
      </c>
      <c r="B43" s="156">
        <v>50511</v>
      </c>
      <c r="C43" s="378">
        <v>50</v>
      </c>
      <c r="D43" s="49"/>
      <c r="E43" s="50"/>
      <c r="O43" s="384"/>
      <c r="P43" s="384"/>
      <c r="S43" s="384"/>
      <c r="T43" s="384"/>
    </row>
    <row r="44" spans="1:20" ht="15" thickBot="1" x14ac:dyDescent="0.35">
      <c r="A44" s="381" t="s">
        <v>1166</v>
      </c>
      <c r="B44" s="156">
        <v>50092</v>
      </c>
      <c r="C44" s="378">
        <v>50</v>
      </c>
      <c r="D44" s="49"/>
      <c r="E44" s="50"/>
      <c r="O44" s="384"/>
      <c r="P44" s="384"/>
      <c r="S44" s="384"/>
      <c r="T44" s="384"/>
    </row>
    <row r="45" spans="1:20" ht="15" thickBot="1" x14ac:dyDescent="0.35">
      <c r="A45" s="381" t="s">
        <v>1167</v>
      </c>
      <c r="B45" s="156">
        <v>50093</v>
      </c>
      <c r="C45" s="378">
        <v>50</v>
      </c>
      <c r="D45" s="49"/>
      <c r="E45" s="50"/>
      <c r="O45" s="384"/>
      <c r="P45" s="384"/>
      <c r="S45" s="384"/>
      <c r="T45" s="384"/>
    </row>
    <row r="46" spans="1:20" ht="15" thickBot="1" x14ac:dyDescent="0.35">
      <c r="A46" s="381" t="s">
        <v>1168</v>
      </c>
      <c r="B46" s="156">
        <v>50512</v>
      </c>
      <c r="C46" s="378">
        <v>50</v>
      </c>
      <c r="D46" s="49"/>
      <c r="E46" s="50"/>
      <c r="O46" s="384"/>
      <c r="P46" s="384"/>
      <c r="S46" s="384"/>
      <c r="T46" s="384"/>
    </row>
    <row r="47" spans="1:20" ht="15" thickBot="1" x14ac:dyDescent="0.35">
      <c r="A47" s="381" t="s">
        <v>1169</v>
      </c>
      <c r="B47" s="156">
        <v>50094</v>
      </c>
      <c r="C47" s="378">
        <v>50</v>
      </c>
      <c r="D47" s="49"/>
      <c r="E47" s="50"/>
      <c r="O47" s="384"/>
      <c r="P47" s="384"/>
      <c r="S47" s="384"/>
      <c r="T47" s="384"/>
    </row>
    <row r="48" spans="1:20" ht="15" thickBot="1" x14ac:dyDescent="0.35">
      <c r="A48" s="381" t="s">
        <v>1170</v>
      </c>
      <c r="B48" s="156">
        <v>50095</v>
      </c>
      <c r="C48" s="378">
        <v>50</v>
      </c>
      <c r="D48" s="49"/>
      <c r="E48" s="50"/>
      <c r="O48" s="384"/>
      <c r="P48" s="384"/>
      <c r="S48" s="384"/>
      <c r="T48" s="384"/>
    </row>
    <row r="49" spans="1:20" ht="15" thickBot="1" x14ac:dyDescent="0.35">
      <c r="A49" s="381" t="s">
        <v>1171</v>
      </c>
      <c r="B49" s="156">
        <v>50096</v>
      </c>
      <c r="C49" s="378">
        <v>50</v>
      </c>
      <c r="D49" s="49"/>
      <c r="E49" s="50"/>
      <c r="O49" s="384"/>
      <c r="P49" s="384"/>
      <c r="S49" s="384"/>
      <c r="T49" s="384"/>
    </row>
    <row r="50" spans="1:20" ht="15" thickBot="1" x14ac:dyDescent="0.35">
      <c r="A50" s="381" t="s">
        <v>1172</v>
      </c>
      <c r="B50" s="156">
        <v>50097</v>
      </c>
      <c r="C50" s="378">
        <v>50</v>
      </c>
      <c r="D50" s="49"/>
      <c r="E50" s="50"/>
      <c r="O50" s="384"/>
      <c r="P50" s="384"/>
      <c r="S50" s="384"/>
      <c r="T50" s="384"/>
    </row>
    <row r="51" spans="1:20" ht="15" thickBot="1" x14ac:dyDescent="0.35">
      <c r="A51" s="381" t="s">
        <v>810</v>
      </c>
      <c r="B51" s="156">
        <v>50098</v>
      </c>
      <c r="C51" s="378">
        <v>50</v>
      </c>
      <c r="D51" s="49"/>
      <c r="E51" s="50"/>
      <c r="O51" s="384"/>
      <c r="P51" s="384"/>
      <c r="S51" s="384"/>
      <c r="T51" s="384"/>
    </row>
    <row r="52" spans="1:20" ht="15" thickBot="1" x14ac:dyDescent="0.35">
      <c r="A52" s="381" t="s">
        <v>1173</v>
      </c>
      <c r="B52" s="156">
        <v>50099</v>
      </c>
      <c r="C52" s="378">
        <v>50</v>
      </c>
      <c r="D52" s="49"/>
      <c r="E52" s="50"/>
      <c r="O52" s="384"/>
      <c r="P52" s="384"/>
      <c r="S52" s="384"/>
      <c r="T52" s="384"/>
    </row>
    <row r="53" spans="1:20" ht="15" thickBot="1" x14ac:dyDescent="0.35">
      <c r="A53" s="381" t="s">
        <v>811</v>
      </c>
      <c r="B53" s="156">
        <v>50100</v>
      </c>
      <c r="C53" s="378">
        <v>50</v>
      </c>
      <c r="D53" s="49"/>
      <c r="E53" s="50"/>
      <c r="O53" s="384"/>
      <c r="P53" s="384"/>
      <c r="S53" s="384"/>
      <c r="T53" s="384"/>
    </row>
    <row r="54" spans="1:20" ht="15" thickBot="1" x14ac:dyDescent="0.35">
      <c r="A54" s="381" t="s">
        <v>1174</v>
      </c>
      <c r="B54" s="156">
        <v>50101</v>
      </c>
      <c r="C54" s="378">
        <v>50</v>
      </c>
      <c r="D54" s="49"/>
      <c r="E54" s="50"/>
      <c r="O54" s="384"/>
      <c r="P54" s="384"/>
      <c r="S54" s="384"/>
      <c r="T54" s="384"/>
    </row>
    <row r="55" spans="1:20" ht="15" thickBot="1" x14ac:dyDescent="0.35">
      <c r="A55" s="381" t="s">
        <v>1175</v>
      </c>
      <c r="B55" s="156">
        <v>50102</v>
      </c>
      <c r="C55" s="378">
        <v>50</v>
      </c>
      <c r="D55" s="49"/>
      <c r="E55" s="50"/>
      <c r="O55" s="384"/>
      <c r="P55" s="384"/>
      <c r="S55" s="384"/>
      <c r="T55" s="384"/>
    </row>
    <row r="56" spans="1:20" ht="15" thickBot="1" x14ac:dyDescent="0.35">
      <c r="A56" s="381" t="s">
        <v>1176</v>
      </c>
      <c r="B56" s="156">
        <v>50103</v>
      </c>
      <c r="C56" s="378">
        <v>50</v>
      </c>
      <c r="D56" s="49"/>
      <c r="E56" s="50"/>
      <c r="O56" s="384"/>
      <c r="P56" s="384"/>
      <c r="S56" s="384"/>
      <c r="T56" s="384"/>
    </row>
    <row r="57" spans="1:20" ht="15" thickBot="1" x14ac:dyDescent="0.35">
      <c r="A57" s="381" t="s">
        <v>1177</v>
      </c>
      <c r="B57" s="156">
        <v>50104</v>
      </c>
      <c r="C57" s="378">
        <v>50</v>
      </c>
      <c r="D57" s="49"/>
      <c r="E57" s="50"/>
      <c r="O57" s="384"/>
      <c r="P57" s="384"/>
      <c r="S57" s="384"/>
      <c r="T57" s="384"/>
    </row>
    <row r="58" spans="1:20" ht="15" thickBot="1" x14ac:dyDescent="0.35">
      <c r="A58" s="381" t="s">
        <v>489</v>
      </c>
      <c r="B58" s="156">
        <v>50513</v>
      </c>
      <c r="C58" s="378">
        <v>50</v>
      </c>
      <c r="D58" s="49"/>
      <c r="E58" s="50"/>
      <c r="O58" s="384"/>
      <c r="P58" s="384"/>
      <c r="S58" s="384"/>
      <c r="T58" s="384"/>
    </row>
    <row r="59" spans="1:20" ht="15" thickBot="1" x14ac:dyDescent="0.35">
      <c r="A59" s="381" t="s">
        <v>1178</v>
      </c>
      <c r="B59" s="156">
        <v>50105</v>
      </c>
      <c r="C59" s="378">
        <v>50</v>
      </c>
      <c r="D59" s="49"/>
      <c r="E59" s="50"/>
      <c r="O59" s="384"/>
      <c r="P59" s="384"/>
      <c r="S59" s="384"/>
      <c r="T59" s="384"/>
    </row>
    <row r="60" spans="1:20" ht="15" thickBot="1" x14ac:dyDescent="0.35">
      <c r="A60" s="381" t="s">
        <v>1179</v>
      </c>
      <c r="B60" s="156">
        <v>50460</v>
      </c>
      <c r="C60" s="378">
        <v>50</v>
      </c>
      <c r="D60" s="49"/>
      <c r="E60" s="50"/>
      <c r="O60" s="384"/>
      <c r="P60" s="384"/>
      <c r="S60" s="384"/>
      <c r="T60" s="384"/>
    </row>
    <row r="61" spans="1:20" ht="15" thickBot="1" x14ac:dyDescent="0.35">
      <c r="A61" s="381" t="s">
        <v>490</v>
      </c>
      <c r="B61" s="156">
        <v>50106</v>
      </c>
      <c r="C61" s="378">
        <v>50</v>
      </c>
      <c r="D61" s="49"/>
      <c r="E61" s="50"/>
      <c r="O61" s="384"/>
      <c r="P61" s="384"/>
      <c r="S61" s="384"/>
      <c r="T61" s="384"/>
    </row>
    <row r="62" spans="1:20" ht="15" thickBot="1" x14ac:dyDescent="0.35">
      <c r="A62" s="381" t="s">
        <v>1180</v>
      </c>
      <c r="B62" s="156">
        <v>50107</v>
      </c>
      <c r="C62" s="378">
        <v>50</v>
      </c>
      <c r="D62" s="49"/>
      <c r="E62" s="50"/>
      <c r="O62" s="384"/>
      <c r="P62" s="384"/>
      <c r="S62" s="384"/>
      <c r="T62" s="384"/>
    </row>
    <row r="63" spans="1:20" ht="15" thickBot="1" x14ac:dyDescent="0.35">
      <c r="A63" s="381" t="s">
        <v>1181</v>
      </c>
      <c r="B63" s="156">
        <v>50108</v>
      </c>
      <c r="C63" s="378">
        <v>50</v>
      </c>
      <c r="D63" s="49"/>
      <c r="E63" s="50"/>
      <c r="O63" s="384"/>
      <c r="P63" s="384"/>
      <c r="S63" s="384"/>
      <c r="T63" s="384"/>
    </row>
    <row r="64" spans="1:20" ht="15" thickBot="1" x14ac:dyDescent="0.35">
      <c r="A64" s="381" t="s">
        <v>1182</v>
      </c>
      <c r="B64" s="156">
        <v>50559</v>
      </c>
      <c r="C64" s="378">
        <v>50</v>
      </c>
      <c r="D64" s="49"/>
      <c r="E64" s="50"/>
      <c r="O64" s="384"/>
      <c r="P64" s="384"/>
      <c r="S64" s="384"/>
      <c r="T64" s="384"/>
    </row>
    <row r="65" spans="1:20" ht="15" thickBot="1" x14ac:dyDescent="0.35">
      <c r="A65" s="381" t="s">
        <v>1183</v>
      </c>
      <c r="B65" s="156">
        <v>50109</v>
      </c>
      <c r="C65" s="378">
        <v>50</v>
      </c>
      <c r="D65" s="49"/>
      <c r="E65" s="50"/>
      <c r="O65" s="384"/>
      <c r="P65" s="384"/>
      <c r="S65" s="384"/>
      <c r="T65" s="384"/>
    </row>
    <row r="66" spans="1:20" ht="15" thickBot="1" x14ac:dyDescent="0.35">
      <c r="A66" s="381" t="s">
        <v>387</v>
      </c>
      <c r="B66" s="156">
        <v>50110</v>
      </c>
      <c r="C66" s="378">
        <v>50</v>
      </c>
      <c r="D66" s="49"/>
      <c r="E66" s="50"/>
      <c r="O66" s="384"/>
      <c r="P66" s="384"/>
      <c r="S66" s="384"/>
      <c r="T66" s="384"/>
    </row>
    <row r="67" spans="1:20" ht="15" thickBot="1" x14ac:dyDescent="0.35">
      <c r="A67" s="381" t="s">
        <v>491</v>
      </c>
      <c r="B67" s="156">
        <v>50472</v>
      </c>
      <c r="C67" s="378">
        <v>50</v>
      </c>
      <c r="D67" s="49"/>
      <c r="E67" s="50"/>
      <c r="O67" s="384"/>
      <c r="P67" s="384"/>
      <c r="S67" s="384"/>
      <c r="T67" s="384"/>
    </row>
    <row r="68" spans="1:20" ht="15" thickBot="1" x14ac:dyDescent="0.35">
      <c r="A68" s="381" t="s">
        <v>1184</v>
      </c>
      <c r="B68" s="156">
        <v>50461</v>
      </c>
      <c r="C68" s="378">
        <v>50</v>
      </c>
      <c r="D68" s="49"/>
      <c r="E68" s="50"/>
      <c r="O68" s="384"/>
      <c r="P68" s="384"/>
      <c r="S68" s="384"/>
      <c r="T68" s="384"/>
    </row>
    <row r="69" spans="1:20" x14ac:dyDescent="0.3">
      <c r="A69" s="382" t="s">
        <v>1185</v>
      </c>
      <c r="B69" s="382">
        <v>50111</v>
      </c>
      <c r="C69" s="378">
        <v>50</v>
      </c>
    </row>
    <row r="70" spans="1:20" x14ac:dyDescent="0.3">
      <c r="A70" s="382" t="s">
        <v>493</v>
      </c>
      <c r="B70" s="382">
        <v>50113</v>
      </c>
      <c r="C70" s="378">
        <v>50</v>
      </c>
    </row>
    <row r="71" spans="1:20" x14ac:dyDescent="0.3">
      <c r="A71" s="382" t="s">
        <v>1186</v>
      </c>
      <c r="B71" s="382">
        <v>50568</v>
      </c>
      <c r="C71" s="378">
        <v>50</v>
      </c>
    </row>
    <row r="72" spans="1:20" x14ac:dyDescent="0.3">
      <c r="A72" s="382" t="s">
        <v>1187</v>
      </c>
      <c r="B72" s="382">
        <v>50114</v>
      </c>
      <c r="C72" s="378">
        <v>50</v>
      </c>
    </row>
    <row r="73" spans="1:20" x14ac:dyDescent="0.3">
      <c r="A73" s="382" t="s">
        <v>1188</v>
      </c>
      <c r="B73" s="382">
        <v>50115</v>
      </c>
      <c r="C73" s="378">
        <v>50</v>
      </c>
    </row>
    <row r="74" spans="1:20" x14ac:dyDescent="0.3">
      <c r="A74" s="382" t="s">
        <v>812</v>
      </c>
      <c r="B74" s="382">
        <v>50116</v>
      </c>
      <c r="C74" s="378">
        <v>50</v>
      </c>
    </row>
    <row r="75" spans="1:20" x14ac:dyDescent="0.3">
      <c r="A75" s="382" t="s">
        <v>1189</v>
      </c>
      <c r="B75" s="382">
        <v>50117</v>
      </c>
      <c r="C75" s="378">
        <v>50</v>
      </c>
    </row>
    <row r="76" spans="1:20" x14ac:dyDescent="0.3">
      <c r="A76" s="382" t="s">
        <v>1190</v>
      </c>
      <c r="B76" s="382">
        <v>50119</v>
      </c>
      <c r="C76" s="378">
        <v>50</v>
      </c>
    </row>
    <row r="77" spans="1:20" x14ac:dyDescent="0.3">
      <c r="A77" s="382" t="s">
        <v>1191</v>
      </c>
      <c r="B77" s="382">
        <v>50118</v>
      </c>
      <c r="C77" s="378">
        <v>50</v>
      </c>
    </row>
    <row r="78" spans="1:20" x14ac:dyDescent="0.3">
      <c r="A78" s="382" t="s">
        <v>1192</v>
      </c>
      <c r="B78" s="382">
        <v>50120</v>
      </c>
      <c r="C78" s="378">
        <v>50</v>
      </c>
    </row>
    <row r="79" spans="1:20" x14ac:dyDescent="0.3">
      <c r="A79" s="382" t="s">
        <v>495</v>
      </c>
      <c r="B79" s="382">
        <v>50121</v>
      </c>
      <c r="C79" s="378">
        <v>50</v>
      </c>
    </row>
    <row r="80" spans="1:20" x14ac:dyDescent="0.3">
      <c r="A80" s="382" t="s">
        <v>496</v>
      </c>
      <c r="B80" s="382">
        <v>50122</v>
      </c>
      <c r="C80" s="378">
        <v>50</v>
      </c>
    </row>
    <row r="81" spans="1:3" x14ac:dyDescent="0.3">
      <c r="A81" s="382" t="s">
        <v>1193</v>
      </c>
      <c r="B81" s="382">
        <v>50123</v>
      </c>
      <c r="C81" s="378">
        <v>50</v>
      </c>
    </row>
    <row r="82" spans="1:3" x14ac:dyDescent="0.3">
      <c r="A82" s="382" t="s">
        <v>1194</v>
      </c>
      <c r="B82" s="382">
        <v>50124</v>
      </c>
      <c r="C82" s="378">
        <v>50</v>
      </c>
    </row>
    <row r="83" spans="1:3" x14ac:dyDescent="0.3">
      <c r="A83" s="382" t="s">
        <v>497</v>
      </c>
      <c r="B83" s="382">
        <v>50125</v>
      </c>
      <c r="C83" s="378">
        <v>50</v>
      </c>
    </row>
    <row r="84" spans="1:3" x14ac:dyDescent="0.3">
      <c r="A84" s="382" t="s">
        <v>813</v>
      </c>
      <c r="B84" s="382">
        <v>50126</v>
      </c>
      <c r="C84" s="378">
        <v>50</v>
      </c>
    </row>
    <row r="85" spans="1:3" x14ac:dyDescent="0.3">
      <c r="A85" s="382" t="s">
        <v>814</v>
      </c>
      <c r="B85" s="382">
        <v>50127</v>
      </c>
      <c r="C85" s="378">
        <v>50</v>
      </c>
    </row>
    <row r="86" spans="1:3" x14ac:dyDescent="0.3">
      <c r="A86" s="382" t="s">
        <v>498</v>
      </c>
      <c r="B86" s="382">
        <v>50128</v>
      </c>
      <c r="C86" s="378">
        <v>50</v>
      </c>
    </row>
    <row r="87" spans="1:3" x14ac:dyDescent="0.3">
      <c r="C87" s="378"/>
    </row>
    <row r="88" spans="1:3" x14ac:dyDescent="0.3">
      <c r="C88" s="378"/>
    </row>
    <row r="89" spans="1:3" x14ac:dyDescent="0.3">
      <c r="C89" s="378"/>
    </row>
    <row r="90" spans="1:3" x14ac:dyDescent="0.3">
      <c r="C90" s="378"/>
    </row>
    <row r="91" spans="1:3" x14ac:dyDescent="0.3">
      <c r="C91" s="378"/>
    </row>
    <row r="92" spans="1:3" x14ac:dyDescent="0.3">
      <c r="C92" s="378"/>
    </row>
    <row r="93" spans="1:3" x14ac:dyDescent="0.3">
      <c r="C93" s="378"/>
    </row>
    <row r="94" spans="1:3" x14ac:dyDescent="0.3">
      <c r="C94" s="378"/>
    </row>
    <row r="95" spans="1:3" x14ac:dyDescent="0.3">
      <c r="C95" s="378"/>
    </row>
  </sheetData>
  <sheetProtection algorithmName="SHA-512" hashValue="/t6o1aS5S2Ufpe8DvX1jjmW57MTlC4A+9vKgtasGg24FNHbAayCKZL+4lkao1hj/s9shXTSTGKTlNHScOUCFcQ==" saltValue="tnhzJ1gXy/YwNiVmm3YMO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TI406"/>
  <sheetViews>
    <sheetView zoomScaleNormal="100" workbookViewId="0">
      <pane ySplit="5" topLeftCell="A6" activePane="bottomLeft" state="frozen"/>
      <selection activeCell="K179" sqref="K179"/>
      <selection pane="bottomLeft" activeCell="D2" sqref="D2"/>
    </sheetView>
  </sheetViews>
  <sheetFormatPr defaultColWidth="9.109375" defaultRowHeight="14.4" x14ac:dyDescent="0.3"/>
  <cols>
    <col min="1" max="1" width="9.6640625" style="277" customWidth="1"/>
    <col min="2" max="2" width="20.6640625" style="5" customWidth="1"/>
    <col min="3" max="3" width="17.44140625" style="5" customWidth="1"/>
    <col min="4" max="4" width="46.33203125" style="384" customWidth="1"/>
    <col min="5" max="5" width="17.109375" style="18" customWidth="1"/>
    <col min="6" max="6" width="21.5546875" style="384" customWidth="1"/>
    <col min="7" max="7" width="26.6640625" style="449" customWidth="1"/>
    <col min="8" max="8" width="24.33203125" style="309" customWidth="1"/>
    <col min="9" max="10" width="24" style="384" customWidth="1"/>
    <col min="11" max="11" width="17.33203125" style="18" customWidth="1"/>
    <col min="12" max="12" width="11.6640625" style="18" hidden="1" customWidth="1"/>
    <col min="13" max="13" width="4" hidden="1" customWidth="1"/>
    <col min="14" max="14" width="11" style="18" hidden="1" customWidth="1"/>
    <col min="15" max="15" width="3.33203125" style="186" hidden="1" customWidth="1"/>
    <col min="16" max="16" width="2.109375" style="18" hidden="1" customWidth="1"/>
    <col min="17" max="17" width="13.44140625" style="18" hidden="1" customWidth="1"/>
    <col min="18" max="18" width="13.109375" style="18" customWidth="1"/>
    <col min="19" max="25" width="9.109375" style="18"/>
    <col min="26" max="26" width="8.88671875" customWidth="1"/>
    <col min="27" max="29" width="10.5546875" customWidth="1"/>
    <col min="30" max="96" width="20.6640625" customWidth="1"/>
    <col min="124" max="1881" width="9.109375" style="18"/>
    <col min="1882" max="16384" width="9.109375" style="384"/>
  </cols>
  <sheetData>
    <row r="1" spans="1:123" ht="15" thickBot="1" x14ac:dyDescent="0.35">
      <c r="B1" s="451" t="s">
        <v>386</v>
      </c>
      <c r="C1" s="451"/>
      <c r="E1" s="385" t="s">
        <v>35</v>
      </c>
      <c r="F1" s="386">
        <v>2024</v>
      </c>
      <c r="G1" s="115" t="s">
        <v>118</v>
      </c>
      <c r="H1" s="387"/>
      <c r="I1" s="388"/>
      <c r="J1" s="388"/>
      <c r="K1" s="389"/>
      <c r="N1" s="18" t="s">
        <v>50</v>
      </c>
      <c r="P1" s="18">
        <v>1</v>
      </c>
      <c r="Q1" s="18" t="s">
        <v>1063</v>
      </c>
    </row>
    <row r="2" spans="1:123" ht="44.25" customHeight="1" thickBot="1" x14ac:dyDescent="0.35">
      <c r="B2" s="1068" t="s">
        <v>282</v>
      </c>
      <c r="C2" s="1069"/>
      <c r="D2" s="390" t="s">
        <v>798</v>
      </c>
      <c r="E2" s="1066" t="s">
        <v>294</v>
      </c>
      <c r="F2" s="1066"/>
      <c r="G2" s="1067"/>
      <c r="H2" s="1043" t="s">
        <v>2778</v>
      </c>
      <c r="N2" s="18" t="s">
        <v>51</v>
      </c>
      <c r="O2" s="186">
        <v>50</v>
      </c>
      <c r="P2" s="18">
        <v>2</v>
      </c>
      <c r="Q2" s="18">
        <v>9004</v>
      </c>
    </row>
    <row r="3" spans="1:123" ht="15" thickBot="1" x14ac:dyDescent="0.35">
      <c r="B3" s="452" t="s">
        <v>0</v>
      </c>
      <c r="C3" s="453"/>
      <c r="D3" s="392" t="e">
        <f>VLOOKUP(D2,'Unit Names(H)'!A2:B139,2,FALSE)</f>
        <v>#N/A</v>
      </c>
      <c r="E3" s="523"/>
      <c r="F3" s="393"/>
      <c r="G3" s="394"/>
      <c r="H3" s="391"/>
      <c r="O3" s="186">
        <v>51</v>
      </c>
      <c r="P3" s="18">
        <v>3</v>
      </c>
    </row>
    <row r="4" spans="1:123" ht="15" thickBot="1" x14ac:dyDescent="0.35">
      <c r="B4" s="454" t="s">
        <v>665</v>
      </c>
      <c r="C4" s="455"/>
      <c r="D4" s="395"/>
      <c r="E4" s="395"/>
      <c r="F4" s="396"/>
      <c r="G4" s="397"/>
      <c r="H4" s="391"/>
      <c r="I4" s="2"/>
      <c r="J4" s="2"/>
      <c r="N4" s="18" t="s">
        <v>322</v>
      </c>
      <c r="O4" s="186">
        <v>52</v>
      </c>
      <c r="P4" s="18">
        <v>4</v>
      </c>
    </row>
    <row r="5" spans="1:123" ht="37.5" customHeight="1" thickBot="1" x14ac:dyDescent="0.35">
      <c r="A5" s="373" t="s">
        <v>383</v>
      </c>
      <c r="B5" s="947" t="s">
        <v>103</v>
      </c>
      <c r="C5" s="947" t="s">
        <v>120</v>
      </c>
      <c r="D5" s="948" t="s">
        <v>1</v>
      </c>
      <c r="E5" s="948">
        <v>2023</v>
      </c>
      <c r="F5" s="398">
        <v>2024</v>
      </c>
      <c r="G5" s="949" t="s">
        <v>773</v>
      </c>
      <c r="H5" s="399" t="s">
        <v>298</v>
      </c>
      <c r="I5" s="386" t="s">
        <v>13</v>
      </c>
      <c r="J5" s="386"/>
      <c r="N5" s="18" t="s">
        <v>427</v>
      </c>
    </row>
    <row r="6" spans="1:123" ht="48" customHeight="1" thickBot="1" x14ac:dyDescent="0.4">
      <c r="A6" s="373"/>
      <c r="B6" s="1075" t="s">
        <v>1879</v>
      </c>
      <c r="C6" s="1076"/>
      <c r="D6" s="1076"/>
      <c r="E6" s="1076"/>
      <c r="F6" s="1076"/>
      <c r="G6" s="1077"/>
      <c r="H6" s="939"/>
      <c r="I6" s="386"/>
      <c r="J6" s="386"/>
      <c r="M6" s="180"/>
      <c r="N6" s="342" t="s">
        <v>461</v>
      </c>
      <c r="Z6" s="180"/>
      <c r="AA6" s="180"/>
      <c r="AB6" s="180"/>
      <c r="AC6" s="180"/>
      <c r="AD6" s="180"/>
      <c r="AE6" s="180"/>
      <c r="AF6" s="180"/>
      <c r="AG6" s="180"/>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row>
    <row r="7" spans="1:123" ht="72" customHeight="1" thickBot="1" x14ac:dyDescent="0.4">
      <c r="A7" s="373"/>
      <c r="B7" s="1075" t="s">
        <v>1914</v>
      </c>
      <c r="C7" s="1076"/>
      <c r="D7" s="1076"/>
      <c r="E7" s="1076"/>
      <c r="F7" s="1076"/>
      <c r="G7" s="1077"/>
      <c r="H7" s="939"/>
      <c r="I7" s="386"/>
      <c r="J7" s="386"/>
      <c r="M7" s="180"/>
      <c r="Z7" s="180"/>
      <c r="AA7" s="180"/>
      <c r="AB7" s="180"/>
      <c r="AC7" s="180"/>
      <c r="AD7" s="180"/>
      <c r="AE7" s="180"/>
      <c r="AF7" s="180"/>
      <c r="AG7" s="180"/>
      <c r="AH7" s="180"/>
      <c r="AI7" s="180"/>
      <c r="AJ7" s="180"/>
      <c r="AK7" s="180"/>
      <c r="AL7" s="180"/>
      <c r="AM7" s="180"/>
      <c r="AN7" s="180"/>
      <c r="AO7" s="180"/>
      <c r="AP7" s="180"/>
      <c r="AQ7" s="180"/>
      <c r="AR7" s="180"/>
      <c r="AS7" s="180"/>
      <c r="AT7" s="180"/>
      <c r="AU7" s="180"/>
      <c r="AV7" s="180"/>
      <c r="AW7" s="180"/>
      <c r="AX7" s="180"/>
      <c r="AY7" s="180"/>
      <c r="AZ7" s="180"/>
      <c r="BA7" s="180"/>
      <c r="BB7" s="180"/>
      <c r="BC7" s="180"/>
      <c r="BD7" s="180"/>
      <c r="BE7" s="180"/>
      <c r="BF7" s="180"/>
      <c r="BG7" s="180"/>
      <c r="BH7" s="180"/>
      <c r="BI7" s="180"/>
      <c r="BJ7" s="180"/>
      <c r="BK7" s="180"/>
      <c r="BL7" s="180"/>
      <c r="BM7" s="180"/>
      <c r="BN7" s="180"/>
      <c r="BO7" s="180"/>
      <c r="BP7" s="180"/>
      <c r="BQ7" s="180"/>
      <c r="BR7" s="180"/>
      <c r="BS7" s="180"/>
      <c r="BT7" s="180"/>
      <c r="BU7" s="180"/>
      <c r="BV7" s="180"/>
      <c r="BW7" s="180"/>
      <c r="BX7" s="180"/>
      <c r="BY7" s="180"/>
      <c r="BZ7" s="180"/>
      <c r="CA7" s="180"/>
      <c r="CB7" s="180"/>
      <c r="CC7" s="180"/>
      <c r="CD7" s="180"/>
      <c r="CE7" s="180"/>
      <c r="CF7" s="180"/>
      <c r="CG7" s="180"/>
      <c r="CH7" s="180"/>
      <c r="CI7" s="180"/>
      <c r="CJ7" s="180"/>
      <c r="CK7" s="180"/>
      <c r="CL7" s="180"/>
      <c r="CM7" s="180"/>
      <c r="CN7" s="180"/>
      <c r="CO7" s="180"/>
      <c r="CP7" s="180"/>
      <c r="CQ7" s="180"/>
      <c r="CR7" s="180"/>
      <c r="CS7" s="180"/>
      <c r="CT7" s="180"/>
      <c r="CU7" s="180"/>
      <c r="CV7" s="180"/>
      <c r="CW7" s="180"/>
      <c r="CX7" s="180"/>
      <c r="CY7" s="180"/>
      <c r="CZ7" s="180"/>
      <c r="DA7" s="180"/>
      <c r="DB7" s="180"/>
      <c r="DC7" s="180"/>
      <c r="DD7" s="180"/>
      <c r="DE7" s="180"/>
      <c r="DF7" s="180"/>
      <c r="DG7" s="180"/>
      <c r="DH7" s="180"/>
      <c r="DI7" s="180"/>
      <c r="DJ7" s="180"/>
      <c r="DK7" s="180"/>
      <c r="DL7" s="180"/>
      <c r="DM7" s="180"/>
      <c r="DN7" s="180"/>
      <c r="DO7" s="180"/>
      <c r="DP7" s="180"/>
      <c r="DQ7" s="180"/>
      <c r="DR7" s="180"/>
      <c r="DS7" s="180"/>
    </row>
    <row r="8" spans="1:123" ht="31.2" customHeight="1" x14ac:dyDescent="0.3">
      <c r="B8" s="478" t="s">
        <v>119</v>
      </c>
      <c r="C8" s="479"/>
      <c r="D8" s="480"/>
      <c r="E8" s="481"/>
      <c r="F8" s="482"/>
      <c r="G8" s="474"/>
      <c r="H8" s="17"/>
      <c r="K8" s="762"/>
      <c r="N8" s="18" t="s">
        <v>410</v>
      </c>
    </row>
    <row r="9" spans="1:123" s="18" customFormat="1" ht="72.599999999999994" customHeight="1" x14ac:dyDescent="0.3">
      <c r="A9" s="550">
        <v>333</v>
      </c>
      <c r="B9" s="373" t="s">
        <v>66</v>
      </c>
      <c r="C9" s="373" t="s">
        <v>121</v>
      </c>
      <c r="D9" s="383" t="s">
        <v>666</v>
      </c>
      <c r="E9" s="371" t="e">
        <f>INDEX('PY1 Data(H)'!$A$1:$CZ$265,MATCH('Unit Data from Audit Worksheet'!$A9,'PY1 Data(H)'!$A$1:$A$258,0),MATCH('Unit Data from Audit Worksheet'!$D$2,'PY1 Data(H)'!$A$1:$CZ$1,0))</f>
        <v>#N/A</v>
      </c>
      <c r="F9" s="795">
        <v>0</v>
      </c>
      <c r="G9" s="401">
        <f>IF(F9&lt;0,"Note: Number is normally positive.",)</f>
        <v>0</v>
      </c>
      <c r="H9" s="402"/>
      <c r="I9" s="402"/>
      <c r="J9" s="403"/>
      <c r="K9" s="292"/>
      <c r="L9" s="547"/>
      <c r="M9"/>
      <c r="N9" s="18" t="s">
        <v>428</v>
      </c>
      <c r="O9" s="186"/>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row>
    <row r="10" spans="1:123" s="18" customFormat="1" ht="51" customHeight="1" x14ac:dyDescent="0.3">
      <c r="A10" s="100">
        <v>500</v>
      </c>
      <c r="B10" s="373" t="s">
        <v>54</v>
      </c>
      <c r="C10" s="373" t="s">
        <v>121</v>
      </c>
      <c r="D10" s="383" t="s">
        <v>667</v>
      </c>
      <c r="E10" s="371" t="e">
        <f>INDEX('PY1 Data(H)'!$A$1:$CZ$265,MATCH('Unit Data from Audit Worksheet'!$A10,'PY1 Data(H)'!$A$1:$A$258,0),MATCH('Unit Data from Audit Worksheet'!$D$2,'PY1 Data(H)'!$A$1:$CZ$1,0))</f>
        <v>#N/A</v>
      </c>
      <c r="F10" s="795">
        <v>0</v>
      </c>
      <c r="G10" s="401">
        <f>IF(F10&lt;0,"Note: Number is normally positive.",)</f>
        <v>0</v>
      </c>
      <c r="H10" s="402"/>
      <c r="I10" s="402"/>
      <c r="J10" s="402"/>
      <c r="K10" s="292"/>
      <c r="L10" s="547"/>
      <c r="M10"/>
      <c r="N10" s="18" t="s">
        <v>429</v>
      </c>
      <c r="O10" s="186"/>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row>
    <row r="11" spans="1:123" ht="51" customHeight="1" x14ac:dyDescent="0.3">
      <c r="A11" s="562">
        <v>385</v>
      </c>
      <c r="B11" s="4" t="s">
        <v>59</v>
      </c>
      <c r="C11" s="373" t="s">
        <v>121</v>
      </c>
      <c r="D11" s="99" t="s">
        <v>122</v>
      </c>
      <c r="E11" s="371" t="e">
        <f>INDEX('PY1 Data(H)'!$A$1:$CZ$265,MATCH('Unit Data from Audit Worksheet'!$A11,'PY1 Data(H)'!$A$1:$A$258,0),MATCH('Unit Data from Audit Worksheet'!$D$2,'PY1 Data(H)'!$A$1:$CZ$1,0))-INDEX('PY1 Data(H)'!$A$1:$CZ$258,MATCH('Unit Data from Audit Worksheet'!$A13,'PY1 Data(H)'!$A$1:$A$258,0),MATCH('Unit Data from Audit Worksheet'!$D$2,'PY1 Data(H)'!$A$1:$CZ$1,0))</f>
        <v>#N/A</v>
      </c>
      <c r="F11" s="795">
        <v>0</v>
      </c>
      <c r="G11" s="401">
        <f>IF((F9+F10)&gt;F11,"Error: Please review Account numbers (333+500)&gt;385",)</f>
        <v>0</v>
      </c>
      <c r="H11" s="402"/>
      <c r="I11" s="402"/>
      <c r="J11" s="402"/>
      <c r="K11"/>
      <c r="L11" s="547"/>
    </row>
    <row r="12" spans="1:123" s="18" customFormat="1" ht="90" customHeight="1" x14ac:dyDescent="0.3">
      <c r="A12" s="100">
        <v>575</v>
      </c>
      <c r="B12" s="373" t="s">
        <v>69</v>
      </c>
      <c r="C12" s="373" t="s">
        <v>121</v>
      </c>
      <c r="D12" s="456" t="s">
        <v>668</v>
      </c>
      <c r="E12" s="371" t="e">
        <f>INDEX('PY1 Data(H)'!$A$1:$CZ$265,MATCH('Unit Data from Audit Worksheet'!$A12,'PY1 Data(H)'!$A$1:$A$258,0),MATCH('Unit Data from Audit Worksheet'!$D$2,'PY1 Data(H)'!$A$1:$CZ$1,0))</f>
        <v>#N/A</v>
      </c>
      <c r="F12" s="795">
        <v>0</v>
      </c>
      <c r="G12" s="401">
        <f>IF(F12&lt;0,"Note: Number is normally positive.",)</f>
        <v>0</v>
      </c>
      <c r="H12" s="404"/>
      <c r="I12" s="405"/>
      <c r="J12" s="405"/>
      <c r="K12"/>
      <c r="L12" s="547"/>
      <c r="M12"/>
      <c r="O12" s="186"/>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row>
    <row r="13" spans="1:123" s="18" customFormat="1" ht="93.75" customHeight="1" x14ac:dyDescent="0.3">
      <c r="A13" s="100">
        <v>576</v>
      </c>
      <c r="B13" s="373" t="s">
        <v>69</v>
      </c>
      <c r="C13" s="373" t="s">
        <v>121</v>
      </c>
      <c r="D13" s="456" t="s">
        <v>669</v>
      </c>
      <c r="E13" s="371" t="e">
        <f>INDEX('PY1 Data(H)'!$A$1:$CZ$265,MATCH('Unit Data from Audit Worksheet'!$A13,'PY1 Data(H)'!$A$1:$A$258,0),MATCH('Unit Data from Audit Worksheet'!$D$2,'PY1 Data(H)'!$A$1:$CZ$1,0))</f>
        <v>#N/A</v>
      </c>
      <c r="F13" s="795">
        <v>0</v>
      </c>
      <c r="G13" s="401">
        <f>IF(F13&lt;0,"Error: Enter as positive.",)</f>
        <v>0</v>
      </c>
      <c r="H13" s="404"/>
      <c r="I13" s="405"/>
      <c r="J13" s="405"/>
      <c r="K13"/>
      <c r="L13" s="547"/>
      <c r="M13"/>
      <c r="O13" s="186"/>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row>
    <row r="14" spans="1:123" ht="85.5" customHeight="1" x14ac:dyDescent="0.3">
      <c r="A14" s="563">
        <v>626</v>
      </c>
      <c r="B14" s="460" t="s">
        <v>442</v>
      </c>
      <c r="C14" s="460" t="s">
        <v>121</v>
      </c>
      <c r="D14" s="214" t="s">
        <v>670</v>
      </c>
      <c r="E14" s="371" t="e">
        <f>INDEX('PY1 Data(H)'!$A$1:$CZ$265,MATCH('Unit Data from Audit Worksheet'!$A14,'PY1 Data(H)'!$A$1:$A$258,0),MATCH('Unit Data from Audit Worksheet'!$D$2,'PY1 Data(H)'!$A$1:$CZ$1,0))-INDEX('PY1 Data(H)'!$A$1:$CZ$258,MATCH('Unit Data from Audit Worksheet'!$A13,'PY1 Data(H)'!$A$1:$A$258,0),MATCH('Unit Data from Audit Worksheet'!$D$2,'PY1 Data(H)'!$A$1:$CZ$1,0))</f>
        <v>#N/A</v>
      </c>
      <c r="F14" s="795">
        <v>0</v>
      </c>
      <c r="G14" s="401">
        <f>IF(F14&lt;0,"Error: Enter as positive.",)</f>
        <v>0</v>
      </c>
      <c r="H14" s="406"/>
      <c r="I14" s="406"/>
      <c r="J14" s="763"/>
      <c r="K14"/>
      <c r="L14" s="547"/>
    </row>
    <row r="15" spans="1:123" ht="89.25" customHeight="1" x14ac:dyDescent="0.3">
      <c r="A15" s="189">
        <v>627</v>
      </c>
      <c r="B15" s="461" t="s">
        <v>358</v>
      </c>
      <c r="C15" s="460" t="s">
        <v>121</v>
      </c>
      <c r="D15" s="214" t="s">
        <v>671</v>
      </c>
      <c r="E15" s="371" t="e">
        <f>INDEX('PY1 Data(H)'!$A$1:$CZ$265,MATCH('Unit Data from Audit Worksheet'!$A15,'PY1 Data(H)'!$A$1:$A$258,0),MATCH('Unit Data from Audit Worksheet'!$D$2,'PY1 Data(H)'!$A$1:$CZ$1,0))</f>
        <v>#N/A</v>
      </c>
      <c r="F15" s="795">
        <v>0</v>
      </c>
      <c r="G15" s="401">
        <f>IF(F15&gt;F14,"Please review account numbers 627 &gt;626",)</f>
        <v>0</v>
      </c>
      <c r="H15" s="406"/>
      <c r="I15" s="406"/>
      <c r="J15" s="763"/>
      <c r="K15"/>
      <c r="L15" s="547"/>
    </row>
    <row r="16" spans="1:123" ht="105" customHeight="1" x14ac:dyDescent="0.3">
      <c r="A16" s="189">
        <v>628</v>
      </c>
      <c r="B16" s="461" t="s">
        <v>358</v>
      </c>
      <c r="C16" s="460" t="s">
        <v>121</v>
      </c>
      <c r="D16" s="214" t="s">
        <v>672</v>
      </c>
      <c r="E16" s="371" t="e">
        <f>INDEX('PY1 Data(H)'!$A$1:$CZ$265,MATCH('Unit Data from Audit Worksheet'!$A16,'PY1 Data(H)'!$A$1:$A$258,0),MATCH('Unit Data from Audit Worksheet'!$D$2,'PY1 Data(H)'!$A$1:$CZ$1,0))</f>
        <v>#N/A</v>
      </c>
      <c r="F16" s="795">
        <v>0</v>
      </c>
      <c r="G16" s="401">
        <f>IF(F16&gt;F14,"Please review account numbers 628 &gt; 626",)</f>
        <v>0</v>
      </c>
      <c r="H16" s="406"/>
      <c r="I16" s="406"/>
      <c r="J16" s="763"/>
      <c r="K16"/>
      <c r="L16" s="547"/>
    </row>
    <row r="17" spans="1:12" ht="95.25" customHeight="1" x14ac:dyDescent="0.3">
      <c r="A17" s="189">
        <v>629</v>
      </c>
      <c r="B17" s="461" t="s">
        <v>358</v>
      </c>
      <c r="C17" s="460" t="s">
        <v>121</v>
      </c>
      <c r="D17" s="214" t="s">
        <v>673</v>
      </c>
      <c r="E17" s="371" t="e">
        <f>INDEX('PY1 Data(H)'!$A$1:$CZ$265,MATCH('Unit Data from Audit Worksheet'!$A17,'PY1 Data(H)'!$A$1:$A$258,0),MATCH('Unit Data from Audit Worksheet'!$D$2,'PY1 Data(H)'!$A$1:$CZ$1,0))</f>
        <v>#N/A</v>
      </c>
      <c r="F17" s="795">
        <v>0</v>
      </c>
      <c r="G17" s="401">
        <f>IF(F17&gt;F14,"Please review account numbers 629 &gt; 626",)</f>
        <v>0</v>
      </c>
      <c r="H17" s="406"/>
      <c r="I17" s="406"/>
      <c r="J17" s="763"/>
      <c r="K17"/>
      <c r="L17" s="547"/>
    </row>
    <row r="18" spans="1:12" ht="69" customHeight="1" x14ac:dyDescent="0.3">
      <c r="A18" s="189">
        <v>630</v>
      </c>
      <c r="B18" s="461" t="s">
        <v>358</v>
      </c>
      <c r="C18" s="460" t="s">
        <v>121</v>
      </c>
      <c r="D18" s="214" t="s">
        <v>423</v>
      </c>
      <c r="E18" s="371" t="e">
        <f>INDEX('PY1 Data(H)'!$A$1:$CZ$265,MATCH('Unit Data from Audit Worksheet'!$A18,'PY1 Data(H)'!$A$1:$A$258,0),MATCH('Unit Data from Audit Worksheet'!$D$2,'PY1 Data(H)'!$A$1:$CZ$1,0))</f>
        <v>#N/A</v>
      </c>
      <c r="F18" s="795">
        <v>0</v>
      </c>
      <c r="G18" s="401">
        <f>IF(F18&gt;F14,"Please review account numbers 630 &gt; 626",)</f>
        <v>0</v>
      </c>
      <c r="H18" s="406"/>
      <c r="I18" s="406"/>
      <c r="J18" s="763"/>
      <c r="K18"/>
      <c r="L18" s="547"/>
    </row>
    <row r="19" spans="1:12" ht="95.25" customHeight="1" x14ac:dyDescent="0.3">
      <c r="A19" s="189">
        <v>631</v>
      </c>
      <c r="B19" s="461" t="s">
        <v>358</v>
      </c>
      <c r="C19" s="460" t="s">
        <v>121</v>
      </c>
      <c r="D19" s="214" t="s">
        <v>674</v>
      </c>
      <c r="E19" s="371" t="e">
        <f>INDEX('PY1 Data(H)'!$A$1:$CZ$265,MATCH('Unit Data from Audit Worksheet'!$A19,'PY1 Data(H)'!$A$1:$A$258,0),MATCH('Unit Data from Audit Worksheet'!$D$2,'PY1 Data(H)'!$A$1:$CZ$1,0))</f>
        <v>#N/A</v>
      </c>
      <c r="F19" s="795">
        <v>0</v>
      </c>
      <c r="G19" s="401">
        <f>IF(F19&gt;F14,"Please review account numbers 631 &gt; 626",)</f>
        <v>0</v>
      </c>
      <c r="H19" s="406"/>
      <c r="I19" s="406"/>
      <c r="J19" s="763"/>
      <c r="K19"/>
      <c r="L19" s="547"/>
    </row>
    <row r="20" spans="1:12" ht="111.75" customHeight="1" x14ac:dyDescent="0.3">
      <c r="A20" s="189">
        <v>632</v>
      </c>
      <c r="B20" s="461" t="s">
        <v>358</v>
      </c>
      <c r="C20" s="460" t="s">
        <v>121</v>
      </c>
      <c r="D20" s="214" t="s">
        <v>675</v>
      </c>
      <c r="E20" s="371" t="e">
        <f>INDEX('PY1 Data(H)'!$A$1:$CZ$265,MATCH('Unit Data from Audit Worksheet'!$A20,'PY1 Data(H)'!$A$1:$A$258,0),MATCH('Unit Data from Audit Worksheet'!$D$2,'PY1 Data(H)'!$A$1:$CZ$1,0))</f>
        <v>#N/A</v>
      </c>
      <c r="F20" s="795">
        <v>0</v>
      </c>
      <c r="G20" s="401">
        <f>IF(F20&gt;F14,"Please review account numbers 632 &gt; 626",)</f>
        <v>0</v>
      </c>
      <c r="H20" s="406"/>
      <c r="I20" s="406"/>
      <c r="J20" s="763"/>
      <c r="K20"/>
      <c r="L20" s="547"/>
    </row>
    <row r="21" spans="1:12" ht="55.5" customHeight="1" x14ac:dyDescent="0.3">
      <c r="A21" s="562">
        <v>338</v>
      </c>
      <c r="B21" s="4" t="s">
        <v>55</v>
      </c>
      <c r="C21" s="373" t="s">
        <v>121</v>
      </c>
      <c r="D21" s="99" t="s">
        <v>123</v>
      </c>
      <c r="E21" s="371" t="e">
        <f>INDEX('PY1 Data(H)'!$A$1:$CZ$265,MATCH('Unit Data from Audit Worksheet'!$A21,'PY1 Data(H)'!$A$1:$A$258,0),MATCH('Unit Data from Audit Worksheet'!$D$2,'PY1 Data(H)'!$A$1:$CZ$1,0))-INDEX('PY1 Data(H)'!$A$1:$CZ$258,MATCH('Unit Data from Audit Worksheet'!$A13,'PY1 Data(H)'!$A$1:$A$258,0),MATCH('Unit Data from Audit Worksheet'!$D$2,'PY1 Data(H)'!$A$1:$CZ$1,0))</f>
        <v>#N/A</v>
      </c>
      <c r="F21" s="795">
        <v>0</v>
      </c>
      <c r="G21" s="401" t="str">
        <f>IF(F14&gt;F21,"Error: Please review accts 626 &gt; 338","")</f>
        <v/>
      </c>
      <c r="H21" s="402"/>
      <c r="I21" s="402"/>
      <c r="J21" s="402"/>
      <c r="K21"/>
      <c r="L21" s="547"/>
    </row>
    <row r="22" spans="1:12" ht="89.25" customHeight="1" x14ac:dyDescent="0.3">
      <c r="A22" s="100">
        <v>335</v>
      </c>
      <c r="B22" s="4" t="s">
        <v>55</v>
      </c>
      <c r="C22" s="373" t="s">
        <v>121</v>
      </c>
      <c r="D22" s="383" t="s">
        <v>676</v>
      </c>
      <c r="E22" s="371" t="e">
        <f>INDEX('PY1 Data(H)'!$A$1:$CZ$265,MATCH('Unit Data from Audit Worksheet'!$A22,'PY1 Data(H)'!$A$1:$A$258,0),MATCH('Unit Data from Audit Worksheet'!$D$2,'PY1 Data(H)'!$A$1:$CZ$1,0))</f>
        <v>#N/A</v>
      </c>
      <c r="F22" s="795">
        <v>0</v>
      </c>
      <c r="G22" s="401">
        <f>IF(F22&lt;0,"Error: Enter as positive.",)</f>
        <v>0</v>
      </c>
      <c r="H22" s="402"/>
      <c r="I22" s="242"/>
      <c r="J22" s="242"/>
      <c r="K22"/>
      <c r="L22" s="547"/>
    </row>
    <row r="23" spans="1:12" ht="48.75" customHeight="1" x14ac:dyDescent="0.3">
      <c r="A23" s="100">
        <v>252</v>
      </c>
      <c r="B23" s="4" t="s">
        <v>55</v>
      </c>
      <c r="C23" s="373" t="s">
        <v>121</v>
      </c>
      <c r="D23" s="99" t="s">
        <v>124</v>
      </c>
      <c r="E23" s="371" t="e">
        <f>INDEX('PY1 Data(H)'!$A$1:$CZ$265,MATCH('Unit Data from Audit Worksheet'!$A23,'PY1 Data(H)'!$A$1:$A$258,0),MATCH('Unit Data from Audit Worksheet'!$D$2,'PY1 Data(H)'!$A$1:$CZ$1,0))</f>
        <v>#N/A</v>
      </c>
      <c r="F23" s="795">
        <v>0</v>
      </c>
      <c r="G23" s="726"/>
      <c r="H23" s="402"/>
      <c r="I23" s="17"/>
      <c r="J23" s="72"/>
      <c r="K23"/>
      <c r="L23" s="547"/>
    </row>
    <row r="24" spans="1:12" ht="43.2" x14ac:dyDescent="0.3">
      <c r="A24" s="100">
        <v>253</v>
      </c>
      <c r="B24" s="4" t="s">
        <v>55</v>
      </c>
      <c r="C24" s="373" t="s">
        <v>121</v>
      </c>
      <c r="D24" s="99" t="s">
        <v>125</v>
      </c>
      <c r="E24" s="371" t="e">
        <f>INDEX('PY1 Data(H)'!$A$1:$CZ$265,MATCH('Unit Data from Audit Worksheet'!$A24,'PY1 Data(H)'!$A$1:$A$258,0),MATCH('Unit Data from Audit Worksheet'!$D$2,'PY1 Data(H)'!$A$1:$CZ$1,0))</f>
        <v>#N/A</v>
      </c>
      <c r="F24" s="795">
        <v>0</v>
      </c>
      <c r="G24" s="401"/>
      <c r="H24" s="402"/>
      <c r="I24" s="17"/>
      <c r="J24" s="72"/>
      <c r="K24"/>
      <c r="L24" s="547"/>
    </row>
    <row r="25" spans="1:12" ht="138" customHeight="1" x14ac:dyDescent="0.3">
      <c r="A25" s="100">
        <v>254</v>
      </c>
      <c r="B25" s="4" t="s">
        <v>55</v>
      </c>
      <c r="C25" s="373" t="s">
        <v>121</v>
      </c>
      <c r="D25" s="99" t="s">
        <v>677</v>
      </c>
      <c r="E25" s="371" t="e">
        <f>INDEX('PY1 Data(H)'!$A$1:$CZ$265,MATCH('Unit Data from Audit Worksheet'!$A25,'PY1 Data(H)'!$A$1:$A$258,0),MATCH('Unit Data from Audit Worksheet'!$D$2,'PY1 Data(H)'!$A$1:$CZ$1,0))</f>
        <v>#N/A</v>
      </c>
      <c r="F25" s="795">
        <v>0</v>
      </c>
      <c r="G25" s="401">
        <f>IF(H25=0,,"Error: Total assets and deferred outflows less total liabilities and deferred inflows do not equal total net position. Account numbers  385-338-252-253-254 = 0.  The amount the formula is off is located in the cell to the right")</f>
        <v>0</v>
      </c>
      <c r="H25" s="404">
        <f>F11-F21-F23-F24-F25</f>
        <v>0</v>
      </c>
      <c r="I25" s="17"/>
      <c r="J25" s="72"/>
      <c r="K25"/>
      <c r="L25" s="547"/>
    </row>
    <row r="26" spans="1:12" ht="21.75" customHeight="1" x14ac:dyDescent="0.3">
      <c r="A26" s="100"/>
      <c r="B26" s="489" t="s">
        <v>126</v>
      </c>
      <c r="C26" s="499"/>
      <c r="D26" s="472"/>
      <c r="E26" s="483"/>
      <c r="F26" s="483"/>
      <c r="G26" s="484"/>
      <c r="H26" s="17"/>
      <c r="I26" s="17"/>
      <c r="J26" s="72"/>
      <c r="K26"/>
      <c r="L26" s="547"/>
    </row>
    <row r="27" spans="1:12" ht="59.25" customHeight="1" x14ac:dyDescent="0.3">
      <c r="A27" s="100">
        <v>502</v>
      </c>
      <c r="B27" s="4" t="s">
        <v>54</v>
      </c>
      <c r="C27" s="373" t="s">
        <v>128</v>
      </c>
      <c r="D27" s="383" t="s">
        <v>678</v>
      </c>
      <c r="E27" s="371" t="e">
        <f>INDEX('PY1 Data(H)'!$A$1:$CZ$265,MATCH('Unit Data from Audit Worksheet'!$A27,'PY1 Data(H)'!$A$1:$A$258,0),MATCH('Unit Data from Audit Worksheet'!$D$2,'PY1 Data(H)'!$A$1:$CZ$1,0))</f>
        <v>#N/A</v>
      </c>
      <c r="F27" s="795">
        <v>0</v>
      </c>
      <c r="G27" s="401">
        <f>IF(F27&lt;0,"Note: Number is normally positive.",)</f>
        <v>0</v>
      </c>
      <c r="H27" s="17"/>
      <c r="I27" s="17"/>
      <c r="J27" s="72"/>
      <c r="K27"/>
      <c r="L27" s="547"/>
    </row>
    <row r="28" spans="1:12" ht="59.25" customHeight="1" x14ac:dyDescent="0.3">
      <c r="A28" s="100">
        <v>503</v>
      </c>
      <c r="B28" s="4" t="s">
        <v>54</v>
      </c>
      <c r="C28" s="373" t="s">
        <v>128</v>
      </c>
      <c r="D28" s="99" t="s">
        <v>127</v>
      </c>
      <c r="E28" s="371" t="e">
        <f>INDEX('PY1 Data(H)'!$A$1:$CZ$265,MATCH('Unit Data from Audit Worksheet'!$A28,'PY1 Data(H)'!$A$1:$A$258,0),MATCH('Unit Data from Audit Worksheet'!$D$2,'PY1 Data(H)'!$A$1:$CZ$1,0))</f>
        <v>#N/A</v>
      </c>
      <c r="F28" s="795">
        <v>0</v>
      </c>
      <c r="G28" s="401">
        <f>IF(F28&lt;0,"Note: Number is normally positive.",)</f>
        <v>0</v>
      </c>
      <c r="H28" s="17"/>
      <c r="I28" s="17"/>
      <c r="J28" s="72"/>
      <c r="K28"/>
      <c r="L28" s="547"/>
    </row>
    <row r="29" spans="1:12" ht="27" customHeight="1" x14ac:dyDescent="0.3">
      <c r="A29" s="100"/>
      <c r="B29" s="489" t="s">
        <v>129</v>
      </c>
      <c r="C29" s="499"/>
      <c r="D29" s="472"/>
      <c r="E29" s="473"/>
      <c r="F29" s="473"/>
      <c r="G29" s="474"/>
      <c r="H29" s="17"/>
      <c r="I29" s="17"/>
      <c r="J29" s="72"/>
      <c r="K29"/>
      <c r="L29" s="547"/>
    </row>
    <row r="30" spans="1:12" ht="49.5" customHeight="1" x14ac:dyDescent="0.3">
      <c r="A30" s="100">
        <v>344</v>
      </c>
      <c r="B30" s="4" t="s">
        <v>55</v>
      </c>
      <c r="C30" s="4" t="s">
        <v>136</v>
      </c>
      <c r="D30" s="99" t="s">
        <v>130</v>
      </c>
      <c r="E30" s="371" t="e">
        <f>INDEX('PY1 Data(H)'!$A$1:$CZ$265,MATCH('Unit Data from Audit Worksheet'!$A30,'PY1 Data(H)'!$A$1:$A$258,0),MATCH('Unit Data from Audit Worksheet'!$D$2,'PY1 Data(H)'!$A$1:$CZ$1,0))</f>
        <v>#N/A</v>
      </c>
      <c r="F30" s="795">
        <v>0</v>
      </c>
      <c r="G30" s="401">
        <f t="shared" ref="G30:G37" si="0">IF(F30&lt;0,"Error: Enter as positive.",)</f>
        <v>0</v>
      </c>
      <c r="H30" s="17"/>
      <c r="I30" s="17"/>
      <c r="J30" s="72"/>
      <c r="K30"/>
      <c r="L30" s="547"/>
    </row>
    <row r="31" spans="1:12" ht="49.5" customHeight="1" x14ac:dyDescent="0.3">
      <c r="A31" s="100">
        <v>388</v>
      </c>
      <c r="B31" s="4" t="s">
        <v>59</v>
      </c>
      <c r="C31" s="4" t="s">
        <v>136</v>
      </c>
      <c r="D31" s="99" t="s">
        <v>131</v>
      </c>
      <c r="E31" s="371" t="e">
        <f>INDEX('PY1 Data(H)'!$A$1:$CZ$265,MATCH('Unit Data from Audit Worksheet'!$A31,'PY1 Data(H)'!$A$1:$A$258,0),MATCH('Unit Data from Audit Worksheet'!$D$2,'PY1 Data(H)'!$A$1:$CZ$1,0))</f>
        <v>#N/A</v>
      </c>
      <c r="F31" s="795">
        <v>0</v>
      </c>
      <c r="G31" s="401">
        <f t="shared" si="0"/>
        <v>0</v>
      </c>
      <c r="H31" s="17"/>
      <c r="I31" s="17"/>
      <c r="J31" s="72"/>
      <c r="K31"/>
      <c r="L31" s="547"/>
    </row>
    <row r="32" spans="1:12" ht="51.75" customHeight="1" x14ac:dyDescent="0.3">
      <c r="A32" s="100">
        <v>339</v>
      </c>
      <c r="B32" s="4" t="s">
        <v>55</v>
      </c>
      <c r="C32" s="4" t="s">
        <v>136</v>
      </c>
      <c r="D32" s="99" t="s">
        <v>132</v>
      </c>
      <c r="E32" s="371" t="e">
        <f>INDEX('PY1 Data(H)'!$A$1:$CZ$265,MATCH('Unit Data from Audit Worksheet'!$A32,'PY1 Data(H)'!$A$1:$A$258,0),MATCH('Unit Data from Audit Worksheet'!$D$2,'PY1 Data(H)'!$A$1:$CZ$1,0))</f>
        <v>#N/A</v>
      </c>
      <c r="F32" s="795">
        <v>0</v>
      </c>
      <c r="G32" s="401">
        <f t="shared" si="0"/>
        <v>0</v>
      </c>
      <c r="H32" s="17"/>
      <c r="I32" s="17"/>
      <c r="J32" s="72"/>
      <c r="K32"/>
      <c r="L32" s="547"/>
    </row>
    <row r="33" spans="1:123" ht="50.25" customHeight="1" x14ac:dyDescent="0.3">
      <c r="A33" s="100">
        <v>504</v>
      </c>
      <c r="B33" s="4" t="s">
        <v>55</v>
      </c>
      <c r="C33" s="4" t="s">
        <v>136</v>
      </c>
      <c r="D33" s="99" t="s">
        <v>133</v>
      </c>
      <c r="E33" s="371" t="e">
        <f>INDEX('PY1 Data(H)'!$A$1:$CZ$265,MATCH('Unit Data from Audit Worksheet'!$A33,'PY1 Data(H)'!$A$1:$A$258,0),MATCH('Unit Data from Audit Worksheet'!$D$2,'PY1 Data(H)'!$A$1:$CZ$1,0))</f>
        <v>#N/A</v>
      </c>
      <c r="F33" s="795">
        <v>0</v>
      </c>
      <c r="G33" s="401">
        <f t="shared" si="0"/>
        <v>0</v>
      </c>
      <c r="H33" s="17"/>
      <c r="I33" s="17"/>
      <c r="J33" s="72"/>
      <c r="K33"/>
      <c r="L33" s="547"/>
    </row>
    <row r="34" spans="1:123" ht="60" customHeight="1" x14ac:dyDescent="0.3">
      <c r="A34" s="100">
        <v>505</v>
      </c>
      <c r="B34" s="4" t="s">
        <v>55</v>
      </c>
      <c r="C34" s="4" t="s">
        <v>136</v>
      </c>
      <c r="D34" s="377" t="s">
        <v>134</v>
      </c>
      <c r="E34" s="371" t="e">
        <f>INDEX('PY1 Data(H)'!$A$1:$CZ$265,MATCH('Unit Data from Audit Worksheet'!$A34,'PY1 Data(H)'!$A$1:$A$258,0),MATCH('Unit Data from Audit Worksheet'!$D$2,'PY1 Data(H)'!$A$1:$CZ$1,0))</f>
        <v>#N/A</v>
      </c>
      <c r="F34" s="795">
        <v>0</v>
      </c>
      <c r="G34" s="401">
        <f t="shared" si="0"/>
        <v>0</v>
      </c>
      <c r="H34" s="17"/>
      <c r="I34" s="17"/>
      <c r="J34" s="72"/>
      <c r="K34"/>
      <c r="L34" s="547"/>
    </row>
    <row r="35" spans="1:123" ht="67.95" customHeight="1" x14ac:dyDescent="0.3">
      <c r="A35" s="100">
        <v>341</v>
      </c>
      <c r="B35" s="4" t="s">
        <v>55</v>
      </c>
      <c r="C35" s="4" t="s">
        <v>136</v>
      </c>
      <c r="D35" s="383" t="s">
        <v>679</v>
      </c>
      <c r="E35" s="371" t="e">
        <f>INDEX('PY1 Data(H)'!$A$1:$CZ$265,MATCH('Unit Data from Audit Worksheet'!$A35,'PY1 Data(H)'!$A$1:$A$258,0),MATCH('Unit Data from Audit Worksheet'!$D$2,'PY1 Data(H)'!$A$1:$CZ$1,0))</f>
        <v>#N/A</v>
      </c>
      <c r="F35" s="795">
        <v>0</v>
      </c>
      <c r="G35" s="401">
        <f t="shared" si="0"/>
        <v>0</v>
      </c>
      <c r="H35" s="17"/>
      <c r="I35" s="17"/>
      <c r="J35" s="72"/>
      <c r="K35"/>
      <c r="L35" s="547"/>
    </row>
    <row r="36" spans="1:123" ht="44.25" customHeight="1" x14ac:dyDescent="0.3">
      <c r="A36" s="100">
        <v>386</v>
      </c>
      <c r="B36" s="4" t="s">
        <v>55</v>
      </c>
      <c r="C36" s="4" t="s">
        <v>136</v>
      </c>
      <c r="D36" s="99" t="s">
        <v>680</v>
      </c>
      <c r="E36" s="371" t="e">
        <f>INDEX('PY1 Data(H)'!$A$1:$CZ$265,MATCH('Unit Data from Audit Worksheet'!$A36,'PY1 Data(H)'!$A$1:$A$258,0),MATCH('Unit Data from Audit Worksheet'!$D$2,'PY1 Data(H)'!$A$1:$CZ$1,0))</f>
        <v>#N/A</v>
      </c>
      <c r="F36" s="795">
        <v>0</v>
      </c>
      <c r="G36" s="401">
        <f t="shared" si="0"/>
        <v>0</v>
      </c>
      <c r="H36" s="17"/>
      <c r="I36" s="17"/>
      <c r="J36" s="72"/>
      <c r="K36"/>
      <c r="L36" s="547"/>
    </row>
    <row r="37" spans="1:123" ht="48.75" customHeight="1" x14ac:dyDescent="0.3">
      <c r="A37" s="100">
        <v>387</v>
      </c>
      <c r="B37" s="4" t="s">
        <v>59</v>
      </c>
      <c r="C37" s="4" t="s">
        <v>136</v>
      </c>
      <c r="D37" s="99" t="s">
        <v>681</v>
      </c>
      <c r="E37" s="371" t="e">
        <f>INDEX('PY1 Data(H)'!$A$1:$CZ$265,MATCH('Unit Data from Audit Worksheet'!$A37,'PY1 Data(H)'!$A$1:$A$258,0),MATCH('Unit Data from Audit Worksheet'!$D$2,'PY1 Data(H)'!$A$1:$CZ$1,0))</f>
        <v>#N/A</v>
      </c>
      <c r="F37" s="795">
        <v>0</v>
      </c>
      <c r="G37" s="401">
        <f t="shared" si="0"/>
        <v>0</v>
      </c>
      <c r="H37" s="17"/>
      <c r="I37" s="17"/>
      <c r="J37" s="72"/>
      <c r="K37"/>
      <c r="L37" s="547"/>
    </row>
    <row r="38" spans="1:123" ht="92.25" customHeight="1" x14ac:dyDescent="0.3">
      <c r="A38" s="100">
        <v>389</v>
      </c>
      <c r="B38" s="4" t="s">
        <v>59</v>
      </c>
      <c r="C38" s="4" t="s">
        <v>136</v>
      </c>
      <c r="D38" s="383" t="s">
        <v>682</v>
      </c>
      <c r="E38" s="371" t="e">
        <f>INDEX('PY1 Data(H)'!$A$1:$CZ$265,MATCH('Unit Data from Audit Worksheet'!$A38,'PY1 Data(H)'!$A$1:$A$258,0),MATCH('Unit Data from Audit Worksheet'!$D$2,'PY1 Data(H)'!$A$1:$CZ$1,0))</f>
        <v>#N/A</v>
      </c>
      <c r="F38" s="795">
        <v>0</v>
      </c>
      <c r="G38" s="401"/>
      <c r="H38" s="17"/>
      <c r="I38" s="17"/>
      <c r="J38" s="72"/>
      <c r="K38"/>
      <c r="L38" s="547"/>
    </row>
    <row r="39" spans="1:123" ht="138" customHeight="1" x14ac:dyDescent="0.3">
      <c r="A39" s="100">
        <v>255</v>
      </c>
      <c r="B39" s="4" t="s">
        <v>55</v>
      </c>
      <c r="C39" s="4" t="s">
        <v>136</v>
      </c>
      <c r="D39" s="383" t="s">
        <v>683</v>
      </c>
      <c r="E39" s="371" t="e">
        <f>INDEX('PY1 Data(H)'!$A$1:$CZ$265,MATCH('Unit Data from Audit Worksheet'!$A39,'PY1 Data(H)'!$A$1:$A$258,0),MATCH('Unit Data from Audit Worksheet'!$D$2,'PY1 Data(H)'!$A$1:$CZ$1,0))</f>
        <v>#N/A</v>
      </c>
      <c r="F39" s="795">
        <v>0</v>
      </c>
      <c r="G39" s="401">
        <f>IF(H39=0,,"Error: Total revenues less total expenses do not equal total change in net position. Account numbers 339+504+505+341+386-387+389-388-255 = 0  The amount the formula is off is located in the cell to the right")</f>
        <v>0</v>
      </c>
      <c r="H39" s="404">
        <f>F32+F33+F34+F35+F36-F37+F38-F31-F39</f>
        <v>0</v>
      </c>
      <c r="I39" s="17"/>
      <c r="J39" s="72"/>
      <c r="K39"/>
      <c r="L39" s="547"/>
    </row>
    <row r="40" spans="1:123" ht="138" customHeight="1" x14ac:dyDescent="0.3">
      <c r="A40" s="100">
        <v>376</v>
      </c>
      <c r="B40" s="4" t="s">
        <v>55</v>
      </c>
      <c r="C40" s="4" t="s">
        <v>136</v>
      </c>
      <c r="D40" s="383" t="s">
        <v>684</v>
      </c>
      <c r="E40" s="371" t="e">
        <f>INDEX('PY1 Data(H)'!$A$1:$CZ$265,MATCH('Unit Data from Audit Worksheet'!$A40,'PY1 Data(H)'!$A$1:$A$258,0),MATCH('Unit Data from Audit Worksheet'!$D$2,'PY1 Data(H)'!$A$1:$CZ$1,0))</f>
        <v>#N/A</v>
      </c>
      <c r="F40" s="795">
        <v>0</v>
      </c>
      <c r="G40" s="754" t="e">
        <f>IF(H40=0,,"Error: Beginning Balance does not agree with our records.  Account numbers  252+253+254-255-376-(Prior Year 252+253+254)=0  The amount the formula is off is located in the cell to the right")</f>
        <v>#N/A</v>
      </c>
      <c r="H40" s="755" t="e">
        <f>F23+F24+F25-F39-F40-(E23+E24+E25)</f>
        <v>#N/A</v>
      </c>
      <c r="I40" s="777" t="e">
        <f>IF(H40=0," ","If the out of balance is because prior years data is not populated in cells E23,E24,E25, disregard the error message.  Do not include prior year's ending balances in cell F40")</f>
        <v>#N/A</v>
      </c>
      <c r="J40" s="765"/>
      <c r="K40" s="524"/>
      <c r="L40" s="547"/>
    </row>
    <row r="41" spans="1:123" s="18" customFormat="1" ht="141.75" customHeight="1" x14ac:dyDescent="0.3">
      <c r="A41" s="100">
        <v>597</v>
      </c>
      <c r="B41" s="373" t="s">
        <v>324</v>
      </c>
      <c r="C41" s="373" t="s">
        <v>334</v>
      </c>
      <c r="D41" s="457" t="s">
        <v>685</v>
      </c>
      <c r="E41" s="371" t="e">
        <f>INDEX('PY1 Data(H)'!$A$1:$CZ$265,MATCH('Unit Data from Audit Worksheet'!$A41,'PY1 Data(H)'!$A$1:$A$258,0),MATCH('Unit Data from Audit Worksheet'!$D$2,'PY1 Data(H)'!$A$1:$CZ$1,0))</f>
        <v>#N/A</v>
      </c>
      <c r="F41" s="795">
        <v>0</v>
      </c>
      <c r="G41" s="401">
        <f>IF(F41&lt;0,"Note: Number is normally positive.",)</f>
        <v>0</v>
      </c>
      <c r="H41" s="402"/>
      <c r="I41" s="342"/>
      <c r="J41" s="403"/>
      <c r="K41"/>
      <c r="L41" s="547"/>
      <c r="M41"/>
      <c r="O41" s="186"/>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row>
    <row r="42" spans="1:123" ht="25.5" customHeight="1" x14ac:dyDescent="0.3">
      <c r="A42" s="100"/>
      <c r="B42" s="489" t="s">
        <v>323</v>
      </c>
      <c r="C42" s="499"/>
      <c r="D42" s="472"/>
      <c r="E42" s="473"/>
      <c r="F42" s="473"/>
      <c r="G42" s="474"/>
      <c r="H42" s="17"/>
      <c r="I42" s="17"/>
      <c r="J42" s="72"/>
      <c r="K42"/>
      <c r="L42" s="547"/>
    </row>
    <row r="43" spans="1:123" s="18" customFormat="1" ht="86.25" customHeight="1" x14ac:dyDescent="0.3">
      <c r="A43" s="100">
        <v>592</v>
      </c>
      <c r="B43" s="373" t="s">
        <v>58</v>
      </c>
      <c r="C43" s="373" t="s">
        <v>325</v>
      </c>
      <c r="D43" s="383" t="s">
        <v>686</v>
      </c>
      <c r="E43" s="371" t="e">
        <f>INDEX('PY1 Data(H)'!$A$1:$CZ$265,MATCH('Unit Data from Audit Worksheet'!$A43,'PY1 Data(H)'!$A$1:$A$258,0),MATCH('Unit Data from Audit Worksheet'!$D$2,'PY1 Data(H)'!$A$1:$CZ$1,0))</f>
        <v>#N/A</v>
      </c>
      <c r="F43" s="795">
        <v>0</v>
      </c>
      <c r="G43" s="401"/>
      <c r="H43" s="402"/>
      <c r="I43" s="342"/>
      <c r="K43"/>
      <c r="L43" s="547"/>
      <c r="M43"/>
      <c r="O43" s="186"/>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row>
    <row r="44" spans="1:123" s="18" customFormat="1" ht="71.25" customHeight="1" x14ac:dyDescent="0.3">
      <c r="A44" s="100">
        <v>591</v>
      </c>
      <c r="B44" s="373" t="s">
        <v>58</v>
      </c>
      <c r="C44" s="373" t="s">
        <v>325</v>
      </c>
      <c r="D44" s="99" t="s">
        <v>326</v>
      </c>
      <c r="E44" s="371" t="e">
        <f>INDEX('PY1 Data(H)'!$A$1:$CZ$265,MATCH('Unit Data from Audit Worksheet'!$A44,'PY1 Data(H)'!$A$1:$A$258,0),MATCH('Unit Data from Audit Worksheet'!$D$2,'PY1 Data(H)'!$A$1:$CZ$1,0))</f>
        <v>#N/A</v>
      </c>
      <c r="F44" s="795">
        <v>0</v>
      </c>
      <c r="G44" s="401">
        <f>IF(F44&lt;0,"Error: Enter as positive.",)</f>
        <v>0</v>
      </c>
      <c r="H44" s="402"/>
      <c r="I44" s="342"/>
      <c r="K44"/>
      <c r="L44" s="547"/>
      <c r="M44"/>
      <c r="O44" s="186"/>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row>
    <row r="45" spans="1:123" ht="27" customHeight="1" x14ac:dyDescent="0.3">
      <c r="A45" s="100"/>
      <c r="B45" s="489" t="s">
        <v>137</v>
      </c>
      <c r="C45" s="499"/>
      <c r="D45" s="475"/>
      <c r="E45" s="476"/>
      <c r="F45" s="476"/>
      <c r="G45" s="477"/>
      <c r="H45" s="17"/>
      <c r="I45" s="17"/>
      <c r="J45" s="72"/>
      <c r="K45"/>
      <c r="L45" s="547"/>
    </row>
    <row r="46" spans="1:123" s="18" customFormat="1" ht="55.5" customHeight="1" x14ac:dyDescent="0.3">
      <c r="A46" s="100">
        <v>506</v>
      </c>
      <c r="B46" s="951" t="s">
        <v>1891</v>
      </c>
      <c r="C46" s="458" t="s">
        <v>141</v>
      </c>
      <c r="D46" s="99" t="s">
        <v>687</v>
      </c>
      <c r="E46" s="371" t="e">
        <f>INDEX('PY1 Data(H)'!$A$1:$CZ$265,MATCH('Unit Data from Audit Worksheet'!$A46,'PY1 Data(H)'!$A$1:$A$258,0),MATCH('Unit Data from Audit Worksheet'!$D$2,'PY1 Data(H)'!$A$1:$CZ$1,0))</f>
        <v>#N/A</v>
      </c>
      <c r="F46" s="795">
        <v>0</v>
      </c>
      <c r="G46" s="401">
        <f>IF(F46&lt;0,"Note: Number is normally positive.",)</f>
        <v>0</v>
      </c>
      <c r="H46" s="402"/>
      <c r="I46" s="17"/>
      <c r="J46" s="72"/>
      <c r="K46"/>
      <c r="L46" s="547"/>
      <c r="M46"/>
      <c r="O46" s="18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row>
    <row r="47" spans="1:123" s="18" customFormat="1" ht="63.6" customHeight="1" x14ac:dyDescent="0.3">
      <c r="A47" s="100">
        <v>536</v>
      </c>
      <c r="B47" s="951" t="s">
        <v>1891</v>
      </c>
      <c r="C47" s="458" t="s">
        <v>141</v>
      </c>
      <c r="D47" s="99" t="s">
        <v>138</v>
      </c>
      <c r="E47" s="371" t="e">
        <f>INDEX('PY1 Data(H)'!$A$1:$CZ$265,MATCH('Unit Data from Audit Worksheet'!$A47,'PY1 Data(H)'!$A$1:$A$258,0),MATCH('Unit Data from Audit Worksheet'!$D$2,'PY1 Data(H)'!$A$1:$CZ$1,0))</f>
        <v>#N/A</v>
      </c>
      <c r="F47" s="795">
        <v>0</v>
      </c>
      <c r="G47" s="401">
        <f>IF(F47&lt;0,"Note: Number is normally positive.",)</f>
        <v>0</v>
      </c>
      <c r="H47" s="402"/>
      <c r="I47" s="402"/>
      <c r="J47" s="403"/>
      <c r="K47"/>
      <c r="L47" s="547"/>
      <c r="M47"/>
      <c r="O47" s="186"/>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row>
    <row r="48" spans="1:123" s="18" customFormat="1" ht="51.75" customHeight="1" x14ac:dyDescent="0.3">
      <c r="A48" s="100">
        <v>586</v>
      </c>
      <c r="B48" s="458" t="s">
        <v>58</v>
      </c>
      <c r="C48" s="458" t="s">
        <v>141</v>
      </c>
      <c r="D48" s="376" t="s">
        <v>312</v>
      </c>
      <c r="E48" s="371" t="e">
        <f>INDEX('PY1 Data(H)'!$A$1:$CZ$265,MATCH('Unit Data from Audit Worksheet'!$A48,'PY1 Data(H)'!$A$1:$A$258,0),MATCH('Unit Data from Audit Worksheet'!$D$2,'PY1 Data(H)'!$A$1:$CZ$1,0))</f>
        <v>#N/A</v>
      </c>
      <c r="F48" s="795">
        <v>0</v>
      </c>
      <c r="G48" s="401">
        <f>IF(F48&lt;0,"Note: Number is normally positive.",)</f>
        <v>0</v>
      </c>
      <c r="H48" s="402"/>
      <c r="I48" s="402"/>
      <c r="J48" s="403"/>
      <c r="K48"/>
      <c r="L48" s="547"/>
      <c r="M48"/>
      <c r="O48" s="186"/>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row>
    <row r="49" spans="1:123" ht="37.5" customHeight="1" x14ac:dyDescent="0.3">
      <c r="A49" s="100">
        <v>379</v>
      </c>
      <c r="B49" s="458" t="s">
        <v>59</v>
      </c>
      <c r="C49" s="458" t="s">
        <v>141</v>
      </c>
      <c r="D49" s="99" t="s">
        <v>122</v>
      </c>
      <c r="E49" s="371" t="e">
        <f>INDEX('PY1 Data(H)'!$A$1:$CZ$265,MATCH('Unit Data from Audit Worksheet'!$A49,'PY1 Data(H)'!$A$1:$A$258,0),MATCH('Unit Data from Audit Worksheet'!$D$2,'PY1 Data(H)'!$A$1:$CZ$1,0))</f>
        <v>#N/A</v>
      </c>
      <c r="F49" s="795">
        <v>0</v>
      </c>
      <c r="G49" s="401">
        <f>IF((F46+F47)&gt;F49,"Error: Please review account numbers (506+536)&gt;379",)</f>
        <v>0</v>
      </c>
      <c r="H49" s="402"/>
      <c r="I49" s="17"/>
      <c r="J49" s="72"/>
      <c r="K49"/>
      <c r="L49" s="547"/>
    </row>
    <row r="50" spans="1:123" ht="93" customHeight="1" x14ac:dyDescent="0.3">
      <c r="A50" s="100">
        <v>368</v>
      </c>
      <c r="B50" s="458" t="s">
        <v>1449</v>
      </c>
      <c r="C50" s="458" t="s">
        <v>141</v>
      </c>
      <c r="D50" s="383" t="s">
        <v>688</v>
      </c>
      <c r="E50" s="371" t="e">
        <f>INDEX('PY1 Data(H)'!$A$1:$CZ$265,MATCH('Unit Data from Audit Worksheet'!$A50,'PY1 Data(H)'!$A$1:$A$258,0),MATCH('Unit Data from Audit Worksheet'!$D$2,'PY1 Data(H)'!$A$1:$CZ$1,0))</f>
        <v>#N/A</v>
      </c>
      <c r="F50" s="795">
        <v>0</v>
      </c>
      <c r="G50" s="401">
        <f t="shared" ref="G50:G56" si="1">IF(F50&lt;0,"Error: Enter as positive.",)</f>
        <v>0</v>
      </c>
      <c r="H50" s="402"/>
      <c r="I50" s="402"/>
      <c r="J50" s="402"/>
      <c r="K50"/>
      <c r="L50" s="547"/>
    </row>
    <row r="51" spans="1:123" ht="87" customHeight="1" x14ac:dyDescent="0.3">
      <c r="A51" s="100">
        <v>4</v>
      </c>
      <c r="B51" s="951" t="s">
        <v>1891</v>
      </c>
      <c r="C51" s="458" t="s">
        <v>141</v>
      </c>
      <c r="D51" s="188" t="s">
        <v>689</v>
      </c>
      <c r="E51" s="371" t="e">
        <f>INDEX('PY1 Data(H)'!$A$1:$CZ$265,MATCH('Unit Data from Audit Worksheet'!$A51,'PY1 Data(H)'!$A$1:$A$258,0),MATCH('Unit Data from Audit Worksheet'!$D$2,'PY1 Data(H)'!$A$1:$CZ$1,0))</f>
        <v>#N/A</v>
      </c>
      <c r="F51" s="795">
        <v>0</v>
      </c>
      <c r="G51" s="401">
        <f t="shared" si="1"/>
        <v>0</v>
      </c>
      <c r="H51" s="402"/>
      <c r="I51" s="17"/>
      <c r="J51" s="72"/>
      <c r="K51"/>
      <c r="L51" s="547"/>
    </row>
    <row r="52" spans="1:123" ht="132" customHeight="1" x14ac:dyDescent="0.3">
      <c r="A52" s="100">
        <v>5</v>
      </c>
      <c r="B52" s="951" t="s">
        <v>1891</v>
      </c>
      <c r="C52" s="458" t="s">
        <v>141</v>
      </c>
      <c r="D52" s="211" t="s">
        <v>690</v>
      </c>
      <c r="E52" s="371" t="e">
        <f>INDEX('PY1 Data(H)'!$A$1:$CZ$265,MATCH('Unit Data from Audit Worksheet'!$A52,'PY1 Data(H)'!$A$1:$A$258,0),MATCH('Unit Data from Audit Worksheet'!$D$2,'PY1 Data(H)'!$A$1:$CZ$1,0))</f>
        <v>#N/A</v>
      </c>
      <c r="F52" s="795">
        <v>0</v>
      </c>
      <c r="G52" s="401">
        <f t="shared" si="1"/>
        <v>0</v>
      </c>
      <c r="H52" s="402"/>
      <c r="I52" s="17"/>
      <c r="J52" s="72"/>
      <c r="K52"/>
      <c r="L52" s="547"/>
    </row>
    <row r="53" spans="1:123" ht="93.75" customHeight="1" x14ac:dyDescent="0.3">
      <c r="A53" s="100">
        <v>380</v>
      </c>
      <c r="B53" s="458" t="s">
        <v>59</v>
      </c>
      <c r="C53" s="458" t="s">
        <v>141</v>
      </c>
      <c r="D53" s="211" t="s">
        <v>691</v>
      </c>
      <c r="E53" s="371" t="e">
        <f>INDEX('PY1 Data(H)'!$A$1:$CZ$265,MATCH('Unit Data from Audit Worksheet'!$A53,'PY1 Data(H)'!$A$1:$A$258,0),MATCH('Unit Data from Audit Worksheet'!$D$2,'PY1 Data(H)'!$A$1:$CZ$1,0))</f>
        <v>#N/A</v>
      </c>
      <c r="F53" s="795">
        <v>0</v>
      </c>
      <c r="G53" s="401">
        <f t="shared" si="1"/>
        <v>0</v>
      </c>
      <c r="H53" s="402"/>
      <c r="I53" s="17"/>
      <c r="J53" s="72"/>
      <c r="K53"/>
      <c r="L53" s="547"/>
    </row>
    <row r="54" spans="1:123" ht="48.75" customHeight="1" x14ac:dyDescent="0.3">
      <c r="A54" s="100">
        <v>391</v>
      </c>
      <c r="B54" s="458" t="s">
        <v>68</v>
      </c>
      <c r="C54" s="458" t="s">
        <v>141</v>
      </c>
      <c r="D54" s="99" t="s">
        <v>139</v>
      </c>
      <c r="E54" s="371" t="e">
        <f>INDEX('PY1 Data(H)'!$A$1:$CZ$265,MATCH('Unit Data from Audit Worksheet'!$A54,'PY1 Data(H)'!$A$1:$A$258,0),MATCH('Unit Data from Audit Worksheet'!$D$2,'PY1 Data(H)'!$A$1:$CZ$1,0))</f>
        <v>#N/A</v>
      </c>
      <c r="F54" s="795">
        <v>0</v>
      </c>
      <c r="G54" s="401">
        <f t="shared" si="1"/>
        <v>0</v>
      </c>
      <c r="H54" s="402"/>
      <c r="I54" s="17"/>
      <c r="J54" s="72"/>
      <c r="K54"/>
      <c r="L54" s="547"/>
    </row>
    <row r="55" spans="1:123" ht="51.75" customHeight="1" x14ac:dyDescent="0.3">
      <c r="A55" s="100">
        <v>7</v>
      </c>
      <c r="B55" s="458" t="s">
        <v>68</v>
      </c>
      <c r="C55" s="458" t="s">
        <v>141</v>
      </c>
      <c r="D55" s="99" t="s">
        <v>140</v>
      </c>
      <c r="E55" s="371" t="e">
        <f>INDEX('PY1 Data(H)'!$A$1:$CZ$265,MATCH('Unit Data from Audit Worksheet'!$A55,'PY1 Data(H)'!$A$1:$A$258,0),MATCH('Unit Data from Audit Worksheet'!$D$2,'PY1 Data(H)'!$A$1:$CZ$1,0))</f>
        <v>#N/A</v>
      </c>
      <c r="F55" s="795">
        <v>0</v>
      </c>
      <c r="G55" s="401">
        <f t="shared" si="1"/>
        <v>0</v>
      </c>
      <c r="H55" s="402"/>
      <c r="I55" s="17"/>
      <c r="J55" s="72"/>
      <c r="K55"/>
      <c r="L55" s="547"/>
    </row>
    <row r="56" spans="1:123" ht="83.4" customHeight="1" x14ac:dyDescent="0.3">
      <c r="A56" s="100">
        <v>11</v>
      </c>
      <c r="B56" s="951" t="s">
        <v>1892</v>
      </c>
      <c r="C56" s="458" t="s">
        <v>141</v>
      </c>
      <c r="D56" s="383" t="s">
        <v>692</v>
      </c>
      <c r="E56" s="371" t="e">
        <f>INDEX('PY1 Data(H)'!$A$1:$CZ$265,MATCH('Unit Data from Audit Worksheet'!$A56,'PY1 Data(H)'!$A$1:$A$258,0),MATCH('Unit Data from Audit Worksheet'!$D$2,'PY1 Data(H)'!$A$1:$CZ$1,0))</f>
        <v>#N/A</v>
      </c>
      <c r="F56" s="795">
        <v>0</v>
      </c>
      <c r="G56" s="401">
        <f t="shared" si="1"/>
        <v>0</v>
      </c>
      <c r="H56" s="402"/>
      <c r="I56" s="17"/>
      <c r="J56" s="72"/>
      <c r="K56"/>
      <c r="L56" s="547"/>
    </row>
    <row r="57" spans="1:123" ht="78.75" customHeight="1" x14ac:dyDescent="0.3">
      <c r="A57" s="189">
        <v>645</v>
      </c>
      <c r="B57" s="461" t="s">
        <v>358</v>
      </c>
      <c r="C57" s="461" t="s">
        <v>141</v>
      </c>
      <c r="D57" s="638" t="s">
        <v>384</v>
      </c>
      <c r="E57" s="371" t="e">
        <f>INDEX('PY1 Data(H)'!$A$1:$CZ$265,MATCH('Unit Data from Audit Worksheet'!$A57,'PY1 Data(H)'!$A$1:$A$258,0),MATCH('Unit Data from Audit Worksheet'!$D$2,'PY1 Data(H)'!$A$1:$CZ$1,0))</f>
        <v>#N/A</v>
      </c>
      <c r="F57" s="795">
        <v>0</v>
      </c>
      <c r="G57" s="401">
        <f>IF(F57&lt;0,"Note: Number is normally positive.",)</f>
        <v>0</v>
      </c>
      <c r="H57" s="402"/>
      <c r="I57" s="402"/>
      <c r="J57" s="403"/>
      <c r="K57"/>
      <c r="L57" s="547"/>
    </row>
    <row r="58" spans="1:123" ht="78.75" customHeight="1" x14ac:dyDescent="0.3">
      <c r="A58" s="189">
        <v>646</v>
      </c>
      <c r="B58" s="461" t="s">
        <v>358</v>
      </c>
      <c r="C58" s="461" t="s">
        <v>141</v>
      </c>
      <c r="D58" s="188" t="s">
        <v>359</v>
      </c>
      <c r="E58" s="371" t="e">
        <f>INDEX('PY1 Data(H)'!$A$1:$CZ$265,MATCH('Unit Data from Audit Worksheet'!$A58,'PY1 Data(H)'!$A$1:$A$258,0),MATCH('Unit Data from Audit Worksheet'!$D$2,'PY1 Data(H)'!$A$1:$CZ$1,0))</f>
        <v>#N/A</v>
      </c>
      <c r="F58" s="795">
        <v>0</v>
      </c>
      <c r="G58" s="401">
        <f>IF(F58&lt;0,"Note: Number is normally positive.",)</f>
        <v>0</v>
      </c>
      <c r="H58" s="402"/>
      <c r="I58" s="402"/>
      <c r="J58" s="403"/>
      <c r="K58"/>
      <c r="L58" s="547"/>
    </row>
    <row r="59" spans="1:123" ht="138" customHeight="1" x14ac:dyDescent="0.3">
      <c r="A59" s="100">
        <v>9</v>
      </c>
      <c r="B59" s="951" t="s">
        <v>1895</v>
      </c>
      <c r="C59" s="458" t="s">
        <v>141</v>
      </c>
      <c r="D59" s="383" t="s">
        <v>693</v>
      </c>
      <c r="E59" s="371" t="e">
        <f>INDEX('PY1 Data(H)'!$A$1:$CZ$265,MATCH('Unit Data from Audit Worksheet'!$A59,'PY1 Data(H)'!$A$1:$A$258,0),MATCH('Unit Data from Audit Worksheet'!$D$2,'PY1 Data(H)'!$A$1:$CZ$1,0))</f>
        <v>#N/A</v>
      </c>
      <c r="F59" s="795">
        <v>0</v>
      </c>
      <c r="G59" s="401">
        <f>IF(F49-F51-F52-F53-F59=0,,"Error: Total assets less total liabilities do not equal total fund balance. Account numbers 379-4-5-380-9= 0  The amount of the formula is in the cell to the right")</f>
        <v>0</v>
      </c>
      <c r="H59" s="404">
        <f>F49-F51-F52-F53-F59</f>
        <v>0</v>
      </c>
      <c r="I59" s="17"/>
      <c r="J59" s="72"/>
      <c r="K59"/>
      <c r="L59" s="547"/>
    </row>
    <row r="60" spans="1:123" s="18" customFormat="1" ht="63.75" customHeight="1" x14ac:dyDescent="0.3">
      <c r="A60" s="100">
        <v>540</v>
      </c>
      <c r="B60" s="373" t="s">
        <v>58</v>
      </c>
      <c r="C60" s="373" t="s">
        <v>694</v>
      </c>
      <c r="D60" s="99" t="s">
        <v>385</v>
      </c>
      <c r="E60" s="371" t="e">
        <f>INDEX('PY1 Data(H)'!$A$1:$CZ$265,MATCH('Unit Data from Audit Worksheet'!$A60,'PY1 Data(H)'!$A$1:$A$258,0),MATCH('Unit Data from Audit Worksheet'!$D$2,'PY1 Data(H)'!$A$1:$CZ$1,0))</f>
        <v>#N/A</v>
      </c>
      <c r="F60" s="795">
        <v>0</v>
      </c>
      <c r="G60" s="401"/>
      <c r="H60" s="402"/>
      <c r="I60" s="402"/>
      <c r="J60" s="403"/>
      <c r="K60"/>
      <c r="L60" s="547"/>
      <c r="M60"/>
      <c r="O60" s="186"/>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row>
    <row r="61" spans="1:123" s="18" customFormat="1" ht="63.75" customHeight="1" x14ac:dyDescent="0.3">
      <c r="A61" s="100">
        <v>1052</v>
      </c>
      <c r="B61" s="373" t="s">
        <v>58</v>
      </c>
      <c r="C61" s="780" t="s">
        <v>144</v>
      </c>
      <c r="D61" s="776" t="s">
        <v>1486</v>
      </c>
      <c r="E61" s="371" t="e">
        <f>INDEX('PY1 Data(H)'!$A$1:$CZ$265,MATCH('Unit Data from Audit Worksheet'!$A61,'PY1 Data(H)'!$A$1:$A$258,0),MATCH('Unit Data from Audit Worksheet'!$D$2,'PY1 Data(H)'!$A$1:$CZ$1,0))</f>
        <v>#N/A</v>
      </c>
      <c r="F61" s="795">
        <v>0</v>
      </c>
      <c r="G61" s="401"/>
      <c r="H61" s="402"/>
      <c r="I61" s="402"/>
      <c r="J61" s="403"/>
      <c r="K61" s="180"/>
      <c r="L61" s="547"/>
      <c r="M61" s="180"/>
      <c r="O61" s="186"/>
      <c r="Z61" s="180"/>
      <c r="AA61" s="180"/>
      <c r="AB61" s="180"/>
      <c r="AC61" s="180"/>
      <c r="AD61" s="180"/>
      <c r="AE61" s="180"/>
      <c r="AF61" s="180"/>
      <c r="AG61" s="180"/>
      <c r="AH61" s="180"/>
      <c r="AI61" s="180"/>
      <c r="AJ61" s="180"/>
      <c r="AK61" s="180"/>
      <c r="AL61" s="180"/>
      <c r="AM61" s="180"/>
      <c r="AN61" s="180"/>
      <c r="AO61" s="180"/>
      <c r="AP61" s="180"/>
      <c r="AQ61" s="180"/>
      <c r="AR61" s="180"/>
      <c r="AS61" s="180"/>
      <c r="AT61" s="180"/>
      <c r="AU61" s="180"/>
      <c r="AV61" s="180"/>
      <c r="AW61" s="180"/>
      <c r="AX61" s="180"/>
      <c r="AY61" s="180"/>
      <c r="AZ61" s="180"/>
      <c r="BA61" s="180"/>
      <c r="BB61" s="180"/>
      <c r="BC61" s="180"/>
      <c r="BD61" s="180"/>
      <c r="BE61" s="180"/>
      <c r="BF61" s="180"/>
      <c r="BG61" s="180"/>
      <c r="BH61" s="180"/>
      <c r="BI61" s="180"/>
      <c r="BJ61" s="180"/>
      <c r="BK61" s="180"/>
      <c r="BL61" s="180"/>
      <c r="BM61" s="180"/>
      <c r="BN61" s="180"/>
      <c r="BO61" s="180"/>
      <c r="BP61" s="180"/>
      <c r="BQ61" s="180"/>
      <c r="BR61" s="180"/>
      <c r="BS61" s="180"/>
      <c r="BT61" s="180"/>
      <c r="BU61" s="180"/>
      <c r="BV61" s="180"/>
      <c r="BW61" s="180"/>
      <c r="BX61" s="180"/>
      <c r="BY61" s="180"/>
      <c r="BZ61" s="180"/>
      <c r="CA61" s="180"/>
      <c r="CB61" s="180"/>
      <c r="CC61" s="180"/>
      <c r="CD61" s="180"/>
      <c r="CE61" s="180"/>
      <c r="CF61" s="180"/>
      <c r="CG61" s="180"/>
      <c r="CH61" s="180"/>
      <c r="CI61" s="180"/>
      <c r="CJ61" s="180"/>
      <c r="CK61" s="180"/>
      <c r="CL61" s="180"/>
      <c r="CM61" s="180"/>
      <c r="CN61" s="180"/>
      <c r="CO61" s="180"/>
      <c r="CP61" s="180"/>
      <c r="CQ61" s="180"/>
      <c r="CR61" s="180"/>
      <c r="CS61" s="180"/>
      <c r="CT61" s="180"/>
      <c r="CU61" s="180"/>
      <c r="CV61" s="180"/>
      <c r="CW61" s="180"/>
      <c r="CX61" s="180"/>
      <c r="CY61" s="180"/>
      <c r="CZ61" s="180"/>
      <c r="DA61" s="180"/>
      <c r="DB61" s="180"/>
      <c r="DC61" s="180"/>
      <c r="DD61" s="180"/>
      <c r="DE61" s="180"/>
      <c r="DF61" s="180"/>
      <c r="DG61" s="180"/>
      <c r="DH61" s="180"/>
      <c r="DI61" s="180"/>
      <c r="DJ61" s="180"/>
      <c r="DK61" s="180"/>
      <c r="DL61" s="180"/>
      <c r="DM61" s="180"/>
      <c r="DN61" s="180"/>
      <c r="DO61" s="180"/>
      <c r="DP61" s="180"/>
      <c r="DQ61" s="180"/>
      <c r="DR61" s="180"/>
      <c r="DS61" s="180"/>
    </row>
    <row r="62" spans="1:123" ht="30" customHeight="1" x14ac:dyDescent="0.3">
      <c r="A62" s="100"/>
      <c r="B62" s="489" t="s">
        <v>143</v>
      </c>
      <c r="C62" s="499"/>
      <c r="D62" s="472"/>
      <c r="E62" s="473"/>
      <c r="F62" s="473"/>
      <c r="G62" s="474"/>
      <c r="H62" s="17"/>
      <c r="I62" s="17"/>
      <c r="J62" s="72"/>
      <c r="K62"/>
      <c r="L62" s="547"/>
    </row>
    <row r="63" spans="1:123" ht="82.5" customHeight="1" x14ac:dyDescent="0.3">
      <c r="A63" s="100">
        <v>984</v>
      </c>
      <c r="B63" s="950" t="s">
        <v>1905</v>
      </c>
      <c r="C63" s="373" t="s">
        <v>694</v>
      </c>
      <c r="D63" s="383" t="s">
        <v>774</v>
      </c>
      <c r="E63" s="371" t="e">
        <f>INDEX('PY1 Data(H)'!$A$1:$CZ$265,MATCH('Unit Data from Audit Worksheet'!$A63,'PY1 Data(H)'!$A$1:$A$258,0),MATCH('Unit Data from Audit Worksheet'!$D$2,'PY1 Data(H)'!$A$1:$CZ$1,0))</f>
        <v>#N/A</v>
      </c>
      <c r="F63" s="795">
        <v>0</v>
      </c>
      <c r="G63" s="401"/>
      <c r="H63" s="17"/>
      <c r="I63" s="17"/>
      <c r="J63" s="72"/>
      <c r="K63"/>
      <c r="L63" s="547"/>
    </row>
    <row r="64" spans="1:123" ht="69" customHeight="1" x14ac:dyDescent="0.3">
      <c r="A64" s="100">
        <v>985</v>
      </c>
      <c r="B64" s="950" t="s">
        <v>1905</v>
      </c>
      <c r="C64" s="373" t="s">
        <v>694</v>
      </c>
      <c r="D64" s="383" t="s">
        <v>775</v>
      </c>
      <c r="E64" s="371" t="e">
        <f>INDEX('PY1 Data(H)'!$A$1:$CZ$265,MATCH('Unit Data from Audit Worksheet'!$A64,'PY1 Data(H)'!$A$1:$A$258,0),MATCH('Unit Data from Audit Worksheet'!$D$2,'PY1 Data(H)'!$A$1:$CZ$1,0))</f>
        <v>#N/A</v>
      </c>
      <c r="F64" s="795">
        <v>0</v>
      </c>
      <c r="G64" s="401"/>
      <c r="H64" s="17"/>
      <c r="I64" s="17"/>
      <c r="J64" s="72"/>
      <c r="K64"/>
      <c r="L64" s="547"/>
    </row>
    <row r="65" spans="1:123" ht="52.5" customHeight="1" x14ac:dyDescent="0.3">
      <c r="A65" s="100">
        <v>369</v>
      </c>
      <c r="B65" s="4" t="s">
        <v>55</v>
      </c>
      <c r="C65" s="4" t="s">
        <v>144</v>
      </c>
      <c r="D65" s="383" t="s">
        <v>695</v>
      </c>
      <c r="E65" s="371" t="e">
        <f>INDEX('PY1 Data(H)'!$A$1:$CZ$265,MATCH('Unit Data from Audit Worksheet'!$A65,'PY1 Data(H)'!$A$1:$A$258,0),MATCH('Unit Data from Audit Worksheet'!$D$2,'PY1 Data(H)'!$A$1:$CZ$1,0))</f>
        <v>#N/A</v>
      </c>
      <c r="F65" s="795">
        <v>0</v>
      </c>
      <c r="G65" s="401"/>
      <c r="H65" s="17"/>
      <c r="I65" s="17"/>
      <c r="J65" s="72"/>
      <c r="K65"/>
      <c r="L65" s="547"/>
    </row>
    <row r="66" spans="1:123" ht="57.75" customHeight="1" x14ac:dyDescent="0.3">
      <c r="A66" s="100">
        <v>16</v>
      </c>
      <c r="B66" s="4" t="s">
        <v>65</v>
      </c>
      <c r="C66" s="4" t="s">
        <v>144</v>
      </c>
      <c r="D66" s="99" t="s">
        <v>142</v>
      </c>
      <c r="E66" s="371" t="e">
        <f>INDEX('PY1 Data(H)'!$A$1:$CZ$265,MATCH('Unit Data from Audit Worksheet'!$A66,'PY1 Data(H)'!$A$1:$A$258,0),MATCH('Unit Data from Audit Worksheet'!$D$2,'PY1 Data(H)'!$A$1:$CZ$1,0))</f>
        <v>#N/A</v>
      </c>
      <c r="F66" s="795">
        <v>0</v>
      </c>
      <c r="G66" s="401"/>
      <c r="H66" s="17"/>
      <c r="I66" s="17"/>
      <c r="J66" s="72"/>
      <c r="K66"/>
      <c r="L66" s="547"/>
    </row>
    <row r="67" spans="1:123" ht="65.25" customHeight="1" x14ac:dyDescent="0.3">
      <c r="A67" s="100">
        <v>370</v>
      </c>
      <c r="B67" s="4" t="s">
        <v>55</v>
      </c>
      <c r="C67" s="4" t="s">
        <v>144</v>
      </c>
      <c r="D67" s="383" t="s">
        <v>696</v>
      </c>
      <c r="E67" s="371" t="e">
        <f>INDEX('PY1 Data(H)'!$A$1:$CZ$265,MATCH('Unit Data from Audit Worksheet'!$A67,'PY1 Data(H)'!$A$1:$A$258,0),MATCH('Unit Data from Audit Worksheet'!$D$2,'PY1 Data(H)'!$A$1:$CZ$1,0))</f>
        <v>#N/A</v>
      </c>
      <c r="F67" s="795">
        <v>0</v>
      </c>
      <c r="G67" s="401">
        <f>IF(F67&lt;0,"Error: Enter as positive.",)</f>
        <v>0</v>
      </c>
      <c r="H67" s="17"/>
      <c r="I67" s="17"/>
      <c r="J67" s="72"/>
      <c r="K67"/>
      <c r="L67" s="547"/>
    </row>
    <row r="68" spans="1:123" ht="69.75" customHeight="1" x14ac:dyDescent="0.3">
      <c r="A68" s="100">
        <v>532</v>
      </c>
      <c r="B68" s="950" t="s">
        <v>1891</v>
      </c>
      <c r="C68" s="4" t="s">
        <v>144</v>
      </c>
      <c r="D68" s="379" t="s">
        <v>697</v>
      </c>
      <c r="E68" s="371" t="e">
        <f>INDEX('PY1 Data(H)'!$A$1:$CZ$265,MATCH('Unit Data from Audit Worksheet'!$A68,'PY1 Data(H)'!$A$1:$A$258,0),MATCH('Unit Data from Audit Worksheet'!$D$2,'PY1 Data(H)'!$A$1:$CZ$1,0))</f>
        <v>#N/A</v>
      </c>
      <c r="F68" s="795">
        <v>0</v>
      </c>
      <c r="G68" s="401">
        <f>IF(F68&lt;0,"Error: Enter as positive.",)</f>
        <v>0</v>
      </c>
      <c r="H68" s="17"/>
      <c r="I68" s="17"/>
      <c r="J68" s="72"/>
      <c r="K68"/>
      <c r="L68" s="547"/>
    </row>
    <row r="69" spans="1:123" ht="69.75" customHeight="1" x14ac:dyDescent="0.3">
      <c r="A69" s="100">
        <v>1050</v>
      </c>
      <c r="B69" s="953" t="s">
        <v>1894</v>
      </c>
      <c r="C69" s="780" t="s">
        <v>144</v>
      </c>
      <c r="D69" s="781" t="s">
        <v>1437</v>
      </c>
      <c r="E69" s="371" t="e">
        <f>INDEX('PY1 Data(H)'!$A$1:$CZ$265,MATCH('Unit Data from Audit Worksheet'!$A69,'PY1 Data(H)'!$A$1:$A$258,0),MATCH('Unit Data from Audit Worksheet'!$D$2,'PY1 Data(H)'!$A$1:$CZ$1,0))</f>
        <v>#N/A</v>
      </c>
      <c r="F69" s="795">
        <v>0</v>
      </c>
      <c r="G69" s="401">
        <f>IF(F69&lt;0,"Error: Enter as positive.",)</f>
        <v>0</v>
      </c>
      <c r="H69" s="17"/>
      <c r="I69" s="17"/>
      <c r="J69" s="72"/>
      <c r="K69" s="180"/>
      <c r="L69" s="547"/>
      <c r="M69" s="180"/>
      <c r="Z69" s="180"/>
      <c r="AA69" s="180"/>
      <c r="AB69" s="180"/>
      <c r="AC69" s="180"/>
      <c r="AD69" s="180"/>
      <c r="AE69" s="180"/>
      <c r="AF69" s="180"/>
      <c r="AG69" s="180"/>
      <c r="AH69" s="180"/>
      <c r="AI69" s="180"/>
      <c r="AJ69" s="180"/>
      <c r="AK69" s="180"/>
      <c r="AL69" s="180"/>
      <c r="AM69" s="180"/>
      <c r="AN69" s="180"/>
      <c r="AO69" s="180"/>
      <c r="AP69" s="180"/>
      <c r="AQ69" s="180"/>
      <c r="AR69" s="180"/>
      <c r="AS69" s="180"/>
      <c r="AT69" s="180"/>
      <c r="AU69" s="180"/>
      <c r="AV69" s="180"/>
      <c r="AW69" s="180"/>
      <c r="AX69" s="180"/>
      <c r="AY69" s="180"/>
      <c r="AZ69" s="180"/>
      <c r="BA69" s="180"/>
      <c r="BB69" s="180"/>
      <c r="BC69" s="180"/>
      <c r="BD69" s="180"/>
      <c r="BE69" s="180"/>
      <c r="BF69" s="180"/>
      <c r="BG69" s="180"/>
      <c r="BH69" s="180"/>
      <c r="BI69" s="180"/>
      <c r="BJ69" s="180"/>
      <c r="BK69" s="180"/>
      <c r="BL69" s="180"/>
      <c r="BM69" s="180"/>
      <c r="BN69" s="180"/>
      <c r="BO69" s="180"/>
      <c r="BP69" s="180"/>
      <c r="BQ69" s="180"/>
      <c r="BR69" s="180"/>
      <c r="BS69" s="180"/>
      <c r="BT69" s="180"/>
      <c r="BU69" s="180"/>
      <c r="BV69" s="180"/>
      <c r="BW69" s="180"/>
      <c r="BX69" s="180"/>
      <c r="BY69" s="180"/>
      <c r="BZ69" s="180"/>
      <c r="CA69" s="180"/>
      <c r="CB69" s="180"/>
      <c r="CC69" s="180"/>
      <c r="CD69" s="180"/>
      <c r="CE69" s="180"/>
      <c r="CF69" s="180"/>
      <c r="CG69" s="180"/>
      <c r="CH69" s="180"/>
      <c r="CI69" s="180"/>
      <c r="CJ69" s="180"/>
      <c r="CK69" s="180"/>
      <c r="CL69" s="180"/>
      <c r="CM69" s="180"/>
      <c r="CN69" s="180"/>
      <c r="CO69" s="180"/>
      <c r="CP69" s="180"/>
      <c r="CQ69" s="180"/>
      <c r="CR69" s="180"/>
      <c r="CS69" s="180"/>
      <c r="CT69" s="180"/>
      <c r="CU69" s="180"/>
      <c r="CV69" s="180"/>
      <c r="CW69" s="180"/>
      <c r="CX69" s="180"/>
      <c r="CY69" s="180"/>
      <c r="CZ69" s="180"/>
      <c r="DA69" s="180"/>
      <c r="DB69" s="180"/>
      <c r="DC69" s="180"/>
      <c r="DD69" s="180"/>
      <c r="DE69" s="180"/>
      <c r="DF69" s="180"/>
      <c r="DG69" s="180"/>
      <c r="DH69" s="180"/>
      <c r="DI69" s="180"/>
      <c r="DJ69" s="180"/>
      <c r="DK69" s="180"/>
      <c r="DL69" s="180"/>
      <c r="DM69" s="180"/>
      <c r="DN69" s="180"/>
      <c r="DO69" s="180"/>
      <c r="DP69" s="180"/>
      <c r="DQ69" s="180"/>
      <c r="DR69" s="180"/>
      <c r="DS69" s="180"/>
    </row>
    <row r="70" spans="1:123" ht="58.95" customHeight="1" x14ac:dyDescent="0.3">
      <c r="A70" s="100">
        <v>17</v>
      </c>
      <c r="B70" s="4" t="s">
        <v>59</v>
      </c>
      <c r="C70" s="4" t="s">
        <v>144</v>
      </c>
      <c r="D70" s="99" t="s">
        <v>698</v>
      </c>
      <c r="E70" s="371" t="e">
        <f>INDEX('PY1 Data(H)'!$A$1:$CZ$265,MATCH('Unit Data from Audit Worksheet'!$A70,'PY1 Data(H)'!$A$1:$A$258,0),MATCH('Unit Data from Audit Worksheet'!$D$2,'PY1 Data(H)'!$A$1:$CZ$1,0))</f>
        <v>#N/A</v>
      </c>
      <c r="F70" s="795">
        <v>0</v>
      </c>
      <c r="G70" s="401"/>
      <c r="H70" s="17"/>
      <c r="I70" s="17"/>
      <c r="J70" s="72"/>
      <c r="K70"/>
      <c r="L70" s="547"/>
    </row>
    <row r="71" spans="1:123" ht="66" customHeight="1" x14ac:dyDescent="0.3">
      <c r="A71" s="100">
        <v>20</v>
      </c>
      <c r="B71" s="950" t="s">
        <v>1891</v>
      </c>
      <c r="C71" s="4" t="s">
        <v>144</v>
      </c>
      <c r="D71" s="99" t="s">
        <v>699</v>
      </c>
      <c r="E71" s="371" t="e">
        <f>INDEX('PY1 Data(H)'!$A$1:$CZ$265,MATCH('Unit Data from Audit Worksheet'!$A71,'PY1 Data(H)'!$A$1:$A$258,0),MATCH('Unit Data from Audit Worksheet'!$D$2,'PY1 Data(H)'!$A$1:$CZ$1,0))</f>
        <v>#N/A</v>
      </c>
      <c r="F71" s="795">
        <v>0</v>
      </c>
      <c r="G71" s="401">
        <f>IF(F71&lt;0,"Error: Enter as positive.",)</f>
        <v>0</v>
      </c>
      <c r="H71" s="17"/>
      <c r="I71" s="17"/>
      <c r="J71" s="72"/>
      <c r="K71"/>
      <c r="L71" s="547"/>
    </row>
    <row r="72" spans="1:123" ht="62.4" customHeight="1" x14ac:dyDescent="0.3">
      <c r="A72" s="100">
        <v>533</v>
      </c>
      <c r="B72" s="950" t="s">
        <v>1891</v>
      </c>
      <c r="C72" s="4" t="s">
        <v>144</v>
      </c>
      <c r="D72" s="379" t="s">
        <v>700</v>
      </c>
      <c r="E72" s="371" t="e">
        <f>INDEX('PY1 Data(H)'!$A$1:$CZ$265,MATCH('Unit Data from Audit Worksheet'!$A72,'PY1 Data(H)'!$A$1:$A$258,0),MATCH('Unit Data from Audit Worksheet'!$D$2,'PY1 Data(H)'!$A$1:$CZ$1,0))</f>
        <v>#N/A</v>
      </c>
      <c r="F72" s="795">
        <v>0</v>
      </c>
      <c r="G72" s="407"/>
      <c r="H72" s="17"/>
      <c r="I72" s="17"/>
      <c r="J72" s="72"/>
      <c r="K72"/>
      <c r="L72" s="547"/>
    </row>
    <row r="73" spans="1:123" s="18" customFormat="1" ht="72.599999999999994" customHeight="1" x14ac:dyDescent="0.3">
      <c r="A73" s="100">
        <v>508</v>
      </c>
      <c r="B73" s="950" t="s">
        <v>1891</v>
      </c>
      <c r="C73" s="4" t="s">
        <v>144</v>
      </c>
      <c r="D73" s="99" t="s">
        <v>290</v>
      </c>
      <c r="E73" s="371" t="e">
        <f>INDEX('PY1 Data(H)'!$A$1:$CZ$265,MATCH('Unit Data from Audit Worksheet'!$A73,'PY1 Data(H)'!$A$1:$A$258,0),MATCH('Unit Data from Audit Worksheet'!$D$2,'PY1 Data(H)'!$A$1:$CZ$1,0))</f>
        <v>#N/A</v>
      </c>
      <c r="F73" s="795">
        <v>0</v>
      </c>
      <c r="G73" s="401"/>
      <c r="H73" s="402"/>
      <c r="I73" s="402"/>
      <c r="J73" s="403"/>
      <c r="K73"/>
      <c r="L73" s="547"/>
      <c r="M73"/>
      <c r="O73" s="186"/>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row>
    <row r="74" spans="1:123" s="18" customFormat="1" ht="81.75" customHeight="1" x14ac:dyDescent="0.3">
      <c r="A74" s="100">
        <v>509</v>
      </c>
      <c r="B74" s="950" t="s">
        <v>1891</v>
      </c>
      <c r="C74" s="4" t="s">
        <v>144</v>
      </c>
      <c r="D74" s="99" t="s">
        <v>288</v>
      </c>
      <c r="E74" s="371" t="e">
        <f>INDEX('PY1 Data(H)'!$A$1:$CZ$265,MATCH('Unit Data from Audit Worksheet'!$A74,'PY1 Data(H)'!$A$1:$A$258,0),MATCH('Unit Data from Audit Worksheet'!$D$2,'PY1 Data(H)'!$A$1:$CZ$1,0))</f>
        <v>#N/A</v>
      </c>
      <c r="F74" s="795">
        <v>0</v>
      </c>
      <c r="G74" s="401">
        <f>IF(F74&lt;0,"Error: Enter as positive.",)</f>
        <v>0</v>
      </c>
      <c r="H74" s="402"/>
      <c r="I74" s="402"/>
      <c r="J74" s="403"/>
      <c r="K74"/>
      <c r="L74" s="547"/>
      <c r="M74"/>
      <c r="O74" s="186"/>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row>
    <row r="75" spans="1:123" ht="69" customHeight="1" x14ac:dyDescent="0.3">
      <c r="A75" s="100">
        <v>22</v>
      </c>
      <c r="B75" s="4" t="s">
        <v>59</v>
      </c>
      <c r="C75" s="4" t="s">
        <v>144</v>
      </c>
      <c r="D75" s="99" t="s">
        <v>289</v>
      </c>
      <c r="E75" s="371" t="e">
        <f>INDEX('PY1 Data(H)'!$A$1:$CZ$265,MATCH('Unit Data from Audit Worksheet'!$A75,'PY1 Data(H)'!$A$1:$A$258,0),MATCH('Unit Data from Audit Worksheet'!$D$2,'PY1 Data(H)'!$A$1:$CZ$1,0))</f>
        <v>#N/A</v>
      </c>
      <c r="F75" s="795">
        <v>0</v>
      </c>
      <c r="G75" s="407"/>
      <c r="H75" s="17"/>
      <c r="I75" s="17"/>
      <c r="J75" s="72"/>
      <c r="K75"/>
      <c r="L75" s="547"/>
    </row>
    <row r="76" spans="1:123" ht="138" customHeight="1" x14ac:dyDescent="0.3">
      <c r="A76" s="100">
        <v>23</v>
      </c>
      <c r="B76" s="4" t="s">
        <v>59</v>
      </c>
      <c r="C76" s="4" t="s">
        <v>144</v>
      </c>
      <c r="D76" s="383" t="s">
        <v>701</v>
      </c>
      <c r="E76" s="371" t="e">
        <f>INDEX('PY1 Data(H)'!$A$1:$CZ$265,MATCH('Unit Data from Audit Worksheet'!$A76,'PY1 Data(H)'!$A$1:$A$258,0),MATCH('Unit Data from Audit Worksheet'!$D$2,'PY1 Data(H)'!$A$1:$CZ$1,0))</f>
        <v>#N/A</v>
      </c>
      <c r="F76" s="795"/>
      <c r="G76" s="401">
        <f>IF(H76=0,,"Error: Total revenues less total expenditures do not equal total change in fund balance.  Account numbers 16-532+17-20+533+22+508-509-23=0  The amount of the formula is located in the cell to the right")</f>
        <v>0</v>
      </c>
      <c r="H76" s="404">
        <f>+F66-F68+F70-F71+F72+F75+F73-F74-F76</f>
        <v>0</v>
      </c>
      <c r="I76" s="17"/>
      <c r="J76" s="72"/>
      <c r="K76"/>
      <c r="L76" s="547"/>
    </row>
    <row r="77" spans="1:123" ht="194.25" customHeight="1" x14ac:dyDescent="0.3">
      <c r="A77" s="100">
        <v>590</v>
      </c>
      <c r="B77" s="950" t="s">
        <v>1945</v>
      </c>
      <c r="C77" s="4"/>
      <c r="D77" s="778" t="s">
        <v>1964</v>
      </c>
      <c r="E77" s="522"/>
      <c r="F77" s="796"/>
      <c r="G77" s="653"/>
      <c r="H77" s="757" t="str">
        <f>IF(F77&lt;&gt;""," ","Please do not leave cell F77 blank.")</f>
        <v>Please do not leave cell F77 blank.</v>
      </c>
      <c r="I77" s="402"/>
      <c r="J77" s="403"/>
      <c r="K77"/>
      <c r="L77" s="547"/>
    </row>
    <row r="78" spans="1:123" ht="138" customHeight="1" x14ac:dyDescent="0.3">
      <c r="A78" s="100">
        <v>507</v>
      </c>
      <c r="B78" s="373" t="s">
        <v>59</v>
      </c>
      <c r="C78" s="373" t="s">
        <v>144</v>
      </c>
      <c r="D78" s="383" t="s">
        <v>702</v>
      </c>
      <c r="E78" s="371" t="e">
        <f>INDEX('PY1 Data(H)'!$A$1:$CZ$265,MATCH('Unit Data from Audit Worksheet'!$A78,'PY1 Data(H)'!$A$1:$A$258,0),MATCH('Unit Data from Audit Worksheet'!$D$2,'PY1 Data(H)'!$A$1:$CZ$1,0))</f>
        <v>#N/A</v>
      </c>
      <c r="F78" s="795">
        <v>0</v>
      </c>
      <c r="G78" s="756" t="e">
        <f>IF(F59-F76-F78=E59,,"Error: Beginning Balance does not agree with our records.  (Acct# 9-23-507)= Prior Years Acct # 9 The amount of the formula is in the cell to the right")</f>
        <v>#N/A</v>
      </c>
      <c r="H78" s="757" t="e">
        <f>+F59-F76-F78-E59</f>
        <v>#N/A</v>
      </c>
      <c r="I78" s="777" t="e">
        <f>IF(H78=0," ","If the out of balance is because prior years data is not populated in cell E59, disregard the error message. Do not include prior year's ending balance in cell F78.")</f>
        <v>#N/A</v>
      </c>
      <c r="J78" s="765"/>
      <c r="K78"/>
      <c r="L78" s="547"/>
    </row>
    <row r="79" spans="1:123" ht="82.5" customHeight="1" x14ac:dyDescent="0.3">
      <c r="A79" s="189">
        <v>647</v>
      </c>
      <c r="B79" s="952" t="s">
        <v>1893</v>
      </c>
      <c r="C79" s="460" t="s">
        <v>360</v>
      </c>
      <c r="D79" s="188" t="s">
        <v>1531</v>
      </c>
      <c r="E79" s="371" t="e">
        <f>INDEX('PY1 Data(H)'!$A$1:$CZ$265,MATCH('Unit Data from Audit Worksheet'!$A79,'PY1 Data(H)'!$A$1:$A$258,0),MATCH('Unit Data from Audit Worksheet'!$D$2,'PY1 Data(H)'!$A$1:$CZ$1,0))</f>
        <v>#N/A</v>
      </c>
      <c r="F79" s="795">
        <v>0</v>
      </c>
      <c r="G79" s="401">
        <f>IF(F79&lt;0,"Error: Enter as positive.",)</f>
        <v>0</v>
      </c>
      <c r="H79" s="408"/>
      <c r="I79" s="17"/>
      <c r="J79" s="72"/>
      <c r="K79"/>
      <c r="L79" s="547"/>
    </row>
    <row r="80" spans="1:123" ht="25.5" customHeight="1" x14ac:dyDescent="0.3">
      <c r="A80" s="100"/>
      <c r="B80" s="489" t="s">
        <v>11</v>
      </c>
      <c r="C80" s="499"/>
      <c r="D80" s="469"/>
      <c r="E80" s="470"/>
      <c r="F80" s="470"/>
      <c r="G80" s="471"/>
      <c r="H80" s="17"/>
      <c r="I80" s="17"/>
      <c r="J80" s="72"/>
      <c r="K80"/>
      <c r="L80" s="547"/>
    </row>
    <row r="81" spans="1:12" ht="78" customHeight="1" x14ac:dyDescent="0.3">
      <c r="A81" s="100">
        <v>171</v>
      </c>
      <c r="B81" s="4" t="s">
        <v>293</v>
      </c>
      <c r="C81" s="4" t="s">
        <v>292</v>
      </c>
      <c r="D81" s="783" t="s">
        <v>703</v>
      </c>
      <c r="E81" s="371" t="e">
        <f>INDEX('PY1 Data(H)'!$A$1:$CZ$265,MATCH('Unit Data from Audit Worksheet'!$A81,'PY1 Data(H)'!$A$1:$A$258,0),MATCH('Unit Data from Audit Worksheet'!$D$2,'PY1 Data(H)'!$A$1:$CZ$1,0))</f>
        <v>#N/A</v>
      </c>
      <c r="F81" s="804">
        <v>0</v>
      </c>
      <c r="G81" s="401">
        <f>IF(F81&lt;0,"Error: Enter as positive.",)</f>
        <v>0</v>
      </c>
      <c r="H81" s="17"/>
      <c r="I81" s="17"/>
      <c r="J81" s="72"/>
      <c r="K81"/>
      <c r="L81" s="547"/>
    </row>
    <row r="82" spans="1:12" ht="18" customHeight="1" x14ac:dyDescent="0.3">
      <c r="A82" s="100"/>
      <c r="B82" s="490" t="s">
        <v>704</v>
      </c>
      <c r="C82" s="499"/>
      <c r="D82" s="467"/>
      <c r="E82" s="486"/>
      <c r="F82" s="485"/>
      <c r="G82" s="486"/>
      <c r="H82" s="17"/>
      <c r="I82" s="17"/>
      <c r="J82" s="72"/>
      <c r="K82"/>
      <c r="L82" s="547"/>
    </row>
    <row r="83" spans="1:12" ht="14.4" customHeight="1" x14ac:dyDescent="0.3">
      <c r="A83" s="100"/>
      <c r="B83" s="490" t="s">
        <v>24</v>
      </c>
      <c r="C83" s="499"/>
      <c r="D83" s="481"/>
      <c r="E83" s="488"/>
      <c r="F83" s="487"/>
      <c r="G83" s="488"/>
      <c r="H83" s="17"/>
      <c r="I83" s="17"/>
      <c r="J83" s="72"/>
      <c r="K83"/>
      <c r="L83" s="547"/>
    </row>
    <row r="84" spans="1:12" ht="14.4" customHeight="1" x14ac:dyDescent="0.3">
      <c r="A84" s="100"/>
      <c r="B84" s="490" t="s">
        <v>22</v>
      </c>
      <c r="C84" s="499"/>
      <c r="D84" s="481"/>
      <c r="E84" s="488"/>
      <c r="F84" s="487"/>
      <c r="G84" s="488"/>
      <c r="H84" s="409"/>
      <c r="I84" s="17"/>
      <c r="J84" s="72"/>
      <c r="K84"/>
      <c r="L84" s="547"/>
    </row>
    <row r="85" spans="1:12" ht="88.95" customHeight="1" x14ac:dyDescent="0.3">
      <c r="A85" s="100">
        <v>596</v>
      </c>
      <c r="B85" s="373" t="s">
        <v>56</v>
      </c>
      <c r="C85" s="277"/>
      <c r="D85" s="741" t="s">
        <v>1544</v>
      </c>
      <c r="E85" s="371" t="e">
        <f>INDEX('PY1 Data(H)'!$A$1:$CZ$265,MATCH('Unit Data from Audit Worksheet'!$A85,'PY1 Data(H)'!$A$1:$A$258,0),MATCH('Unit Data from Audit Worksheet'!$D$2,'PY1 Data(H)'!$A$1:$CZ$1,0))</f>
        <v>#N/A</v>
      </c>
      <c r="F85" s="181"/>
      <c r="G85" s="991" t="s">
        <v>1931</v>
      </c>
      <c r="H85" s="409"/>
      <c r="I85" s="17"/>
      <c r="J85" s="72"/>
      <c r="K85"/>
      <c r="L85" s="547"/>
    </row>
    <row r="86" spans="1:12" ht="85.95" customHeight="1" x14ac:dyDescent="0.3">
      <c r="A86" s="100">
        <v>80</v>
      </c>
      <c r="B86" s="950" t="s">
        <v>1896</v>
      </c>
      <c r="C86" s="4" t="s">
        <v>705</v>
      </c>
      <c r="D86" s="21" t="s">
        <v>706</v>
      </c>
      <c r="E86" s="371" t="e">
        <f>INDEX('PY1 Data(H)'!$A$1:$CZ$265,MATCH('Unit Data from Audit Worksheet'!$A86,'PY1 Data(H)'!$A$1:$A$258,0),MATCH('Unit Data from Audit Worksheet'!$D$2,'PY1 Data(H)'!$A$1:$CZ$1,0))</f>
        <v>#N/A</v>
      </c>
      <c r="F86" s="804">
        <v>0</v>
      </c>
      <c r="G86" s="782" t="e">
        <f>INDEX('PY1 Data(H)'!$A$1:$CZ$277,MATCH('PY1 Data(H)'!$A263,'PY1 Data(H)'!$A$1:$A$277,0),MATCH('Unit Data from Audit Worksheet'!$D$2,'PY1 Data(H)'!$A$1:$CZ$1,0))</f>
        <v>#N/A</v>
      </c>
      <c r="H86" s="410"/>
      <c r="I86" s="17"/>
      <c r="J86" s="72"/>
      <c r="K86"/>
      <c r="L86" s="547"/>
    </row>
    <row r="87" spans="1:12" ht="69" customHeight="1" x14ac:dyDescent="0.3">
      <c r="A87" s="100">
        <v>81</v>
      </c>
      <c r="B87" s="4" t="s">
        <v>61</v>
      </c>
      <c r="C87" s="4" t="s">
        <v>705</v>
      </c>
      <c r="D87" s="21" t="s">
        <v>707</v>
      </c>
      <c r="E87" s="371" t="e">
        <f>INDEX('PY1 Data(H)'!$A$1:$CZ$265,MATCH('Unit Data from Audit Worksheet'!$A87,'PY1 Data(H)'!$A$1:$A$258,0),MATCH('Unit Data from Audit Worksheet'!$D$2,'PY1 Data(H)'!$A$1:$CZ$1,0))</f>
        <v>#N/A</v>
      </c>
      <c r="F87" s="795">
        <v>0</v>
      </c>
      <c r="G87" s="407"/>
      <c r="H87" s="17"/>
      <c r="I87" s="17"/>
      <c r="J87" s="72"/>
      <c r="K87"/>
      <c r="L87" s="547"/>
    </row>
    <row r="88" spans="1:12" ht="84" customHeight="1" x14ac:dyDescent="0.3">
      <c r="A88" s="100">
        <v>579</v>
      </c>
      <c r="B88" s="951" t="s">
        <v>1908</v>
      </c>
      <c r="C88" s="373" t="s">
        <v>705</v>
      </c>
      <c r="D88" s="459" t="s">
        <v>708</v>
      </c>
      <c r="E88" s="371" t="e">
        <f>INDEX('PY1 Data(H)'!$A$1:$CZ$265,MATCH('Unit Data from Audit Worksheet'!$A88,'PY1 Data(H)'!$A$1:$A$258,0),MATCH('Unit Data from Audit Worksheet'!$D$2,'PY1 Data(H)'!$A$1:$CZ$1,0))</f>
        <v>#N/A</v>
      </c>
      <c r="F88" s="795">
        <v>0</v>
      </c>
      <c r="G88" s="401"/>
      <c r="H88" s="17"/>
      <c r="I88" s="402"/>
      <c r="J88" s="402"/>
      <c r="K88"/>
      <c r="L88" s="547"/>
    </row>
    <row r="89" spans="1:12" ht="78.599999999999994" customHeight="1" x14ac:dyDescent="0.3">
      <c r="A89" s="100">
        <v>510</v>
      </c>
      <c r="B89" s="950" t="s">
        <v>1896</v>
      </c>
      <c r="C89" s="4" t="s">
        <v>705</v>
      </c>
      <c r="D89" s="26" t="s">
        <v>287</v>
      </c>
      <c r="E89" s="371" t="e">
        <f>INDEX('PY1 Data(H)'!$A$1:$CZ$265,MATCH('Unit Data from Audit Worksheet'!$A89,'PY1 Data(H)'!$A$1:$A$258,0),MATCH('Unit Data from Audit Worksheet'!$D$2,'PY1 Data(H)'!$A$1:$CZ$1,0))</f>
        <v>#N/A</v>
      </c>
      <c r="F89" s="795">
        <v>0</v>
      </c>
      <c r="G89" s="407"/>
      <c r="H89" s="17"/>
      <c r="I89" s="524"/>
      <c r="J89" s="72"/>
      <c r="K89"/>
      <c r="L89" s="547"/>
    </row>
    <row r="90" spans="1:12" ht="68.25" customHeight="1" x14ac:dyDescent="0.3">
      <c r="A90" s="189">
        <v>654</v>
      </c>
      <c r="B90" s="954" t="s">
        <v>1907</v>
      </c>
      <c r="C90" s="460" t="s">
        <v>705</v>
      </c>
      <c r="D90" s="214" t="s">
        <v>709</v>
      </c>
      <c r="E90" s="371" t="e">
        <f>INDEX('PY1 Data(H)'!$A$1:$CZ$265,MATCH('Unit Data from Audit Worksheet'!$A90,'PY1 Data(H)'!$A$1:$A$258,0),MATCH('Unit Data from Audit Worksheet'!$D$2,'PY1 Data(H)'!$A$1:$CZ$1,0))</f>
        <v>#N/A</v>
      </c>
      <c r="F90" s="795">
        <v>0</v>
      </c>
      <c r="G90" s="401">
        <f>IF((F86+F87+F89)&gt;F90,"Error: Please review components of current assets above.  Account numbers (80+81+510)&gt;654",)</f>
        <v>0</v>
      </c>
      <c r="H90" s="17"/>
      <c r="I90" s="17"/>
      <c r="J90" s="72"/>
      <c r="K90"/>
      <c r="L90" s="547"/>
    </row>
    <row r="91" spans="1:12" ht="75.75" customHeight="1" x14ac:dyDescent="0.3">
      <c r="A91" s="189">
        <v>655</v>
      </c>
      <c r="B91" s="954" t="s">
        <v>1907</v>
      </c>
      <c r="C91" s="460" t="s">
        <v>705</v>
      </c>
      <c r="D91" s="191" t="s">
        <v>443</v>
      </c>
      <c r="E91" s="371" t="e">
        <f>INDEX('PY1 Data(H)'!$A$1:$CZ$265,MATCH('Unit Data from Audit Worksheet'!$A91,'PY1 Data(H)'!$A$1:$A$258,0),MATCH('Unit Data from Audit Worksheet'!$D$2,'PY1 Data(H)'!$A$1:$CZ$1,0))</f>
        <v>#N/A</v>
      </c>
      <c r="F91" s="795">
        <v>0</v>
      </c>
      <c r="G91" s="407"/>
      <c r="H91" s="17"/>
      <c r="I91" s="17"/>
      <c r="J91" s="72"/>
      <c r="K91"/>
      <c r="L91" s="547"/>
    </row>
    <row r="92" spans="1:12" ht="106.2" customHeight="1" x14ac:dyDescent="0.3">
      <c r="A92" s="100">
        <v>381</v>
      </c>
      <c r="B92" s="4" t="s">
        <v>36</v>
      </c>
      <c r="C92" s="4" t="s">
        <v>705</v>
      </c>
      <c r="D92" s="98" t="s">
        <v>122</v>
      </c>
      <c r="E92" s="371" t="e">
        <f>INDEX('PY1 Data(H)'!$A$1:$CZ$265,MATCH('Unit Data from Audit Worksheet'!$A92,'PY1 Data(H)'!$A$1:$A$258,0),MATCH('Unit Data from Audit Worksheet'!$D$2,'PY1 Data(H)'!$A$1:$CZ$1,0))</f>
        <v>#N/A</v>
      </c>
      <c r="F92" s="795">
        <v>0</v>
      </c>
      <c r="G92" s="401">
        <f>IF(F90&gt;F92,"Error: Please review components of current assets above. Account numbers 654&gt;381",)</f>
        <v>0</v>
      </c>
      <c r="H92" s="17"/>
      <c r="I92" s="17"/>
      <c r="J92" s="72"/>
      <c r="K92"/>
      <c r="L92" s="547"/>
    </row>
    <row r="93" spans="1:12" ht="63" customHeight="1" x14ac:dyDescent="0.3">
      <c r="A93" s="100">
        <v>578</v>
      </c>
      <c r="B93" s="950" t="s">
        <v>1908</v>
      </c>
      <c r="C93" s="373" t="s">
        <v>705</v>
      </c>
      <c r="D93" s="459" t="s">
        <v>710</v>
      </c>
      <c r="E93" s="371" t="e">
        <f>INDEX('PY1 Data(H)'!$A$1:$CZ$265,MATCH('Unit Data from Audit Worksheet'!$A93,'PY1 Data(H)'!$A$1:$A$258,0),MATCH('Unit Data from Audit Worksheet'!$D$2,'PY1 Data(H)'!$A$1:$CZ$1,0))</f>
        <v>#N/A</v>
      </c>
      <c r="F93" s="795">
        <v>0</v>
      </c>
      <c r="G93" s="401"/>
      <c r="H93" s="402"/>
      <c r="I93" s="402"/>
      <c r="J93" s="403"/>
      <c r="K93"/>
      <c r="L93" s="547"/>
    </row>
    <row r="94" spans="1:12" ht="113.4" customHeight="1" x14ac:dyDescent="0.3">
      <c r="A94" s="190">
        <v>633</v>
      </c>
      <c r="B94" s="954" t="s">
        <v>1899</v>
      </c>
      <c r="C94" s="460" t="s">
        <v>361</v>
      </c>
      <c r="D94" s="214" t="s">
        <v>776</v>
      </c>
      <c r="E94" s="371" t="e">
        <f>INDEX('PY1 Data(H)'!$A$1:$CZ$265,MATCH('Unit Data from Audit Worksheet'!$A94,'PY1 Data(H)'!$A$1:$A$258,0),MATCH('Unit Data from Audit Worksheet'!$D$2,'PY1 Data(H)'!$A$1:$CZ$1,0))</f>
        <v>#N/A</v>
      </c>
      <c r="F94" s="795">
        <v>0</v>
      </c>
      <c r="G94" s="727" t="str">
        <f>IF(F94&gt;=(F95+F96+F97+F98+F99+F100),"","Account 633 is less than the total sum of accounts 634 through 638 + 383")</f>
        <v/>
      </c>
      <c r="H94" s="412"/>
      <c r="I94" s="406"/>
      <c r="J94" s="763"/>
      <c r="K94"/>
      <c r="L94" s="547"/>
    </row>
    <row r="95" spans="1:12" ht="101.4" customHeight="1" x14ac:dyDescent="0.3">
      <c r="A95" s="189">
        <v>634</v>
      </c>
      <c r="B95" s="952" t="s">
        <v>1900</v>
      </c>
      <c r="C95" s="460" t="s">
        <v>361</v>
      </c>
      <c r="D95" s="214" t="s">
        <v>778</v>
      </c>
      <c r="E95" s="371" t="e">
        <f>INDEX('PY1 Data(H)'!$A$1:$CZ$265,MATCH('Unit Data from Audit Worksheet'!$A95,'PY1 Data(H)'!$A$1:$A$258,0),MATCH('Unit Data from Audit Worksheet'!$D$2,'PY1 Data(H)'!$A$1:$CZ$1,0))</f>
        <v>#N/A</v>
      </c>
      <c r="F95" s="795">
        <v>0</v>
      </c>
      <c r="G95" s="728">
        <f>IF(F95&gt;F94,"Please review account numbers 634&gt;633",)</f>
        <v>0</v>
      </c>
      <c r="H95" s="406"/>
      <c r="I95" s="406"/>
      <c r="J95" s="763"/>
      <c r="K95"/>
      <c r="L95" s="547"/>
    </row>
    <row r="96" spans="1:12" ht="107.4" customHeight="1" x14ac:dyDescent="0.3">
      <c r="A96" s="189">
        <v>635</v>
      </c>
      <c r="B96" s="952" t="s">
        <v>1900</v>
      </c>
      <c r="C96" s="460" t="s">
        <v>361</v>
      </c>
      <c r="D96" s="214" t="s">
        <v>777</v>
      </c>
      <c r="E96" s="371" t="e">
        <f>INDEX('PY1 Data(H)'!$A$1:$CZ$265,MATCH('Unit Data from Audit Worksheet'!$A96,'PY1 Data(H)'!$A$1:$A$258,0),MATCH('Unit Data from Audit Worksheet'!$D$2,'PY1 Data(H)'!$A$1:$CZ$1,0))</f>
        <v>#N/A</v>
      </c>
      <c r="F96" s="795">
        <v>0</v>
      </c>
      <c r="G96" s="728">
        <f>IF(F96&gt;F94,"Please review account numbers 635&gt;633",)</f>
        <v>0</v>
      </c>
      <c r="H96" s="406"/>
      <c r="I96" s="406"/>
      <c r="J96" s="763"/>
      <c r="K96"/>
      <c r="L96" s="547"/>
    </row>
    <row r="97" spans="1:12" ht="106.5" customHeight="1" x14ac:dyDescent="0.3">
      <c r="A97" s="189">
        <v>636</v>
      </c>
      <c r="B97" s="952" t="s">
        <v>1900</v>
      </c>
      <c r="C97" s="460" t="s">
        <v>361</v>
      </c>
      <c r="D97" s="214" t="s">
        <v>782</v>
      </c>
      <c r="E97" s="371" t="e">
        <f>INDEX('PY1 Data(H)'!$A$1:$CZ$265,MATCH('Unit Data from Audit Worksheet'!$A97,'PY1 Data(H)'!$A$1:$A$258,0),MATCH('Unit Data from Audit Worksheet'!$D$2,'PY1 Data(H)'!$A$1:$CZ$1,0))</f>
        <v>#N/A</v>
      </c>
      <c r="F97" s="795">
        <v>0</v>
      </c>
      <c r="G97" s="728">
        <f>IF(F97&gt;F94,"Please review account numbers 636&gt;633",)</f>
        <v>0</v>
      </c>
      <c r="H97" s="406"/>
      <c r="I97" s="406"/>
      <c r="J97" s="763"/>
      <c r="K97"/>
      <c r="L97" s="547"/>
    </row>
    <row r="98" spans="1:12" ht="80.25" customHeight="1" x14ac:dyDescent="0.3">
      <c r="A98" s="189">
        <v>637</v>
      </c>
      <c r="B98" s="952" t="s">
        <v>1900</v>
      </c>
      <c r="C98" s="460" t="s">
        <v>361</v>
      </c>
      <c r="D98" s="214" t="s">
        <v>781</v>
      </c>
      <c r="E98" s="371" t="e">
        <f>INDEX('PY1 Data(H)'!$A$1:$CZ$265,MATCH('Unit Data from Audit Worksheet'!$A98,'PY1 Data(H)'!$A$1:$A$258,0),MATCH('Unit Data from Audit Worksheet'!$D$2,'PY1 Data(H)'!$A$1:$CZ$1,0))</f>
        <v>#N/A</v>
      </c>
      <c r="F98" s="795">
        <v>0</v>
      </c>
      <c r="G98" s="728">
        <f>IF(F98&gt;F94,"Please review account numbers 637&gt;633",)</f>
        <v>0</v>
      </c>
      <c r="H98" s="406"/>
      <c r="I98" s="406"/>
      <c r="J98" s="763"/>
      <c r="K98"/>
      <c r="L98" s="547"/>
    </row>
    <row r="99" spans="1:12" ht="106.2" customHeight="1" x14ac:dyDescent="0.3">
      <c r="A99" s="189">
        <v>638</v>
      </c>
      <c r="B99" s="952" t="s">
        <v>1900</v>
      </c>
      <c r="C99" s="460" t="s">
        <v>361</v>
      </c>
      <c r="D99" s="214" t="s">
        <v>780</v>
      </c>
      <c r="E99" s="371" t="e">
        <f>INDEX('PY1 Data(H)'!$A$1:$CZ$265,MATCH('Unit Data from Audit Worksheet'!$A99,'PY1 Data(H)'!$A$1:$A$258,0),MATCH('Unit Data from Audit Worksheet'!$D$2,'PY1 Data(H)'!$A$1:$CZ$1,0))</f>
        <v>#N/A</v>
      </c>
      <c r="F99" s="795">
        <v>0</v>
      </c>
      <c r="G99" s="728">
        <f>IF(F99&gt;F94,"Please review account numbers 638&gt;633",)</f>
        <v>0</v>
      </c>
      <c r="H99" s="406"/>
      <c r="I99" s="406"/>
      <c r="J99" s="763"/>
      <c r="K99"/>
      <c r="L99" s="547"/>
    </row>
    <row r="100" spans="1:12" ht="93.75" customHeight="1" x14ac:dyDescent="0.3">
      <c r="A100" s="100">
        <v>383</v>
      </c>
      <c r="B100" s="4" t="s">
        <v>61</v>
      </c>
      <c r="C100" s="4" t="s">
        <v>705</v>
      </c>
      <c r="D100" s="26" t="s">
        <v>779</v>
      </c>
      <c r="E100" s="371" t="e">
        <f>INDEX('PY1 Data(H)'!$A$1:$CZ$265,MATCH('Unit Data from Audit Worksheet'!$A100,'PY1 Data(H)'!$A$1:$A$258,0),MATCH('Unit Data from Audit Worksheet'!$D$2,'PY1 Data(H)'!$A$1:$CZ$1,0))</f>
        <v>#N/A</v>
      </c>
      <c r="F100" s="795">
        <v>0</v>
      </c>
      <c r="G100" s="729">
        <f>IF(F100&gt;F94,"Error: Please review account numbers 383&gt;633",)</f>
        <v>0</v>
      </c>
      <c r="H100" s="411"/>
      <c r="I100" s="17"/>
      <c r="J100" s="72"/>
      <c r="K100"/>
      <c r="L100" s="547"/>
    </row>
    <row r="101" spans="1:12" ht="61.5" customHeight="1" x14ac:dyDescent="0.3">
      <c r="A101" s="100">
        <v>349</v>
      </c>
      <c r="B101" s="4" t="s">
        <v>61</v>
      </c>
      <c r="C101" s="4" t="s">
        <v>705</v>
      </c>
      <c r="D101" s="99" t="s">
        <v>145</v>
      </c>
      <c r="E101" s="371" t="e">
        <f>INDEX('PY1 Data(H)'!$A$1:$CZ$265,MATCH('Unit Data from Audit Worksheet'!$A101,'PY1 Data(H)'!$A$1:$A$258,0),MATCH('Unit Data from Audit Worksheet'!$D$2,'PY1 Data(H)'!$A$1:$CZ$1,0))</f>
        <v>#N/A</v>
      </c>
      <c r="F101" s="795">
        <v>0</v>
      </c>
      <c r="G101" s="401" t="str">
        <f>IF(F94&gt;F101,"Error: Please review accts 633&gt;349","")</f>
        <v/>
      </c>
      <c r="H101" s="17"/>
      <c r="I101" s="17"/>
      <c r="J101" s="72"/>
      <c r="K101"/>
      <c r="L101" s="547"/>
    </row>
    <row r="102" spans="1:12" ht="72" customHeight="1" x14ac:dyDescent="0.3">
      <c r="A102" s="100">
        <v>375</v>
      </c>
      <c r="B102" s="4" t="s">
        <v>61</v>
      </c>
      <c r="C102" s="4" t="s">
        <v>705</v>
      </c>
      <c r="D102" s="383" t="s">
        <v>711</v>
      </c>
      <c r="E102" s="371" t="e">
        <f>INDEX('PY1 Data(H)'!$A$1:$CZ$265,MATCH('Unit Data from Audit Worksheet'!$A102,'PY1 Data(H)'!$A$1:$A$258,0),MATCH('Unit Data from Audit Worksheet'!$D$2,'PY1 Data(H)'!$A$1:$CZ$1,0))</f>
        <v>#N/A</v>
      </c>
      <c r="F102" s="795">
        <v>0</v>
      </c>
      <c r="G102" s="407"/>
      <c r="H102" s="17"/>
      <c r="I102" s="17"/>
      <c r="J102" s="72"/>
      <c r="K102"/>
      <c r="L102" s="547"/>
    </row>
    <row r="103" spans="1:12" ht="138" customHeight="1" x14ac:dyDescent="0.3">
      <c r="A103" s="100">
        <v>83</v>
      </c>
      <c r="B103" s="4" t="s">
        <v>60</v>
      </c>
      <c r="C103" s="4" t="s">
        <v>705</v>
      </c>
      <c r="D103" s="99" t="s">
        <v>146</v>
      </c>
      <c r="E103" s="371" t="e">
        <f>INDEX('PY1 Data(H)'!$A$1:$CZ$265,MATCH('Unit Data from Audit Worksheet'!$A103,'PY1 Data(H)'!$A$1:$A$258,0),MATCH('Unit Data from Audit Worksheet'!$D$2,'PY1 Data(H)'!$A$1:$CZ$1,0))</f>
        <v>#N/A</v>
      </c>
      <c r="F103" s="795">
        <v>0</v>
      </c>
      <c r="G103" s="401">
        <f>IF(F92-F101-F103=0,,"Error: Total assets less total liabilities do not equal total net assets.  Account numbers 381-349-83=0  The amount of the formula is in the cell to the right")</f>
        <v>0</v>
      </c>
      <c r="H103" s="404">
        <f>F92-F101-F103</f>
        <v>0</v>
      </c>
      <c r="I103" s="17"/>
      <c r="J103" s="72"/>
      <c r="K103"/>
      <c r="L103" s="547"/>
    </row>
    <row r="104" spans="1:12" ht="40.5" customHeight="1" x14ac:dyDescent="0.3">
      <c r="A104" s="100"/>
      <c r="B104" s="489" t="s">
        <v>147</v>
      </c>
      <c r="C104" s="499"/>
      <c r="D104" s="467"/>
      <c r="E104" s="485"/>
      <c r="F104" s="485"/>
      <c r="G104" s="486"/>
      <c r="H104" s="409"/>
      <c r="I104" s="17"/>
      <c r="J104" s="72"/>
      <c r="K104"/>
      <c r="L104" s="547"/>
    </row>
    <row r="105" spans="1:12" ht="59.25" customHeight="1" x14ac:dyDescent="0.3">
      <c r="A105" s="100">
        <v>90</v>
      </c>
      <c r="B105" s="950" t="s">
        <v>1903</v>
      </c>
      <c r="C105" s="4" t="s">
        <v>712</v>
      </c>
      <c r="D105" s="21" t="s">
        <v>713</v>
      </c>
      <c r="E105" s="371" t="e">
        <f>INDEX('PY1 Data(H)'!$A$1:$CZ$265,MATCH('Unit Data from Audit Worksheet'!$A105,'PY1 Data(H)'!$A$1:$A$258,0),MATCH('Unit Data from Audit Worksheet'!$D$2,'PY1 Data(H)'!$A$1:$CZ$1,0))</f>
        <v>#N/A</v>
      </c>
      <c r="F105" s="795">
        <v>0</v>
      </c>
      <c r="G105" s="401">
        <f>IF(F105&lt;0,"Note: Number is normally positive.",)</f>
        <v>0</v>
      </c>
      <c r="H105" s="404"/>
      <c r="I105" s="17"/>
      <c r="J105" s="72"/>
      <c r="K105"/>
      <c r="L105" s="547"/>
    </row>
    <row r="106" spans="1:12" ht="75" customHeight="1" x14ac:dyDescent="0.3">
      <c r="A106" s="100">
        <v>91</v>
      </c>
      <c r="B106" s="4" t="s">
        <v>57</v>
      </c>
      <c r="C106" s="4" t="s">
        <v>712</v>
      </c>
      <c r="D106" s="21" t="s">
        <v>714</v>
      </c>
      <c r="E106" s="371" t="e">
        <f>INDEX('PY1 Data(H)'!$A$1:$CZ$265,MATCH('Unit Data from Audit Worksheet'!$A106,'PY1 Data(H)'!$A$1:$A$258,0),MATCH('Unit Data from Audit Worksheet'!$D$2,'PY1 Data(H)'!$A$1:$CZ$1,0))</f>
        <v>#N/A</v>
      </c>
      <c r="F106" s="795">
        <v>0</v>
      </c>
      <c r="G106" s="401">
        <f>IF(F106&lt;0,"Note: Number is normally positive.",)</f>
        <v>0</v>
      </c>
      <c r="H106" s="402"/>
      <c r="I106" s="17"/>
      <c r="J106" s="72"/>
      <c r="K106"/>
      <c r="L106" s="547"/>
    </row>
    <row r="107" spans="1:12" ht="66.75" customHeight="1" x14ac:dyDescent="0.3">
      <c r="A107" s="100">
        <v>581</v>
      </c>
      <c r="B107" s="950" t="s">
        <v>1898</v>
      </c>
      <c r="C107" s="373" t="s">
        <v>712</v>
      </c>
      <c r="D107" s="459" t="s">
        <v>715</v>
      </c>
      <c r="E107" s="371" t="e">
        <f>INDEX('PY1 Data(H)'!$A$1:$CZ$265,MATCH('Unit Data from Audit Worksheet'!$A107,'PY1 Data(H)'!$A$1:$A$258,0),MATCH('Unit Data from Audit Worksheet'!$D$2,'PY1 Data(H)'!$A$1:$CZ$1,0))</f>
        <v>#N/A</v>
      </c>
      <c r="F107" s="795">
        <v>0</v>
      </c>
      <c r="G107" s="401"/>
      <c r="H107" s="402"/>
      <c r="I107" s="17"/>
      <c r="J107" s="72"/>
      <c r="K107"/>
      <c r="L107" s="547"/>
    </row>
    <row r="108" spans="1:12" ht="67.5" customHeight="1" x14ac:dyDescent="0.3">
      <c r="A108" s="100">
        <v>511</v>
      </c>
      <c r="B108" s="950" t="s">
        <v>1898</v>
      </c>
      <c r="C108" s="4" t="s">
        <v>712</v>
      </c>
      <c r="D108" s="22" t="s">
        <v>148</v>
      </c>
      <c r="E108" s="371" t="e">
        <f>INDEX('PY1 Data(H)'!$A$1:$CZ$265,MATCH('Unit Data from Audit Worksheet'!$A108,'PY1 Data(H)'!$A$1:$A$258,0),MATCH('Unit Data from Audit Worksheet'!$D$2,'PY1 Data(H)'!$A$1:$CZ$1,0))</f>
        <v>#N/A</v>
      </c>
      <c r="F108" s="795">
        <v>0</v>
      </c>
      <c r="G108" s="401">
        <f>IF(F108&lt;0,"Note: Number is normally positive.",)</f>
        <v>0</v>
      </c>
      <c r="H108" s="402"/>
      <c r="I108" s="17"/>
      <c r="J108" s="72"/>
      <c r="K108"/>
      <c r="L108" s="547"/>
    </row>
    <row r="109" spans="1:12" ht="72" customHeight="1" x14ac:dyDescent="0.3">
      <c r="A109" s="189">
        <v>657</v>
      </c>
      <c r="B109" s="950" t="s">
        <v>1898</v>
      </c>
      <c r="C109" s="460" t="s">
        <v>712</v>
      </c>
      <c r="D109" s="214" t="s">
        <v>716</v>
      </c>
      <c r="E109" s="371" t="e">
        <f>INDEX('PY1 Data(H)'!$A$1:$CZ$265,MATCH('Unit Data from Audit Worksheet'!$A109,'PY1 Data(H)'!$A$1:$A$258,0),MATCH('Unit Data from Audit Worksheet'!$D$2,'PY1 Data(H)'!$A$1:$CZ$1,0))</f>
        <v>#N/A</v>
      </c>
      <c r="F109" s="795">
        <v>0</v>
      </c>
      <c r="G109" s="729">
        <f>IF((F105+F106+F108)&gt;F109,"Error: Please review components of current assets above.  Account numbers (90+91+511)&gt;657",)</f>
        <v>0</v>
      </c>
      <c r="H109" s="402"/>
      <c r="I109" s="17"/>
      <c r="J109" s="72"/>
      <c r="K109"/>
      <c r="L109" s="547"/>
    </row>
    <row r="110" spans="1:12" ht="70.5" customHeight="1" x14ac:dyDescent="0.3">
      <c r="A110" s="189">
        <v>658</v>
      </c>
      <c r="B110" s="950" t="s">
        <v>1898</v>
      </c>
      <c r="C110" s="460" t="s">
        <v>712</v>
      </c>
      <c r="D110" s="191" t="s">
        <v>444</v>
      </c>
      <c r="E110" s="371" t="e">
        <f>INDEX('PY1 Data(H)'!$A$1:$CZ$265,MATCH('Unit Data from Audit Worksheet'!$A110,'PY1 Data(H)'!$A$1:$A$258,0),MATCH('Unit Data from Audit Worksheet'!$D$2,'PY1 Data(H)'!$A$1:$CZ$1,0))</f>
        <v>#N/A</v>
      </c>
      <c r="F110" s="795">
        <v>0</v>
      </c>
      <c r="G110" s="401"/>
      <c r="H110" s="402"/>
      <c r="I110" s="17"/>
      <c r="J110" s="72"/>
      <c r="K110"/>
      <c r="L110" s="547"/>
    </row>
    <row r="111" spans="1:12" ht="73.8" customHeight="1" x14ac:dyDescent="0.3">
      <c r="A111" s="100">
        <v>382</v>
      </c>
      <c r="B111" s="4" t="s">
        <v>59</v>
      </c>
      <c r="C111" s="4" t="s">
        <v>712</v>
      </c>
      <c r="D111" s="98" t="s">
        <v>122</v>
      </c>
      <c r="E111" s="371" t="e">
        <f>INDEX('PY1 Data(H)'!$A$1:$CZ$265,MATCH('Unit Data from Audit Worksheet'!$A111,'PY1 Data(H)'!$A$1:$A$258,0),MATCH('Unit Data from Audit Worksheet'!$D$2,'PY1 Data(H)'!$A$1:$CZ$1,0))</f>
        <v>#N/A</v>
      </c>
      <c r="F111" s="795">
        <v>0</v>
      </c>
      <c r="G111" s="729">
        <f>IF(F109&gt;F111,"Error: Please review components of current assets above. Account numbers 657&gt;382",)</f>
        <v>0</v>
      </c>
      <c r="H111" s="402"/>
      <c r="I111" s="17"/>
      <c r="J111" s="72"/>
      <c r="K111"/>
      <c r="L111" s="547"/>
    </row>
    <row r="112" spans="1:12" ht="57.75" customHeight="1" x14ac:dyDescent="0.3">
      <c r="A112" s="100">
        <v>360</v>
      </c>
      <c r="B112" s="4" t="s">
        <v>55</v>
      </c>
      <c r="C112" s="4" t="s">
        <v>712</v>
      </c>
      <c r="D112" s="99" t="s">
        <v>149</v>
      </c>
      <c r="E112" s="371" t="e">
        <f>INDEX('PY1 Data(H)'!$A$1:$CZ$265,MATCH('Unit Data from Audit Worksheet'!$A112,'PY1 Data(H)'!$A$1:$A$258,0),MATCH('Unit Data from Audit Worksheet'!$D$2,'PY1 Data(H)'!$A$1:$CZ$1,0))</f>
        <v>#N/A</v>
      </c>
      <c r="F112" s="795">
        <v>0</v>
      </c>
      <c r="G112" s="727"/>
      <c r="H112" s="402"/>
      <c r="I112" s="17"/>
      <c r="J112" s="72"/>
      <c r="K112"/>
      <c r="L112" s="547"/>
    </row>
    <row r="113" spans="1:123" ht="62.25" customHeight="1" x14ac:dyDescent="0.3">
      <c r="A113" s="100">
        <v>580</v>
      </c>
      <c r="B113" s="950" t="s">
        <v>1898</v>
      </c>
      <c r="C113" s="373" t="s">
        <v>712</v>
      </c>
      <c r="D113" s="459" t="s">
        <v>717</v>
      </c>
      <c r="E113" s="371" t="e">
        <f>INDEX('PY1 Data(H)'!$A$1:$CZ$265,MATCH('Unit Data from Audit Worksheet'!$A113,'PY1 Data(H)'!$A$1:$A$258,0),MATCH('Unit Data from Audit Worksheet'!$D$2,'PY1 Data(H)'!$A$1:$CZ$1,0))</f>
        <v>#N/A</v>
      </c>
      <c r="F113" s="795">
        <v>0</v>
      </c>
      <c r="G113" s="727"/>
      <c r="H113" s="402"/>
      <c r="I113" s="17"/>
      <c r="J113" s="72"/>
      <c r="K113"/>
      <c r="L113" s="547"/>
    </row>
    <row r="114" spans="1:123" ht="114" customHeight="1" x14ac:dyDescent="0.3">
      <c r="A114" s="190">
        <v>639</v>
      </c>
      <c r="B114" s="954" t="s">
        <v>1899</v>
      </c>
      <c r="C114" s="460" t="s">
        <v>712</v>
      </c>
      <c r="D114" s="214" t="s">
        <v>783</v>
      </c>
      <c r="E114" s="371" t="e">
        <f>INDEX('PY1 Data(H)'!$A$1:$CZ$265,MATCH('Unit Data from Audit Worksheet'!$A114,'PY1 Data(H)'!$A$1:$A$258,0),MATCH('Unit Data from Audit Worksheet'!$D$2,'PY1 Data(H)'!$A$1:$CZ$1,0))</f>
        <v>#N/A</v>
      </c>
      <c r="F114" s="795">
        <v>0</v>
      </c>
      <c r="G114" s="727" t="str">
        <f>IF(F114&gt;=(F115+F116+F117+F118+F119+F120),"","Account 639 is less than the total sum of accounts 640 through 644 + 384")</f>
        <v/>
      </c>
      <c r="H114" s="412"/>
      <c r="I114" s="406"/>
      <c r="J114" s="763"/>
      <c r="K114"/>
      <c r="L114" s="547"/>
    </row>
    <row r="115" spans="1:123" ht="111.6" customHeight="1" x14ac:dyDescent="0.3">
      <c r="A115" s="189">
        <v>640</v>
      </c>
      <c r="B115" s="952" t="s">
        <v>1900</v>
      </c>
      <c r="C115" s="460" t="s">
        <v>712</v>
      </c>
      <c r="D115" s="214" t="s">
        <v>784</v>
      </c>
      <c r="E115" s="371" t="e">
        <f>INDEX('PY1 Data(H)'!$A$1:$CZ$265,MATCH('Unit Data from Audit Worksheet'!$A115,'PY1 Data(H)'!$A$1:$A$258,0),MATCH('Unit Data from Audit Worksheet'!$D$2,'PY1 Data(H)'!$A$1:$CZ$1,0))</f>
        <v>#N/A</v>
      </c>
      <c r="F115" s="795">
        <v>0</v>
      </c>
      <c r="G115" s="729">
        <f>IF(F115&gt;F114,"Error: Please review components of current liabilities above. Account numbers 640&gt;639",)</f>
        <v>0</v>
      </c>
      <c r="H115" s="406"/>
      <c r="I115" s="412"/>
      <c r="J115" s="764"/>
      <c r="K115"/>
      <c r="L115" s="547"/>
    </row>
    <row r="116" spans="1:123" ht="121.2" customHeight="1" x14ac:dyDescent="0.3">
      <c r="A116" s="189">
        <v>641</v>
      </c>
      <c r="B116" s="952" t="s">
        <v>1900</v>
      </c>
      <c r="C116" s="460" t="s">
        <v>712</v>
      </c>
      <c r="D116" s="214" t="s">
        <v>785</v>
      </c>
      <c r="E116" s="371" t="e">
        <f>INDEX('PY1 Data(H)'!$A$1:$CZ$265,MATCH('Unit Data from Audit Worksheet'!$A116,'PY1 Data(H)'!$A$1:$A$258,0),MATCH('Unit Data from Audit Worksheet'!$D$2,'PY1 Data(H)'!$A$1:$CZ$1,0))</f>
        <v>#N/A</v>
      </c>
      <c r="F116" s="795">
        <v>0</v>
      </c>
      <c r="G116" s="729">
        <f>IF(F116&gt;F114,"Error: Please review components of current liabilities above. Account numbers 641&gt;639",)</f>
        <v>0</v>
      </c>
      <c r="H116" s="406"/>
      <c r="I116" s="406"/>
      <c r="J116" s="763"/>
      <c r="K116"/>
      <c r="L116" s="547"/>
    </row>
    <row r="117" spans="1:123" ht="110.4" customHeight="1" x14ac:dyDescent="0.3">
      <c r="A117" s="189">
        <v>642</v>
      </c>
      <c r="B117" s="952" t="s">
        <v>1900</v>
      </c>
      <c r="C117" s="460" t="s">
        <v>712</v>
      </c>
      <c r="D117" s="214" t="s">
        <v>786</v>
      </c>
      <c r="E117" s="371" t="e">
        <f>INDEX('PY1 Data(H)'!$A$1:$CZ$265,MATCH('Unit Data from Audit Worksheet'!$A117,'PY1 Data(H)'!$A$1:$A$258,0),MATCH('Unit Data from Audit Worksheet'!$D$2,'PY1 Data(H)'!$A$1:$CZ$1,0))</f>
        <v>#N/A</v>
      </c>
      <c r="F117" s="795">
        <v>0</v>
      </c>
      <c r="G117" s="729">
        <f>IF(F117&gt;F114,"Error: Please review components of current liabilities above. Account numbers  642&gt;639",)</f>
        <v>0</v>
      </c>
      <c r="H117" s="406"/>
      <c r="I117" s="406"/>
      <c r="J117" s="763"/>
      <c r="K117"/>
      <c r="L117" s="547"/>
    </row>
    <row r="118" spans="1:123" ht="79.95" customHeight="1" x14ac:dyDescent="0.3">
      <c r="A118" s="189">
        <v>643</v>
      </c>
      <c r="B118" s="952" t="s">
        <v>1900</v>
      </c>
      <c r="C118" s="460" t="s">
        <v>712</v>
      </c>
      <c r="D118" s="214" t="s">
        <v>787</v>
      </c>
      <c r="E118" s="371" t="e">
        <f>INDEX('PY1 Data(H)'!$A$1:$CZ$265,MATCH('Unit Data from Audit Worksheet'!$A118,'PY1 Data(H)'!$A$1:$A$258,0),MATCH('Unit Data from Audit Worksheet'!$D$2,'PY1 Data(H)'!$A$1:$CZ$1,0))</f>
        <v>#N/A</v>
      </c>
      <c r="F118" s="795">
        <v>0</v>
      </c>
      <c r="G118" s="729">
        <f>IF(F118&gt;F114,"Error: Please review components of current liabilities above. Account numbers 643&gt;639",)</f>
        <v>0</v>
      </c>
      <c r="H118" s="406"/>
      <c r="I118" s="406"/>
      <c r="J118" s="763"/>
      <c r="K118"/>
      <c r="L118" s="547"/>
    </row>
    <row r="119" spans="1:123" ht="105" customHeight="1" x14ac:dyDescent="0.3">
      <c r="A119" s="189">
        <v>644</v>
      </c>
      <c r="B119" s="952" t="s">
        <v>1900</v>
      </c>
      <c r="C119" s="460" t="s">
        <v>712</v>
      </c>
      <c r="D119" s="214" t="s">
        <v>788</v>
      </c>
      <c r="E119" s="371" t="e">
        <f>INDEX('PY1 Data(H)'!$A$1:$CZ$265,MATCH('Unit Data from Audit Worksheet'!$A119,'PY1 Data(H)'!$A$1:$A$258,0),MATCH('Unit Data from Audit Worksheet'!$D$2,'PY1 Data(H)'!$A$1:$CZ$1,0))</f>
        <v>#N/A</v>
      </c>
      <c r="F119" s="795">
        <v>0</v>
      </c>
      <c r="G119" s="729">
        <f>IF(F119&gt;F114,"Error: Please review components of current liabilities above. Account number 644&gt;639",)</f>
        <v>0</v>
      </c>
      <c r="H119" s="406"/>
      <c r="I119" s="406"/>
      <c r="J119" s="763"/>
      <c r="K119"/>
      <c r="L119" s="547"/>
    </row>
    <row r="120" spans="1:123" ht="88.95" customHeight="1" x14ac:dyDescent="0.3">
      <c r="A120" s="100">
        <v>384</v>
      </c>
      <c r="B120" s="4" t="s">
        <v>62</v>
      </c>
      <c r="C120" s="4" t="s">
        <v>712</v>
      </c>
      <c r="D120" s="26" t="s">
        <v>789</v>
      </c>
      <c r="E120" s="371" t="e">
        <f>INDEX('PY1 Data(H)'!$A$1:$CZ$265,MATCH('Unit Data from Audit Worksheet'!$A120,'PY1 Data(H)'!$A$1:$A$258,0),MATCH('Unit Data from Audit Worksheet'!$D$2,'PY1 Data(H)'!$A$1:$CZ$1,0))</f>
        <v>#N/A</v>
      </c>
      <c r="F120" s="795">
        <v>0</v>
      </c>
      <c r="G120" s="729">
        <f>IF(F120&gt;F114,"Error: Please review components of current liabilities above. Account number 384&gt;639",)</f>
        <v>0</v>
      </c>
      <c r="H120" s="342"/>
      <c r="I120" s="17"/>
      <c r="J120" s="72"/>
      <c r="K120"/>
      <c r="L120" s="547"/>
    </row>
    <row r="121" spans="1:123" ht="92.4" customHeight="1" x14ac:dyDescent="0.3">
      <c r="A121" s="100">
        <v>361</v>
      </c>
      <c r="B121" s="4" t="s">
        <v>55</v>
      </c>
      <c r="C121" s="4" t="s">
        <v>712</v>
      </c>
      <c r="D121" s="383" t="s">
        <v>718</v>
      </c>
      <c r="E121" s="371" t="e">
        <f>INDEX('PY1 Data(H)'!$A$1:$CZ$265,MATCH('Unit Data from Audit Worksheet'!$A121,'PY1 Data(H)'!$A$1:$A$258,0),MATCH('Unit Data from Audit Worksheet'!$D$2,'PY1 Data(H)'!$A$1:$CZ$1,0))</f>
        <v>#N/A</v>
      </c>
      <c r="F121" s="795">
        <v>0</v>
      </c>
      <c r="G121" s="407"/>
      <c r="H121" s="402"/>
      <c r="I121" s="17"/>
      <c r="J121" s="72"/>
      <c r="K121"/>
      <c r="L121" s="547"/>
    </row>
    <row r="122" spans="1:123" ht="54" customHeight="1" x14ac:dyDescent="0.3">
      <c r="A122" s="100">
        <v>362</v>
      </c>
      <c r="B122" s="4" t="s">
        <v>55</v>
      </c>
      <c r="C122" s="4" t="s">
        <v>712</v>
      </c>
      <c r="D122" s="99" t="s">
        <v>150</v>
      </c>
      <c r="E122" s="371" t="e">
        <f>INDEX('PY1 Data(H)'!$A$1:$CZ$265,MATCH('Unit Data from Audit Worksheet'!$A122,'PY1 Data(H)'!$A$1:$A$258,0),MATCH('Unit Data from Audit Worksheet'!$D$2,'PY1 Data(H)'!$A$1:$CZ$1,0))</f>
        <v>#N/A</v>
      </c>
      <c r="F122" s="795">
        <v>0</v>
      </c>
      <c r="G122" s="401">
        <f>IF(H122=0,,"Error: Total assets less total liabilities do not equal total net position. Account numbers 382-360-362=0  The amount of the formula is in the cell to the right")</f>
        <v>0</v>
      </c>
      <c r="H122" s="404">
        <f>F111-F112-F122</f>
        <v>0</v>
      </c>
      <c r="I122" s="17"/>
      <c r="J122" s="72"/>
      <c r="K122"/>
      <c r="L122" s="547"/>
    </row>
    <row r="123" spans="1:123" ht="26.25" customHeight="1" x14ac:dyDescent="0.3">
      <c r="A123" s="100"/>
      <c r="B123" s="478" t="s">
        <v>174</v>
      </c>
      <c r="C123" s="479"/>
      <c r="D123" s="491"/>
      <c r="E123" s="477"/>
      <c r="F123" s="477"/>
      <c r="G123" s="477"/>
      <c r="H123" s="17"/>
      <c r="I123" s="17"/>
      <c r="J123" s="72"/>
      <c r="K123"/>
      <c r="L123" s="547"/>
    </row>
    <row r="124" spans="1:123" s="18" customFormat="1" ht="84.6" customHeight="1" x14ac:dyDescent="0.3">
      <c r="A124" s="100"/>
      <c r="B124" s="1070" t="s">
        <v>797</v>
      </c>
      <c r="C124" s="1070"/>
      <c r="D124" s="1070"/>
      <c r="E124" s="486"/>
      <c r="F124" s="486"/>
      <c r="G124" s="486"/>
      <c r="H124" s="17"/>
      <c r="I124" s="17"/>
      <c r="J124" s="72"/>
      <c r="K124"/>
      <c r="L124" s="547"/>
      <c r="M124"/>
      <c r="O124" s="186"/>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row>
    <row r="125" spans="1:123" ht="87" customHeight="1" x14ac:dyDescent="0.3">
      <c r="A125" s="100">
        <v>88</v>
      </c>
      <c r="B125" s="4" t="s">
        <v>60</v>
      </c>
      <c r="C125" s="4" t="s">
        <v>719</v>
      </c>
      <c r="D125" s="21" t="s">
        <v>720</v>
      </c>
      <c r="E125" s="371" t="e">
        <f>INDEX('PY1 Data(H)'!$A$1:$CZ$265,MATCH('Unit Data from Audit Worksheet'!$A125,'PY1 Data(H)'!$A$1:$A$258,0),MATCH('Unit Data from Audit Worksheet'!$D$2,'PY1 Data(H)'!$A$1:$CZ$1,0))</f>
        <v>#N/A</v>
      </c>
      <c r="F125" s="795">
        <v>0</v>
      </c>
      <c r="G125" s="407"/>
      <c r="H125" s="17"/>
      <c r="I125" s="17"/>
      <c r="J125" s="72"/>
      <c r="K125"/>
      <c r="L125" s="547"/>
    </row>
    <row r="126" spans="1:123" ht="81" customHeight="1" x14ac:dyDescent="0.3">
      <c r="A126" s="100">
        <v>84</v>
      </c>
      <c r="B126" s="950" t="s">
        <v>1896</v>
      </c>
      <c r="C126" s="4" t="s">
        <v>719</v>
      </c>
      <c r="D126" s="26" t="s">
        <v>151</v>
      </c>
      <c r="E126" s="371" t="e">
        <f>INDEX('PY1 Data(H)'!$A$1:$CZ$265,MATCH('Unit Data from Audit Worksheet'!$A126,'PY1 Data(H)'!$A$1:$A$258,0),MATCH('Unit Data from Audit Worksheet'!$D$2,'PY1 Data(H)'!$A$1:$CZ$1,0))</f>
        <v>#N/A</v>
      </c>
      <c r="F126" s="795">
        <v>0</v>
      </c>
      <c r="G126" s="401">
        <f>IF(F126&gt;=F125,,"Error: Charges for services exceed total operating revenues. Account numbers 88&gt;84")</f>
        <v>0</v>
      </c>
      <c r="H126" s="17"/>
      <c r="I126" s="17"/>
      <c r="J126" s="72"/>
      <c r="K126"/>
      <c r="L126" s="547"/>
    </row>
    <row r="127" spans="1:123" ht="78" customHeight="1" x14ac:dyDescent="0.3">
      <c r="A127" s="100">
        <v>49</v>
      </c>
      <c r="B127" s="950" t="s">
        <v>1896</v>
      </c>
      <c r="C127" s="4" t="s">
        <v>719</v>
      </c>
      <c r="D127" s="26" t="s">
        <v>152</v>
      </c>
      <c r="E127" s="371" t="e">
        <f>INDEX('PY1 Data(H)'!$A$1:$CZ$265,MATCH('Unit Data from Audit Worksheet'!$A127,'PY1 Data(H)'!$A$1:$A$258,0),MATCH('Unit Data from Audit Worksheet'!$D$2,'PY1 Data(H)'!$A$1:$CZ$1,0))</f>
        <v>#N/A</v>
      </c>
      <c r="F127" s="795">
        <v>0</v>
      </c>
      <c r="G127" s="401">
        <f>IF(F127&lt;0,"Error: Enter as positive.",)</f>
        <v>0</v>
      </c>
      <c r="H127" s="17"/>
      <c r="I127" s="17"/>
      <c r="J127" s="72"/>
      <c r="K127"/>
      <c r="L127" s="547"/>
    </row>
    <row r="128" spans="1:123" ht="87.6" customHeight="1" x14ac:dyDescent="0.3">
      <c r="A128" s="100">
        <v>85</v>
      </c>
      <c r="B128" s="950" t="s">
        <v>1896</v>
      </c>
      <c r="C128" s="4" t="s">
        <v>719</v>
      </c>
      <c r="D128" s="26" t="s">
        <v>153</v>
      </c>
      <c r="E128" s="371" t="e">
        <f>INDEX('PY1 Data(H)'!$A$1:$CZ$265,MATCH('Unit Data from Audit Worksheet'!$A128,'PY1 Data(H)'!$A$1:$A$258,0),MATCH('Unit Data from Audit Worksheet'!$D$2,'PY1 Data(H)'!$A$1:$CZ$1,0))</f>
        <v>#N/A</v>
      </c>
      <c r="F128" s="795">
        <v>0</v>
      </c>
      <c r="G128" s="401">
        <f>IF(F128&lt;0,"Error: Enter as positive.",)</f>
        <v>0</v>
      </c>
      <c r="H128" s="17"/>
      <c r="I128" s="17"/>
      <c r="J128" s="72"/>
      <c r="K128"/>
      <c r="L128" s="547"/>
    </row>
    <row r="129" spans="1:123" ht="75.599999999999994" customHeight="1" x14ac:dyDescent="0.3">
      <c r="A129" s="100">
        <v>89</v>
      </c>
      <c r="B129" s="950" t="s">
        <v>1896</v>
      </c>
      <c r="C129" s="4" t="s">
        <v>719</v>
      </c>
      <c r="D129" s="26" t="s">
        <v>154</v>
      </c>
      <c r="E129" s="371" t="e">
        <f>INDEX('PY1 Data(H)'!$A$1:$CZ$265,MATCH('Unit Data from Audit Worksheet'!$A129,'PY1 Data(H)'!$A$1:$A$258,0),MATCH('Unit Data from Audit Worksheet'!$D$2,'PY1 Data(H)'!$A$1:$CZ$1,0))</f>
        <v>#N/A</v>
      </c>
      <c r="F129" s="795">
        <v>0</v>
      </c>
      <c r="G129" s="401">
        <f>IF(F129&lt;0,"Error: Enter as positive.",)</f>
        <v>0</v>
      </c>
      <c r="H129" s="402"/>
      <c r="I129" s="17"/>
      <c r="J129" s="72"/>
      <c r="K129"/>
      <c r="L129" s="547"/>
    </row>
    <row r="130" spans="1:123" ht="79.2" customHeight="1" x14ac:dyDescent="0.3">
      <c r="A130" s="100">
        <v>350</v>
      </c>
      <c r="B130" s="4" t="s">
        <v>55</v>
      </c>
      <c r="C130" s="4" t="s">
        <v>719</v>
      </c>
      <c r="D130" s="21" t="s">
        <v>721</v>
      </c>
      <c r="E130" s="371" t="e">
        <f>INDEX('PY1 Data(H)'!$A$1:$CZ$265,MATCH('Unit Data from Audit Worksheet'!$A130,'PY1 Data(H)'!$A$1:$A$258,0),MATCH('Unit Data from Audit Worksheet'!$D$2,'PY1 Data(H)'!$A$1:$CZ$1,0))</f>
        <v>#N/A</v>
      </c>
      <c r="F130" s="795">
        <v>0</v>
      </c>
      <c r="G130" s="407"/>
      <c r="H130" s="402"/>
      <c r="I130" s="17"/>
      <c r="J130" s="72"/>
      <c r="K130"/>
      <c r="L130" s="547"/>
    </row>
    <row r="131" spans="1:123" ht="66" customHeight="1" x14ac:dyDescent="0.3">
      <c r="A131" s="100">
        <v>351</v>
      </c>
      <c r="B131" s="950" t="s">
        <v>1896</v>
      </c>
      <c r="C131" s="4" t="s">
        <v>719</v>
      </c>
      <c r="D131" s="21" t="s">
        <v>722</v>
      </c>
      <c r="E131" s="371" t="e">
        <f>INDEX('PY1 Data(H)'!$A$1:$CZ$265,MATCH('Unit Data from Audit Worksheet'!$A131,'PY1 Data(H)'!$A$1:$A$258,0),MATCH('Unit Data from Audit Worksheet'!$D$2,'PY1 Data(H)'!$A$1:$CZ$1,0))</f>
        <v>#N/A</v>
      </c>
      <c r="F131" s="795">
        <v>0</v>
      </c>
      <c r="G131" s="401">
        <f t="shared" ref="G131:G136" si="2">IF(F131&lt;0,"Error: Enter as positive.",)</f>
        <v>0</v>
      </c>
      <c r="H131" s="402"/>
      <c r="I131" s="17"/>
      <c r="J131" s="72"/>
      <c r="K131"/>
      <c r="L131" s="547"/>
    </row>
    <row r="132" spans="1:123" ht="93.75" customHeight="1" x14ac:dyDescent="0.3">
      <c r="A132" s="100">
        <v>191</v>
      </c>
      <c r="B132" s="4" t="s">
        <v>56</v>
      </c>
      <c r="C132" s="4" t="s">
        <v>719</v>
      </c>
      <c r="D132" s="21" t="s">
        <v>723</v>
      </c>
      <c r="E132" s="371" t="e">
        <f>INDEX('PY1 Data(H)'!$A$1:$CZ$265,MATCH('Unit Data from Audit Worksheet'!$A132,'PY1 Data(H)'!$A$1:$A$258,0),MATCH('Unit Data from Audit Worksheet'!$D$2,'PY1 Data(H)'!$A$1:$CZ$1,0))</f>
        <v>#N/A</v>
      </c>
      <c r="F132" s="795">
        <v>0</v>
      </c>
      <c r="G132" s="401">
        <f t="shared" si="2"/>
        <v>0</v>
      </c>
      <c r="H132" s="402"/>
      <c r="I132" s="17"/>
      <c r="J132" s="72"/>
      <c r="K132"/>
      <c r="L132" s="547"/>
    </row>
    <row r="133" spans="1:123" ht="81.599999999999994" customHeight="1" x14ac:dyDescent="0.3">
      <c r="A133" s="100">
        <v>1053</v>
      </c>
      <c r="B133" s="780" t="s">
        <v>578</v>
      </c>
      <c r="C133" s="780" t="s">
        <v>1440</v>
      </c>
      <c r="D133" s="781" t="s">
        <v>1478</v>
      </c>
      <c r="E133" s="371" t="e">
        <f>INDEX('PY1 Data(H)'!$A$1:$CZ$265,MATCH('Unit Data from Audit Worksheet'!$A133,'PY1 Data(H)'!$A$1:$A$258,0),MATCH('Unit Data from Audit Worksheet'!$D$2,'PY1 Data(H)'!$A$1:$CZ$1,0))</f>
        <v>#N/A</v>
      </c>
      <c r="F133" s="795">
        <v>0</v>
      </c>
      <c r="G133" s="401"/>
      <c r="H133" s="402"/>
      <c r="I133" s="17"/>
      <c r="J133" s="72"/>
      <c r="K133" s="180"/>
      <c r="L133" s="547"/>
      <c r="M133" s="180"/>
      <c r="Z133" s="180"/>
      <c r="AA133" s="180"/>
      <c r="AB133" s="180"/>
      <c r="AC133" s="180"/>
      <c r="AD133" s="180"/>
      <c r="AE133" s="180"/>
      <c r="AF133" s="180"/>
      <c r="AG133" s="180"/>
      <c r="AH133" s="180"/>
      <c r="AI133" s="180"/>
      <c r="AJ133" s="180"/>
      <c r="AK133" s="180"/>
      <c r="AL133" s="180"/>
      <c r="AM133" s="180"/>
      <c r="AN133" s="180"/>
      <c r="AO133" s="180"/>
      <c r="AP133" s="180"/>
      <c r="AQ133" s="180"/>
      <c r="AR133" s="180"/>
      <c r="AS133" s="180"/>
      <c r="AT133" s="180"/>
      <c r="AU133" s="180"/>
      <c r="AV133" s="180"/>
      <c r="AW133" s="180"/>
      <c r="AX133" s="180"/>
      <c r="AY133" s="180"/>
      <c r="AZ133" s="180"/>
      <c r="BA133" s="180"/>
      <c r="BB133" s="180"/>
      <c r="BC133" s="180"/>
      <c r="BD133" s="180"/>
      <c r="BE133" s="180"/>
      <c r="BF133" s="180"/>
      <c r="BG133" s="180"/>
      <c r="BH133" s="180"/>
      <c r="BI133" s="180"/>
      <c r="BJ133" s="180"/>
      <c r="BK133" s="180"/>
      <c r="BL133" s="180"/>
      <c r="BM133" s="180"/>
      <c r="BN133" s="180"/>
      <c r="BO133" s="180"/>
      <c r="BP133" s="180"/>
      <c r="BQ133" s="180"/>
      <c r="BR133" s="180"/>
      <c r="BS133" s="180"/>
      <c r="BT133" s="180"/>
      <c r="BU133" s="180"/>
      <c r="BV133" s="180"/>
      <c r="BW133" s="180"/>
      <c r="BX133" s="180"/>
      <c r="BY133" s="180"/>
      <c r="BZ133" s="180"/>
      <c r="CA133" s="180"/>
      <c r="CB133" s="180"/>
      <c r="CC133" s="180"/>
      <c r="CD133" s="180"/>
      <c r="CE133" s="180"/>
      <c r="CF133" s="180"/>
      <c r="CG133" s="180"/>
      <c r="CH133" s="180"/>
      <c r="CI133" s="180"/>
      <c r="CJ133" s="180"/>
      <c r="CK133" s="180"/>
      <c r="CL133" s="180"/>
      <c r="CM133" s="180"/>
      <c r="CN133" s="180"/>
      <c r="CO133" s="180"/>
      <c r="CP133" s="180"/>
      <c r="CQ133" s="180"/>
      <c r="CR133" s="180"/>
      <c r="CS133" s="180"/>
      <c r="CT133" s="180"/>
      <c r="CU133" s="180"/>
      <c r="CV133" s="180"/>
      <c r="CW133" s="180"/>
      <c r="CX133" s="180"/>
      <c r="CY133" s="180"/>
      <c r="CZ133" s="180"/>
      <c r="DA133" s="180"/>
      <c r="DB133" s="180"/>
      <c r="DC133" s="180"/>
      <c r="DD133" s="180"/>
      <c r="DE133" s="180"/>
      <c r="DF133" s="180"/>
      <c r="DG133" s="180"/>
      <c r="DH133" s="180"/>
      <c r="DI133" s="180"/>
      <c r="DJ133" s="180"/>
      <c r="DK133" s="180"/>
      <c r="DL133" s="180"/>
      <c r="DM133" s="180"/>
      <c r="DN133" s="180"/>
      <c r="DO133" s="180"/>
      <c r="DP133" s="180"/>
      <c r="DQ133" s="180"/>
      <c r="DR133" s="180"/>
      <c r="DS133" s="180"/>
    </row>
    <row r="134" spans="1:123" ht="78.599999999999994" customHeight="1" x14ac:dyDescent="0.3">
      <c r="A134" s="100">
        <v>352</v>
      </c>
      <c r="B134" s="4" t="s">
        <v>67</v>
      </c>
      <c r="C134" s="4" t="s">
        <v>719</v>
      </c>
      <c r="D134" s="26" t="s">
        <v>647</v>
      </c>
      <c r="E134" s="371" t="e">
        <f>INDEX('PY1 Data(H)'!$A$1:$CZ$265,MATCH('Unit Data from Audit Worksheet'!$A134,'PY1 Data(H)'!$A$1:$A$258,0),MATCH('Unit Data from Audit Worksheet'!$D$2,'PY1 Data(H)'!$A$1:$CZ$1,0))</f>
        <v>#N/A</v>
      </c>
      <c r="F134" s="795">
        <v>0</v>
      </c>
      <c r="G134" s="401">
        <f t="shared" si="2"/>
        <v>0</v>
      </c>
      <c r="H134" s="18"/>
      <c r="I134" s="17"/>
      <c r="J134" s="17"/>
      <c r="K134"/>
      <c r="L134" s="547"/>
    </row>
    <row r="135" spans="1:123" ht="79.95" customHeight="1" x14ac:dyDescent="0.3">
      <c r="A135" s="100">
        <v>986</v>
      </c>
      <c r="B135" s="950" t="s">
        <v>1897</v>
      </c>
      <c r="C135" s="373" t="s">
        <v>719</v>
      </c>
      <c r="D135" s="26" t="s">
        <v>584</v>
      </c>
      <c r="E135" s="371" t="e">
        <f>INDEX('PY1 Data(H)'!$A$1:$CZ$265,MATCH('Unit Data from Audit Worksheet'!$A135,'PY1 Data(H)'!$A$1:$A$258,0),MATCH('Unit Data from Audit Worksheet'!$D$2,'PY1 Data(H)'!$A$1:$CZ$1,0))</f>
        <v>#N/A</v>
      </c>
      <c r="F135" s="795">
        <v>0</v>
      </c>
      <c r="G135" s="401">
        <f t="shared" si="2"/>
        <v>0</v>
      </c>
      <c r="H135" s="402"/>
      <c r="I135" s="17"/>
      <c r="J135" s="72"/>
      <c r="K135"/>
      <c r="L135" s="547"/>
    </row>
    <row r="136" spans="1:123" ht="79.2" customHeight="1" x14ac:dyDescent="0.3">
      <c r="A136" s="100">
        <v>353</v>
      </c>
      <c r="B136" s="4" t="s">
        <v>67</v>
      </c>
      <c r="C136" s="4" t="s">
        <v>719</v>
      </c>
      <c r="D136" s="26" t="s">
        <v>135</v>
      </c>
      <c r="E136" s="371" t="e">
        <f>INDEX('PY1 Data(H)'!$A$1:$CZ$265,MATCH('Unit Data from Audit Worksheet'!$A136,'PY1 Data(H)'!$A$1:$A$258,0),MATCH('Unit Data from Audit Worksheet'!$D$2,'PY1 Data(H)'!$A$1:$CZ$1,0))</f>
        <v>#N/A</v>
      </c>
      <c r="F136" s="795">
        <v>0</v>
      </c>
      <c r="G136" s="401">
        <f t="shared" si="2"/>
        <v>0</v>
      </c>
      <c r="H136" s="402"/>
      <c r="I136" s="17"/>
      <c r="J136" s="72"/>
      <c r="K136"/>
      <c r="L136" s="547"/>
    </row>
    <row r="137" spans="1:123" ht="138" customHeight="1" x14ac:dyDescent="0.3">
      <c r="A137" s="100">
        <v>50</v>
      </c>
      <c r="B137" s="4" t="s">
        <v>63</v>
      </c>
      <c r="C137" s="4" t="s">
        <v>719</v>
      </c>
      <c r="D137" s="383" t="s">
        <v>724</v>
      </c>
      <c r="E137" s="371" t="e">
        <f>INDEX('PY1 Data(H)'!$A$1:$CZ$265,MATCH('Unit Data from Audit Worksheet'!$A137,'PY1 Data(H)'!$A$1:$A$258,0),MATCH('Unit Data from Audit Worksheet'!$D$2,'PY1 Data(H)'!$A$1:$CZ$1,0))</f>
        <v>#N/A</v>
      </c>
      <c r="F137" s="795">
        <v>0</v>
      </c>
      <c r="G137" s="401">
        <f>IF(H137=0,,"Error: Total revenues less total expenses do not equal total change in net position. Account number 84-85+350-351+191+352-353-50=0  The amount of the formula is in the cell to the right")</f>
        <v>0</v>
      </c>
      <c r="H137" s="404">
        <f>F126-F128+F130-F131+F132+F134-F136-F137</f>
        <v>0</v>
      </c>
      <c r="I137" s="17"/>
      <c r="J137" s="72"/>
      <c r="K137"/>
      <c r="L137" s="547"/>
    </row>
    <row r="138" spans="1:123" ht="138" customHeight="1" x14ac:dyDescent="0.3">
      <c r="A138" s="100">
        <v>377</v>
      </c>
      <c r="B138" s="4" t="s">
        <v>67</v>
      </c>
      <c r="C138" s="4" t="s">
        <v>719</v>
      </c>
      <c r="D138" s="383" t="s">
        <v>725</v>
      </c>
      <c r="E138" s="371" t="e">
        <f>INDEX('PY1 Data(H)'!$A$1:$CZ$265,MATCH('Unit Data from Audit Worksheet'!$A138,'PY1 Data(H)'!$A$1:$A$258,0),MATCH('Unit Data from Audit Worksheet'!$D$2,'PY1 Data(H)'!$A$1:$CZ$1,0))</f>
        <v>#N/A</v>
      </c>
      <c r="F138" s="795">
        <v>0</v>
      </c>
      <c r="G138" s="756" t="e">
        <f>IF(F103-F137-F138=E103,,"Error: Beginning Balance does not agree with our records.  Acct #s (83-50-377)=prior year 83 The amount of the formula is in the cell to the right")</f>
        <v>#N/A</v>
      </c>
      <c r="H138" s="757" t="e">
        <f>+F103-F137-F138-E103</f>
        <v>#N/A</v>
      </c>
      <c r="I138" s="1012" t="e">
        <f>IF(H138=0," ","If the out of balance is because prior years data is not populated in cell E103, disregard the error message. Do not include prior year's ending balance in cell F138.")</f>
        <v>#N/A</v>
      </c>
      <c r="J138" s="765"/>
      <c r="K138"/>
      <c r="L138" s="547"/>
    </row>
    <row r="139" spans="1:123" ht="78.599999999999994" customHeight="1" x14ac:dyDescent="0.3">
      <c r="A139" s="100">
        <v>537</v>
      </c>
      <c r="B139" s="373" t="s">
        <v>58</v>
      </c>
      <c r="C139" s="373" t="s">
        <v>719</v>
      </c>
      <c r="D139" s="370" t="s">
        <v>1458</v>
      </c>
      <c r="E139" s="794" t="e">
        <f>INDEX('PY1 Data(H)'!$A$1:$CZ$265,MATCH('Unit Data from Audit Worksheet'!$A139,'PY1 Data(H)'!$A$1:$A$258,0),MATCH('Unit Data from Audit Worksheet'!$D$2,'PY1 Data(H)'!$A$1:$CZ$1,0))</f>
        <v>#N/A</v>
      </c>
      <c r="F139" s="184"/>
      <c r="G139" s="401"/>
      <c r="H139" s="402"/>
      <c r="I139" s="402"/>
      <c r="J139" s="403"/>
      <c r="K139"/>
      <c r="L139" s="547"/>
    </row>
    <row r="140" spans="1:123" ht="96.75" customHeight="1" x14ac:dyDescent="0.3">
      <c r="A140" s="100">
        <v>538</v>
      </c>
      <c r="B140" s="373" t="s">
        <v>58</v>
      </c>
      <c r="C140" s="373" t="s">
        <v>719</v>
      </c>
      <c r="D140" s="370" t="s">
        <v>1459</v>
      </c>
      <c r="E140" s="794" t="e">
        <f>INDEX('PY1 Data(H)'!$A$1:$CZ$265,MATCH('Unit Data from Audit Worksheet'!$A140,'PY1 Data(H)'!$A$1:$A$258,0),MATCH('Unit Data from Audit Worksheet'!$D$2,'PY1 Data(H)'!$A$1:$CZ$1,0))</f>
        <v>#N/A</v>
      </c>
      <c r="F140" s="184"/>
      <c r="G140" s="401"/>
      <c r="H140" s="402"/>
      <c r="I140" s="402"/>
      <c r="J140" s="403"/>
      <c r="K140"/>
      <c r="L140" s="547"/>
    </row>
    <row r="141" spans="1:123" ht="26.25" customHeight="1" x14ac:dyDescent="0.3">
      <c r="A141" s="100"/>
      <c r="B141" s="706" t="s">
        <v>6</v>
      </c>
      <c r="C141" s="499"/>
      <c r="D141" s="467"/>
      <c r="E141" s="485"/>
      <c r="F141" s="485"/>
      <c r="G141" s="486"/>
      <c r="H141" s="17"/>
      <c r="I141" s="17"/>
      <c r="J141" s="72"/>
      <c r="K141"/>
      <c r="L141" s="547"/>
    </row>
    <row r="142" spans="1:123" ht="91.95" customHeight="1" x14ac:dyDescent="0.3">
      <c r="A142" s="100">
        <v>97</v>
      </c>
      <c r="B142" s="4" t="s">
        <v>67</v>
      </c>
      <c r="C142" s="4" t="s">
        <v>726</v>
      </c>
      <c r="D142" s="26" t="s">
        <v>155</v>
      </c>
      <c r="E142" s="371" t="e">
        <f>INDEX('PY1 Data(H)'!$A$1:$CZ$265,MATCH('Unit Data from Audit Worksheet'!$A142,'PY1 Data(H)'!$A$1:$A$258,0),MATCH('Unit Data from Audit Worksheet'!$D$2,'PY1 Data(H)'!$A$1:$CZ$1,0))</f>
        <v>#N/A</v>
      </c>
      <c r="F142" s="795">
        <v>0</v>
      </c>
      <c r="G142" s="407"/>
      <c r="H142" s="17"/>
      <c r="I142" s="17"/>
      <c r="J142" s="72"/>
      <c r="K142"/>
      <c r="L142" s="547"/>
    </row>
    <row r="143" spans="1:123" ht="72.599999999999994" customHeight="1" x14ac:dyDescent="0.3">
      <c r="A143" s="100">
        <v>93</v>
      </c>
      <c r="B143" s="950" t="s">
        <v>1901</v>
      </c>
      <c r="C143" s="4" t="s">
        <v>726</v>
      </c>
      <c r="D143" s="26" t="s">
        <v>151</v>
      </c>
      <c r="E143" s="371" t="e">
        <f>INDEX('PY1 Data(H)'!$A$1:$CZ$265,MATCH('Unit Data from Audit Worksheet'!$A143,'PY1 Data(H)'!$A$1:$A$258,0),MATCH('Unit Data from Audit Worksheet'!$D$2,'PY1 Data(H)'!$A$1:$CZ$1,0))</f>
        <v>#N/A</v>
      </c>
      <c r="F143" s="795">
        <v>0</v>
      </c>
      <c r="G143" s="401">
        <f>IF(F142&gt;F143,"Error: Charges for services exceed total operating revenues. Account number 97&gt;93",)</f>
        <v>0</v>
      </c>
      <c r="H143" s="402"/>
      <c r="I143" s="17"/>
      <c r="J143" s="72"/>
      <c r="K143"/>
      <c r="L143" s="547"/>
    </row>
    <row r="144" spans="1:123" ht="76.2" customHeight="1" x14ac:dyDescent="0.3">
      <c r="A144" s="100">
        <v>99</v>
      </c>
      <c r="B144" s="4" t="s">
        <v>57</v>
      </c>
      <c r="C144" s="4" t="s">
        <v>726</v>
      </c>
      <c r="D144" s="26" t="s">
        <v>156</v>
      </c>
      <c r="E144" s="371" t="e">
        <f>INDEX('PY1 Data(H)'!$A$1:$CZ$265,MATCH('Unit Data from Audit Worksheet'!$A144,'PY1 Data(H)'!$A$1:$A$258,0),MATCH('Unit Data from Audit Worksheet'!$D$2,'PY1 Data(H)'!$A$1:$CZ$1,0))</f>
        <v>#N/A</v>
      </c>
      <c r="F144" s="795">
        <v>0</v>
      </c>
      <c r="G144" s="401">
        <f t="shared" ref="G144:G153" si="3">IF(F144&lt;0,"Error: Enter as positive.",)</f>
        <v>0</v>
      </c>
      <c r="H144" s="402"/>
      <c r="I144" s="17"/>
      <c r="J144" s="72"/>
      <c r="K144"/>
      <c r="L144" s="547"/>
    </row>
    <row r="145" spans="1:123" ht="73.2" customHeight="1" x14ac:dyDescent="0.3">
      <c r="A145" s="100">
        <v>52</v>
      </c>
      <c r="B145" s="950" t="s">
        <v>1902</v>
      </c>
      <c r="C145" s="4" t="s">
        <v>726</v>
      </c>
      <c r="D145" s="26" t="s">
        <v>152</v>
      </c>
      <c r="E145" s="371" t="e">
        <f>INDEX('PY1 Data(H)'!$A$1:$CZ$265,MATCH('Unit Data from Audit Worksheet'!$A145,'PY1 Data(H)'!$A$1:$A$258,0),MATCH('Unit Data from Audit Worksheet'!$D$2,'PY1 Data(H)'!$A$1:$CZ$1,0))</f>
        <v>#N/A</v>
      </c>
      <c r="F145" s="795">
        <v>0</v>
      </c>
      <c r="G145" s="401">
        <f t="shared" si="3"/>
        <v>0</v>
      </c>
      <c r="H145" s="402"/>
      <c r="I145" s="17"/>
      <c r="J145" s="72"/>
      <c r="K145"/>
      <c r="L145" s="547"/>
    </row>
    <row r="146" spans="1:123" ht="81" customHeight="1" x14ac:dyDescent="0.3">
      <c r="A146" s="100">
        <v>94</v>
      </c>
      <c r="B146" s="950" t="s">
        <v>1901</v>
      </c>
      <c r="C146" s="4" t="s">
        <v>726</v>
      </c>
      <c r="D146" s="26" t="s">
        <v>153</v>
      </c>
      <c r="E146" s="371" t="e">
        <f>INDEX('PY1 Data(H)'!$A$1:$CZ$265,MATCH('Unit Data from Audit Worksheet'!$A146,'PY1 Data(H)'!$A$1:$A$258,0),MATCH('Unit Data from Audit Worksheet'!$D$2,'PY1 Data(H)'!$A$1:$CZ$1,0))</f>
        <v>#N/A</v>
      </c>
      <c r="F146" s="795">
        <v>0</v>
      </c>
      <c r="G146" s="401">
        <f t="shared" si="3"/>
        <v>0</v>
      </c>
      <c r="H146" s="402"/>
      <c r="I146" s="17"/>
      <c r="J146" s="72"/>
      <c r="K146"/>
      <c r="L146" s="547"/>
    </row>
    <row r="147" spans="1:123" ht="85.95" customHeight="1" x14ac:dyDescent="0.3">
      <c r="A147" s="100">
        <v>98</v>
      </c>
      <c r="B147" s="950" t="s">
        <v>1901</v>
      </c>
      <c r="C147" s="4" t="s">
        <v>726</v>
      </c>
      <c r="D147" s="26" t="s">
        <v>154</v>
      </c>
      <c r="E147" s="371" t="e">
        <f>INDEX('PY1 Data(H)'!$A$1:$CZ$265,MATCH('Unit Data from Audit Worksheet'!$A147,'PY1 Data(H)'!$A$1:$A$258,0),MATCH('Unit Data from Audit Worksheet'!$D$2,'PY1 Data(H)'!$A$1:$CZ$1,0))</f>
        <v>#N/A</v>
      </c>
      <c r="F147" s="795">
        <v>0</v>
      </c>
      <c r="G147" s="401">
        <f t="shared" si="3"/>
        <v>0</v>
      </c>
      <c r="H147" s="402"/>
      <c r="I147" s="17"/>
      <c r="J147" s="72"/>
      <c r="K147"/>
      <c r="L147" s="547"/>
    </row>
    <row r="148" spans="1:123" ht="84" customHeight="1" x14ac:dyDescent="0.3">
      <c r="A148" s="100">
        <v>363</v>
      </c>
      <c r="B148" s="4" t="s">
        <v>55</v>
      </c>
      <c r="C148" s="4" t="s">
        <v>726</v>
      </c>
      <c r="D148" s="21" t="s">
        <v>727</v>
      </c>
      <c r="E148" s="371" t="e">
        <f>INDEX('PY1 Data(H)'!$A$1:$CZ$265,MATCH('Unit Data from Audit Worksheet'!$A148,'PY1 Data(H)'!$A$1:$A$258,0),MATCH('Unit Data from Audit Worksheet'!$D$2,'PY1 Data(H)'!$A$1:$CZ$1,0))</f>
        <v>#N/A</v>
      </c>
      <c r="F148" s="795">
        <v>0</v>
      </c>
      <c r="G148" s="401">
        <f t="shared" si="3"/>
        <v>0</v>
      </c>
      <c r="H148" s="402"/>
      <c r="I148" s="17"/>
      <c r="J148" s="72"/>
      <c r="K148"/>
      <c r="L148" s="547"/>
    </row>
    <row r="149" spans="1:123" ht="76.95" customHeight="1" x14ac:dyDescent="0.3">
      <c r="A149" s="100">
        <v>364</v>
      </c>
      <c r="B149" s="950" t="s">
        <v>1904</v>
      </c>
      <c r="C149" s="4" t="s">
        <v>726</v>
      </c>
      <c r="D149" s="21" t="s">
        <v>728</v>
      </c>
      <c r="E149" s="371" t="e">
        <f>INDEX('PY1 Data(H)'!$A$1:$CZ$265,MATCH('Unit Data from Audit Worksheet'!$A149,'PY1 Data(H)'!$A$1:$A$258,0),MATCH('Unit Data from Audit Worksheet'!$D$2,'PY1 Data(H)'!$A$1:$CZ$1,0))</f>
        <v>#N/A</v>
      </c>
      <c r="F149" s="795">
        <v>0</v>
      </c>
      <c r="G149" s="401">
        <f t="shared" si="3"/>
        <v>0</v>
      </c>
      <c r="H149" s="402"/>
      <c r="I149" s="17"/>
      <c r="J149" s="72"/>
      <c r="K149"/>
      <c r="L149" s="547"/>
    </row>
    <row r="150" spans="1:123" ht="86.4" customHeight="1" x14ac:dyDescent="0.3">
      <c r="A150" s="100">
        <v>192</v>
      </c>
      <c r="B150" s="4" t="s">
        <v>57</v>
      </c>
      <c r="C150" s="4" t="s">
        <v>726</v>
      </c>
      <c r="D150" s="21" t="s">
        <v>729</v>
      </c>
      <c r="E150" s="371" t="e">
        <f>INDEX('PY1 Data(H)'!$A$1:$CZ$265,MATCH('Unit Data from Audit Worksheet'!$A150,'PY1 Data(H)'!$A$1:$A$258,0),MATCH('Unit Data from Audit Worksheet'!$D$2,'PY1 Data(H)'!$A$1:$CZ$1,0))</f>
        <v>#N/A</v>
      </c>
      <c r="F150" s="795">
        <v>0</v>
      </c>
      <c r="G150" s="401">
        <f t="shared" si="3"/>
        <v>0</v>
      </c>
      <c r="H150" s="402"/>
      <c r="I150" s="17"/>
      <c r="J150" s="72"/>
      <c r="K150"/>
      <c r="L150" s="547"/>
    </row>
    <row r="151" spans="1:123" ht="80.400000000000006" customHeight="1" x14ac:dyDescent="0.3">
      <c r="A151" s="100">
        <v>1054</v>
      </c>
      <c r="B151" s="373" t="s">
        <v>578</v>
      </c>
      <c r="C151" s="373" t="s">
        <v>1438</v>
      </c>
      <c r="D151" s="781" t="s">
        <v>1479</v>
      </c>
      <c r="E151" s="371" t="e">
        <f>INDEX('PY1 Data(H)'!$A$1:$CZ$265,MATCH('Unit Data from Audit Worksheet'!$A151,'PY1 Data(H)'!$A$1:$A$258,0),MATCH('Unit Data from Audit Worksheet'!$D$2,'PY1 Data(H)'!$A$1:$CZ$1,0))</f>
        <v>#N/A</v>
      </c>
      <c r="F151" s="795">
        <v>0</v>
      </c>
      <c r="G151" s="401"/>
      <c r="H151" s="402"/>
      <c r="I151" s="17"/>
      <c r="J151" s="72"/>
      <c r="K151" s="180"/>
      <c r="L151" s="547"/>
      <c r="M151" s="180"/>
      <c r="Z151" s="180"/>
      <c r="AA151" s="180"/>
      <c r="AB151" s="180"/>
      <c r="AC151" s="180"/>
      <c r="AD151" s="180"/>
      <c r="AE151" s="180"/>
      <c r="AF151" s="180"/>
      <c r="AG151" s="180"/>
      <c r="AH151" s="180"/>
      <c r="AI151" s="180"/>
      <c r="AJ151" s="180"/>
      <c r="AK151" s="180"/>
      <c r="AL151" s="180"/>
      <c r="AM151" s="180"/>
      <c r="AN151" s="180"/>
      <c r="AO151" s="180"/>
      <c r="AP151" s="180"/>
      <c r="AQ151" s="180"/>
      <c r="AR151" s="180"/>
      <c r="AS151" s="180"/>
      <c r="AT151" s="180"/>
      <c r="AU151" s="180"/>
      <c r="AV151" s="180"/>
      <c r="AW151" s="180"/>
      <c r="AX151" s="180"/>
      <c r="AY151" s="180"/>
      <c r="AZ151" s="180"/>
      <c r="BA151" s="180"/>
      <c r="BB151" s="180"/>
      <c r="BC151" s="180"/>
      <c r="BD151" s="180"/>
      <c r="BE151" s="180"/>
      <c r="BF151" s="180"/>
      <c r="BG151" s="180"/>
      <c r="BH151" s="180"/>
      <c r="BI151" s="180"/>
      <c r="BJ151" s="180"/>
      <c r="BK151" s="180"/>
      <c r="BL151" s="180"/>
      <c r="BM151" s="180"/>
      <c r="BN151" s="180"/>
      <c r="BO151" s="180"/>
      <c r="BP151" s="180"/>
      <c r="BQ151" s="180"/>
      <c r="BR151" s="180"/>
      <c r="BS151" s="180"/>
      <c r="BT151" s="180"/>
      <c r="BU151" s="180"/>
      <c r="BV151" s="180"/>
      <c r="BW151" s="180"/>
      <c r="BX151" s="180"/>
      <c r="BY151" s="180"/>
      <c r="BZ151" s="180"/>
      <c r="CA151" s="180"/>
      <c r="CB151" s="180"/>
      <c r="CC151" s="180"/>
      <c r="CD151" s="180"/>
      <c r="CE151" s="180"/>
      <c r="CF151" s="180"/>
      <c r="CG151" s="180"/>
      <c r="CH151" s="180"/>
      <c r="CI151" s="180"/>
      <c r="CJ151" s="180"/>
      <c r="CK151" s="180"/>
      <c r="CL151" s="180"/>
      <c r="CM151" s="180"/>
      <c r="CN151" s="180"/>
      <c r="CO151" s="180"/>
      <c r="CP151" s="180"/>
      <c r="CQ151" s="180"/>
      <c r="CR151" s="180"/>
      <c r="CS151" s="180"/>
      <c r="CT151" s="180"/>
      <c r="CU151" s="180"/>
      <c r="CV151" s="180"/>
      <c r="CW151" s="180"/>
      <c r="CX151" s="180"/>
      <c r="CY151" s="180"/>
      <c r="CZ151" s="180"/>
      <c r="DA151" s="180"/>
      <c r="DB151" s="180"/>
      <c r="DC151" s="180"/>
      <c r="DD151" s="180"/>
      <c r="DE151" s="180"/>
      <c r="DF151" s="180"/>
      <c r="DG151" s="180"/>
      <c r="DH151" s="180"/>
      <c r="DI151" s="180"/>
      <c r="DJ151" s="180"/>
      <c r="DK151" s="180"/>
      <c r="DL151" s="180"/>
      <c r="DM151" s="180"/>
      <c r="DN151" s="180"/>
      <c r="DO151" s="180"/>
      <c r="DP151" s="180"/>
      <c r="DQ151" s="180"/>
      <c r="DR151" s="180"/>
      <c r="DS151" s="180"/>
    </row>
    <row r="152" spans="1:123" ht="94.2" customHeight="1" x14ac:dyDescent="0.3">
      <c r="A152" s="100">
        <v>365</v>
      </c>
      <c r="B152" s="4" t="s">
        <v>65</v>
      </c>
      <c r="C152" s="4" t="s">
        <v>726</v>
      </c>
      <c r="D152" s="21" t="s">
        <v>730</v>
      </c>
      <c r="E152" s="371" t="e">
        <f>INDEX('PY1 Data(H)'!$A$1:$CZ$265,MATCH('Unit Data from Audit Worksheet'!$A152,'PY1 Data(H)'!$A$1:$A$258,0),MATCH('Unit Data from Audit Worksheet'!$D$2,'PY1 Data(H)'!$A$1:$CZ$1,0))</f>
        <v>#N/A</v>
      </c>
      <c r="F152" s="795">
        <v>0</v>
      </c>
      <c r="G152" s="401">
        <f t="shared" si="3"/>
        <v>0</v>
      </c>
      <c r="H152" s="402"/>
      <c r="I152" s="17"/>
      <c r="J152" s="72"/>
      <c r="K152"/>
      <c r="L152" s="547"/>
    </row>
    <row r="153" spans="1:123" ht="84.75" customHeight="1" x14ac:dyDescent="0.3">
      <c r="A153" s="100">
        <v>366</v>
      </c>
      <c r="B153" s="950" t="s">
        <v>1901</v>
      </c>
      <c r="C153" s="4" t="s">
        <v>726</v>
      </c>
      <c r="D153" s="21" t="s">
        <v>731</v>
      </c>
      <c r="E153" s="371" t="e">
        <f>INDEX('PY1 Data(H)'!$A$1:$CZ$265,MATCH('Unit Data from Audit Worksheet'!$A153,'PY1 Data(H)'!$A$1:$A$258,0),MATCH('Unit Data from Audit Worksheet'!$D$2,'PY1 Data(H)'!$A$1:$CZ$1,0))</f>
        <v>#N/A</v>
      </c>
      <c r="F153" s="795">
        <v>0</v>
      </c>
      <c r="G153" s="401">
        <f t="shared" si="3"/>
        <v>0</v>
      </c>
      <c r="H153" s="402"/>
      <c r="I153" s="17"/>
      <c r="J153" s="72"/>
      <c r="K153"/>
      <c r="L153" s="547"/>
    </row>
    <row r="154" spans="1:123" s="18" customFormat="1" ht="138" customHeight="1" x14ac:dyDescent="0.3">
      <c r="A154" s="100">
        <v>53</v>
      </c>
      <c r="B154" s="373" t="s">
        <v>65</v>
      </c>
      <c r="C154" s="373" t="s">
        <v>726</v>
      </c>
      <c r="D154" s="383" t="s">
        <v>732</v>
      </c>
      <c r="E154" s="371" t="e">
        <f>INDEX('PY1 Data(H)'!$A$1:$CZ$265,MATCH('Unit Data from Audit Worksheet'!$A154,'PY1 Data(H)'!$A$1:$A$258,0),MATCH('Unit Data from Audit Worksheet'!$D$2,'PY1 Data(H)'!$A$1:$CZ$1,0))</f>
        <v>#N/A</v>
      </c>
      <c r="F154" s="795">
        <v>0</v>
      </c>
      <c r="G154" s="401">
        <f>IF(H154=0,,"Error: Total revenues less total expenses do not equal total change in net position. Account number 93-94+363-364+192+365-366-53=0  The amount of the formula is in the cell to the right")</f>
        <v>0</v>
      </c>
      <c r="H154" s="404">
        <f>+F143-F146+F148-F149+F150+F152-F153-F154</f>
        <v>0</v>
      </c>
      <c r="I154" s="17"/>
      <c r="J154" s="72"/>
      <c r="K154"/>
      <c r="L154" s="547"/>
      <c r="M154"/>
      <c r="O154" s="186"/>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row>
    <row r="155" spans="1:123" s="18" customFormat="1" ht="138" customHeight="1" x14ac:dyDescent="0.3">
      <c r="A155" s="100">
        <v>378</v>
      </c>
      <c r="B155" s="277" t="s">
        <v>55</v>
      </c>
      <c r="C155" s="373" t="s">
        <v>726</v>
      </c>
      <c r="D155" s="383" t="s">
        <v>733</v>
      </c>
      <c r="E155" s="371" t="e">
        <f>INDEX('PY1 Data(H)'!$A$1:$CZ$265,MATCH('Unit Data from Audit Worksheet'!$A155,'PY1 Data(H)'!$A$1:$A$258,0),MATCH('Unit Data from Audit Worksheet'!$D$2,'PY1 Data(H)'!$A$1:$CZ$1,0))</f>
        <v>#N/A</v>
      </c>
      <c r="F155" s="795">
        <v>0</v>
      </c>
      <c r="G155" s="754" t="e">
        <f>IF(F122-F154-F155=E122,,"Error: Beginning Balance does not agree with our records.  Acct #s (362-53-378)=prior year 362  The amount of the formula is in the cell to the right")</f>
        <v>#N/A</v>
      </c>
      <c r="H155" s="757" t="e">
        <f>+F122-F154-F155-E122</f>
        <v>#N/A</v>
      </c>
      <c r="I155" s="806" t="e">
        <f>IF(H155=0," ","If the out of balance is because prior years data is not populated in cell E122, disregard the error message. Do not include prior year's ending balance in cell F155.")</f>
        <v>#N/A</v>
      </c>
      <c r="J155" s="765"/>
      <c r="K155"/>
      <c r="L155" s="547"/>
      <c r="M155"/>
      <c r="O155" s="186"/>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row>
    <row r="156" spans="1:123" ht="30.75" customHeight="1" x14ac:dyDescent="0.3">
      <c r="A156" s="100"/>
      <c r="B156" s="489" t="s">
        <v>424</v>
      </c>
      <c r="C156" s="706"/>
      <c r="D156" s="492"/>
      <c r="E156" s="493"/>
      <c r="F156" s="493"/>
      <c r="G156" s="474"/>
      <c r="H156" s="17"/>
      <c r="I156" s="17"/>
      <c r="J156" s="72"/>
      <c r="K156"/>
      <c r="L156" s="547"/>
    </row>
    <row r="157" spans="1:123" ht="13.5" customHeight="1" x14ac:dyDescent="0.3">
      <c r="A157" s="100"/>
      <c r="B157" s="738" t="s">
        <v>734</v>
      </c>
      <c r="C157" s="499"/>
      <c r="D157" s="467"/>
      <c r="E157" s="494"/>
      <c r="F157" s="494"/>
      <c r="G157" s="486"/>
      <c r="H157" s="17"/>
      <c r="I157" s="17"/>
      <c r="J157" s="72"/>
      <c r="K157"/>
      <c r="L157" s="547"/>
    </row>
    <row r="158" spans="1:123" ht="17.25" customHeight="1" x14ac:dyDescent="0.3">
      <c r="A158" s="100"/>
      <c r="B158" s="490" t="s">
        <v>735</v>
      </c>
      <c r="C158" s="499"/>
      <c r="D158" s="481"/>
      <c r="E158" s="495"/>
      <c r="F158" s="495"/>
      <c r="G158" s="488"/>
      <c r="H158" s="17"/>
      <c r="I158" s="17"/>
      <c r="J158" s="72"/>
      <c r="K158"/>
      <c r="L158" s="547"/>
    </row>
    <row r="159" spans="1:123" ht="13.5" customHeight="1" x14ac:dyDescent="0.3">
      <c r="A159" s="100"/>
      <c r="B159" s="490" t="s">
        <v>23</v>
      </c>
      <c r="C159" s="499"/>
      <c r="D159" s="481"/>
      <c r="E159" s="495"/>
      <c r="F159" s="495"/>
      <c r="G159" s="488"/>
      <c r="H159" s="17"/>
      <c r="I159" s="17"/>
      <c r="J159" s="72"/>
      <c r="K159"/>
      <c r="L159" s="547"/>
    </row>
    <row r="160" spans="1:123" ht="59.25" customHeight="1" x14ac:dyDescent="0.3">
      <c r="A160" s="100">
        <v>51</v>
      </c>
      <c r="B160" s="4" t="s">
        <v>283</v>
      </c>
      <c r="C160" s="462" t="s">
        <v>736</v>
      </c>
      <c r="D160" s="21" t="s">
        <v>737</v>
      </c>
      <c r="E160" s="371" t="e">
        <f>INDEX('PY1 Data(H)'!$A$1:$CZ$265,MATCH('Unit Data from Audit Worksheet'!$A160,'PY1 Data(H)'!$A$1:$A$258,0),MATCH('Unit Data from Audit Worksheet'!$D$2,'PY1 Data(H)'!$A$1:$CZ$1,0))</f>
        <v>#N/A</v>
      </c>
      <c r="F160" s="795">
        <v>0</v>
      </c>
      <c r="G160" s="407"/>
      <c r="H160" s="17"/>
      <c r="I160" s="17"/>
      <c r="J160" s="72"/>
      <c r="K160"/>
      <c r="L160" s="547"/>
    </row>
    <row r="161" spans="1:123" ht="45" customHeight="1" x14ac:dyDescent="0.3">
      <c r="A161" s="100">
        <v>332</v>
      </c>
      <c r="B161" s="4" t="s">
        <v>36</v>
      </c>
      <c r="C161" s="462" t="s">
        <v>736</v>
      </c>
      <c r="D161" s="21" t="s">
        <v>738</v>
      </c>
      <c r="E161" s="371" t="e">
        <f>INDEX('PY1 Data(H)'!$A$1:$CZ$265,MATCH('Unit Data from Audit Worksheet'!$A161,'PY1 Data(H)'!$A$1:$A$258,0),MATCH('Unit Data from Audit Worksheet'!$D$2,'PY1 Data(H)'!$A$1:$CZ$1,0))</f>
        <v>#N/A</v>
      </c>
      <c r="F161" s="795">
        <v>0</v>
      </c>
      <c r="G161" s="401">
        <f>IF(F161&lt;0,"Error: Enter as positive.",)</f>
        <v>0</v>
      </c>
      <c r="H161" s="17"/>
      <c r="I161" s="17"/>
      <c r="J161" s="72"/>
      <c r="K161"/>
      <c r="L161" s="547"/>
    </row>
    <row r="162" spans="1:123" ht="75" customHeight="1" x14ac:dyDescent="0.3">
      <c r="A162" s="100">
        <v>331</v>
      </c>
      <c r="B162" s="950" t="s">
        <v>1896</v>
      </c>
      <c r="C162" s="462" t="s">
        <v>736</v>
      </c>
      <c r="D162" s="21" t="s">
        <v>739</v>
      </c>
      <c r="E162" s="371" t="e">
        <f>INDEX('PY1 Data(H)'!$A$1:$CZ$265,MATCH('Unit Data from Audit Worksheet'!$A162,'PY1 Data(H)'!$A$1:$A$258,0),MATCH('Unit Data from Audit Worksheet'!$D$2,'PY1 Data(H)'!$A$1:$CZ$1,0))</f>
        <v>#N/A</v>
      </c>
      <c r="F162" s="795">
        <v>0</v>
      </c>
      <c r="G162" s="401">
        <f>IF(F162&lt;0,"Error: Enter as positive.",)</f>
        <v>0</v>
      </c>
      <c r="H162" s="17"/>
      <c r="I162" s="17"/>
      <c r="J162" s="72"/>
      <c r="K162"/>
      <c r="L162" s="547"/>
    </row>
    <row r="163" spans="1:123" ht="17.399999999999999" customHeight="1" x14ac:dyDescent="0.3">
      <c r="A163" s="100"/>
      <c r="B163" s="706" t="s">
        <v>6</v>
      </c>
      <c r="C163" s="499"/>
      <c r="D163" s="490"/>
      <c r="E163" s="494"/>
      <c r="F163" s="494"/>
      <c r="G163" s="496"/>
      <c r="H163" s="17"/>
      <c r="I163" s="17"/>
      <c r="J163" s="72"/>
      <c r="K163"/>
      <c r="L163" s="547"/>
    </row>
    <row r="164" spans="1:123" ht="48" customHeight="1" x14ac:dyDescent="0.3">
      <c r="A164" s="100">
        <v>55</v>
      </c>
      <c r="B164" s="4" t="s">
        <v>58</v>
      </c>
      <c r="C164" s="462" t="s">
        <v>740</v>
      </c>
      <c r="D164" s="21" t="s">
        <v>741</v>
      </c>
      <c r="E164" s="371" t="e">
        <f>INDEX('PY1 Data(H)'!$A$1:$CZ$265,MATCH('Unit Data from Audit Worksheet'!$A164,'PY1 Data(H)'!$A$1:$A$258,0),MATCH('Unit Data from Audit Worksheet'!$D$2,'PY1 Data(H)'!$A$1:$CZ$1,0))</f>
        <v>#N/A</v>
      </c>
      <c r="F164" s="795">
        <v>0</v>
      </c>
      <c r="G164" s="407"/>
      <c r="H164" s="17"/>
      <c r="I164" s="17"/>
      <c r="J164" s="72"/>
      <c r="K164"/>
      <c r="L164" s="547"/>
    </row>
    <row r="165" spans="1:123" ht="60" customHeight="1" x14ac:dyDescent="0.3">
      <c r="A165" s="100">
        <v>101</v>
      </c>
      <c r="B165" s="4" t="s">
        <v>64</v>
      </c>
      <c r="C165" s="462" t="s">
        <v>740</v>
      </c>
      <c r="D165" s="21" t="s">
        <v>742</v>
      </c>
      <c r="E165" s="371" t="e">
        <f>INDEX('PY1 Data(H)'!$A$1:$CZ$265,MATCH('Unit Data from Audit Worksheet'!$A165,'PY1 Data(H)'!$A$1:$A$258,0),MATCH('Unit Data from Audit Worksheet'!$D$2,'PY1 Data(H)'!$A$1:$CZ$1,0))</f>
        <v>#N/A</v>
      </c>
      <c r="F165" s="795">
        <v>0</v>
      </c>
      <c r="G165" s="401">
        <f>IF(F165&lt;0,"Error: Enter as positive.",)</f>
        <v>0</v>
      </c>
      <c r="H165" s="17"/>
      <c r="I165" s="17"/>
      <c r="J165" s="72"/>
      <c r="K165"/>
      <c r="L165" s="547"/>
    </row>
    <row r="166" spans="1:123" ht="71.25" customHeight="1" x14ac:dyDescent="0.3">
      <c r="A166" s="100">
        <v>100</v>
      </c>
      <c r="B166" s="950" t="s">
        <v>1901</v>
      </c>
      <c r="C166" s="462" t="s">
        <v>740</v>
      </c>
      <c r="D166" s="21" t="s">
        <v>739</v>
      </c>
      <c r="E166" s="371" t="e">
        <f>INDEX('PY1 Data(H)'!$A$1:$CZ$265,MATCH('Unit Data from Audit Worksheet'!$A166,'PY1 Data(H)'!$A$1:$A$258,0),MATCH('Unit Data from Audit Worksheet'!$D$2,'PY1 Data(H)'!$A$1:$CZ$1,0))</f>
        <v>#N/A</v>
      </c>
      <c r="F166" s="795">
        <v>0</v>
      </c>
      <c r="G166" s="401">
        <f>IF(F166&lt;0,"Error: Enter as positive.",)</f>
        <v>0</v>
      </c>
      <c r="H166" s="17"/>
      <c r="I166" s="17"/>
      <c r="J166" s="72"/>
      <c r="K166"/>
      <c r="L166" s="547"/>
    </row>
    <row r="167" spans="1:123" ht="31.2" customHeight="1" x14ac:dyDescent="0.3">
      <c r="A167" s="100"/>
      <c r="B167" s="489" t="s">
        <v>1572</v>
      </c>
      <c r="C167" s="706"/>
      <c r="D167" s="489"/>
      <c r="E167" s="489"/>
      <c r="F167" s="489"/>
      <c r="G167" s="489"/>
      <c r="H167" s="17"/>
      <c r="I167" s="17"/>
      <c r="J167" s="72"/>
      <c r="K167" s="180"/>
      <c r="L167" s="547"/>
      <c r="M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c r="CV167" s="180"/>
      <c r="CW167" s="180"/>
      <c r="CX167" s="180"/>
      <c r="CY167" s="180"/>
      <c r="CZ167" s="180"/>
      <c r="DA167" s="180"/>
      <c r="DB167" s="180"/>
      <c r="DC167" s="180"/>
      <c r="DD167" s="180"/>
      <c r="DE167" s="180"/>
      <c r="DF167" s="180"/>
      <c r="DG167" s="180"/>
      <c r="DH167" s="180"/>
      <c r="DI167" s="180"/>
      <c r="DJ167" s="180"/>
      <c r="DK167" s="180"/>
      <c r="DL167" s="180"/>
      <c r="DM167" s="180"/>
      <c r="DN167" s="180"/>
      <c r="DO167" s="180"/>
      <c r="DP167" s="180"/>
      <c r="DQ167" s="180"/>
      <c r="DR167" s="180"/>
      <c r="DS167" s="180"/>
    </row>
    <row r="168" spans="1:123" ht="71.25" customHeight="1" x14ac:dyDescent="0.3">
      <c r="A168" s="775">
        <v>1060</v>
      </c>
      <c r="B168" s="373" t="s">
        <v>1449</v>
      </c>
      <c r="C168" s="409"/>
      <c r="D168" s="776" t="s">
        <v>1470</v>
      </c>
      <c r="E168" s="371" t="e">
        <f>INDEX('PY1 Data(H)'!$A$1:$CZ$265,MATCH('Unit Data from Audit Worksheet'!$A168,'PY1 Data(H)'!$A$1:$A$258,0),MATCH('Unit Data from Audit Worksheet'!$D$2,'PY1 Data(H)'!$A$1:$CZ$1,0))</f>
        <v>#N/A</v>
      </c>
      <c r="F168" s="795">
        <v>0</v>
      </c>
      <c r="G168" s="401"/>
      <c r="H168" s="17"/>
      <c r="I168" s="17"/>
      <c r="J168" s="72"/>
      <c r="K168" s="180"/>
      <c r="L168" s="547"/>
      <c r="M168" s="180"/>
      <c r="Z168" s="180"/>
      <c r="AA168" s="180"/>
      <c r="AB168" s="180"/>
      <c r="AC168" s="180"/>
      <c r="AD168" s="180"/>
      <c r="AE168" s="180"/>
      <c r="AF168" s="180"/>
      <c r="AG168" s="180"/>
      <c r="AH168" s="180"/>
      <c r="AI168" s="180"/>
      <c r="AJ168" s="180"/>
      <c r="AK168" s="180"/>
      <c r="AL168" s="180"/>
      <c r="AM168" s="180"/>
      <c r="AN168" s="180"/>
      <c r="AO168" s="180"/>
      <c r="AP168" s="180"/>
      <c r="AQ168" s="180"/>
      <c r="AR168" s="180"/>
      <c r="AS168" s="180"/>
      <c r="AT168" s="180"/>
      <c r="AU168" s="180"/>
      <c r="AV168" s="180"/>
      <c r="AW168" s="180"/>
      <c r="AX168" s="180"/>
      <c r="AY168" s="180"/>
      <c r="AZ168" s="180"/>
      <c r="BA168" s="180"/>
      <c r="BB168" s="180"/>
      <c r="BC168" s="180"/>
      <c r="BD168" s="180"/>
      <c r="BE168" s="180"/>
      <c r="BF168" s="180"/>
      <c r="BG168" s="180"/>
      <c r="BH168" s="180"/>
      <c r="BI168" s="180"/>
      <c r="BJ168" s="180"/>
      <c r="BK168" s="180"/>
      <c r="BL168" s="180"/>
      <c r="BM168" s="180"/>
      <c r="BN168" s="180"/>
      <c r="BO168" s="180"/>
      <c r="BP168" s="180"/>
      <c r="BQ168" s="180"/>
      <c r="BR168" s="180"/>
      <c r="BS168" s="180"/>
      <c r="BT168" s="180"/>
      <c r="BU168" s="180"/>
      <c r="BV168" s="180"/>
      <c r="BW168" s="180"/>
      <c r="BX168" s="180"/>
      <c r="BY168" s="180"/>
      <c r="BZ168" s="180"/>
      <c r="CA168" s="180"/>
      <c r="CB168" s="180"/>
      <c r="CC168" s="180"/>
      <c r="CD168" s="180"/>
      <c r="CE168" s="180"/>
      <c r="CF168" s="180"/>
      <c r="CG168" s="180"/>
      <c r="CH168" s="180"/>
      <c r="CI168" s="180"/>
      <c r="CJ168" s="180"/>
      <c r="CK168" s="180"/>
      <c r="CL168" s="180"/>
      <c r="CM168" s="180"/>
      <c r="CN168" s="180"/>
      <c r="CO168" s="180"/>
      <c r="CP168" s="180"/>
      <c r="CQ168" s="180"/>
      <c r="CR168" s="180"/>
      <c r="CS168" s="180"/>
      <c r="CT168" s="180"/>
      <c r="CU168" s="180"/>
      <c r="CV168" s="180"/>
      <c r="CW168" s="180"/>
      <c r="CX168" s="180"/>
      <c r="CY168" s="180"/>
      <c r="CZ168" s="180"/>
      <c r="DA168" s="180"/>
      <c r="DB168" s="180"/>
      <c r="DC168" s="180"/>
      <c r="DD168" s="180"/>
      <c r="DE168" s="180"/>
      <c r="DF168" s="180"/>
      <c r="DG168" s="180"/>
      <c r="DH168" s="180"/>
      <c r="DI168" s="180"/>
      <c r="DJ168" s="180"/>
      <c r="DK168" s="180"/>
      <c r="DL168" s="180"/>
      <c r="DM168" s="180"/>
      <c r="DN168" s="180"/>
      <c r="DO168" s="180"/>
      <c r="DP168" s="180"/>
      <c r="DQ168" s="180"/>
      <c r="DR168" s="180"/>
      <c r="DS168" s="180"/>
    </row>
    <row r="169" spans="1:123" ht="71.25" customHeight="1" x14ac:dyDescent="0.3">
      <c r="A169" s="775">
        <v>1061</v>
      </c>
      <c r="B169" s="373" t="s">
        <v>1449</v>
      </c>
      <c r="C169" s="409"/>
      <c r="D169" s="776" t="s">
        <v>1471</v>
      </c>
      <c r="E169" s="371" t="e">
        <f>INDEX('PY1 Data(H)'!$A$1:$CZ$265,MATCH('Unit Data from Audit Worksheet'!$A169,'PY1 Data(H)'!$A$1:$A$258,0),MATCH('Unit Data from Audit Worksheet'!$D$2,'PY1 Data(H)'!$A$1:$CZ$1,0))</f>
        <v>#N/A</v>
      </c>
      <c r="F169" s="795">
        <v>0</v>
      </c>
      <c r="G169" s="401"/>
      <c r="H169" s="17"/>
      <c r="I169" s="17"/>
      <c r="J169" s="72"/>
      <c r="K169" s="180"/>
      <c r="L169" s="547"/>
      <c r="M169" s="180"/>
      <c r="Z169" s="180"/>
      <c r="AA169" s="180"/>
      <c r="AB169" s="180"/>
      <c r="AC169" s="180"/>
      <c r="AD169" s="180"/>
      <c r="AE169" s="180"/>
      <c r="AF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c r="BD169" s="180"/>
      <c r="BE169" s="180"/>
      <c r="BF169" s="180"/>
      <c r="BG169" s="180"/>
      <c r="BH169" s="180"/>
      <c r="BI169" s="180"/>
      <c r="BJ169" s="180"/>
      <c r="BK169" s="180"/>
      <c r="BL169" s="180"/>
      <c r="BM169" s="180"/>
      <c r="BN169" s="180"/>
      <c r="BO169" s="180"/>
      <c r="BP169" s="180"/>
      <c r="BQ169" s="180"/>
      <c r="BR169" s="180"/>
      <c r="BS169" s="180"/>
      <c r="BT169" s="180"/>
      <c r="BU169" s="180"/>
      <c r="BV169" s="180"/>
      <c r="BW169" s="180"/>
      <c r="BX169" s="180"/>
      <c r="BY169" s="180"/>
      <c r="BZ169" s="180"/>
      <c r="CA169" s="180"/>
      <c r="CB169" s="180"/>
      <c r="CC169" s="180"/>
      <c r="CD169" s="180"/>
      <c r="CE169" s="180"/>
      <c r="CF169" s="180"/>
      <c r="CG169" s="180"/>
      <c r="CH169" s="180"/>
      <c r="CI169" s="180"/>
      <c r="CJ169" s="180"/>
      <c r="CK169" s="180"/>
      <c r="CL169" s="180"/>
      <c r="CM169" s="180"/>
      <c r="CN169" s="180"/>
      <c r="CO169" s="180"/>
      <c r="CP169" s="180"/>
      <c r="CQ169" s="180"/>
      <c r="CR169" s="180"/>
      <c r="CS169" s="180"/>
      <c r="CT169" s="180"/>
      <c r="CU169" s="180"/>
      <c r="CV169" s="180"/>
      <c r="CW169" s="180"/>
      <c r="CX169" s="180"/>
      <c r="CY169" s="180"/>
      <c r="CZ169" s="180"/>
      <c r="DA169" s="180"/>
      <c r="DB169" s="180"/>
      <c r="DC169" s="180"/>
      <c r="DD169" s="180"/>
      <c r="DE169" s="180"/>
      <c r="DF169" s="180"/>
      <c r="DG169" s="180"/>
      <c r="DH169" s="180"/>
      <c r="DI169" s="180"/>
      <c r="DJ169" s="180"/>
      <c r="DK169" s="180"/>
      <c r="DL169" s="180"/>
      <c r="DM169" s="180"/>
      <c r="DN169" s="180"/>
      <c r="DO169" s="180"/>
      <c r="DP169" s="180"/>
      <c r="DQ169" s="180"/>
      <c r="DR169" s="180"/>
      <c r="DS169" s="180"/>
    </row>
    <row r="170" spans="1:123" ht="98.4" customHeight="1" x14ac:dyDescent="0.3">
      <c r="A170" s="775">
        <v>1062</v>
      </c>
      <c r="B170" s="373" t="s">
        <v>1449</v>
      </c>
      <c r="C170" s="409"/>
      <c r="D170" s="776" t="s">
        <v>1884</v>
      </c>
      <c r="E170" s="371" t="e">
        <f>INDEX('PY1 Data(H)'!$A$1:$CZ$265,MATCH('Unit Data from Audit Worksheet'!$A170,'PY1 Data(H)'!$A$1:$A$258,0),MATCH('Unit Data from Audit Worksheet'!$D$2,'PY1 Data(H)'!$A$1:$CZ$1,0))</f>
        <v>#N/A</v>
      </c>
      <c r="F170" s="184"/>
      <c r="G170" s="401"/>
      <c r="H170" s="17"/>
      <c r="I170" s="17"/>
      <c r="J170" s="72"/>
      <c r="K170" s="180"/>
      <c r="L170" s="547"/>
      <c r="M170" s="180"/>
      <c r="Z170" s="180"/>
      <c r="AA170" s="180"/>
      <c r="AB170" s="180"/>
      <c r="AC170" s="180"/>
      <c r="AD170" s="180"/>
      <c r="AE170" s="180"/>
      <c r="AF170" s="180"/>
      <c r="AG170" s="180"/>
      <c r="AH170" s="180"/>
      <c r="AI170" s="180"/>
      <c r="AJ170" s="180"/>
      <c r="AK170" s="180"/>
      <c r="AL170" s="180"/>
      <c r="AM170" s="180"/>
      <c r="AN170" s="180"/>
      <c r="AO170" s="180"/>
      <c r="AP170" s="180"/>
      <c r="AQ170" s="180"/>
      <c r="AR170" s="180"/>
      <c r="AS170" s="180"/>
      <c r="AT170" s="180"/>
      <c r="AU170" s="180"/>
      <c r="AV170" s="180"/>
      <c r="AW170" s="180"/>
      <c r="AX170" s="180"/>
      <c r="AY170" s="180"/>
      <c r="AZ170" s="180"/>
      <c r="BA170" s="180"/>
      <c r="BB170" s="180"/>
      <c r="BC170" s="180"/>
      <c r="BD170" s="180"/>
      <c r="BE170" s="180"/>
      <c r="BF170" s="180"/>
      <c r="BG170" s="180"/>
      <c r="BH170" s="180"/>
      <c r="BI170" s="180"/>
      <c r="BJ170" s="180"/>
      <c r="BK170" s="180"/>
      <c r="BL170" s="180"/>
      <c r="BM170" s="180"/>
      <c r="BN170" s="180"/>
      <c r="BO170" s="180"/>
      <c r="BP170" s="180"/>
      <c r="BQ170" s="180"/>
      <c r="BR170" s="180"/>
      <c r="BS170" s="180"/>
      <c r="BT170" s="180"/>
      <c r="BU170" s="180"/>
      <c r="BV170" s="180"/>
      <c r="BW170" s="180"/>
      <c r="BX170" s="180"/>
      <c r="BY170" s="180"/>
      <c r="BZ170" s="180"/>
      <c r="CA170" s="180"/>
      <c r="CB170" s="180"/>
      <c r="CC170" s="180"/>
      <c r="CD170" s="180"/>
      <c r="CE170" s="180"/>
      <c r="CF170" s="180"/>
      <c r="CG170" s="180"/>
      <c r="CH170" s="180"/>
      <c r="CI170" s="180"/>
      <c r="CJ170" s="180"/>
      <c r="CK170" s="180"/>
      <c r="CL170" s="180"/>
      <c r="CM170" s="180"/>
      <c r="CN170" s="180"/>
      <c r="CO170" s="180"/>
      <c r="CP170" s="180"/>
      <c r="CQ170" s="180"/>
      <c r="CR170" s="180"/>
      <c r="CS170" s="180"/>
      <c r="CT170" s="180"/>
      <c r="CU170" s="180"/>
      <c r="CV170" s="180"/>
      <c r="CW170" s="180"/>
      <c r="CX170" s="180"/>
      <c r="CY170" s="180"/>
      <c r="CZ170" s="180"/>
      <c r="DA170" s="180"/>
      <c r="DB170" s="180"/>
      <c r="DC170" s="180"/>
      <c r="DD170" s="180"/>
      <c r="DE170" s="180"/>
      <c r="DF170" s="180"/>
      <c r="DG170" s="180"/>
      <c r="DH170" s="180"/>
      <c r="DI170" s="180"/>
      <c r="DJ170" s="180"/>
      <c r="DK170" s="180"/>
      <c r="DL170" s="180"/>
      <c r="DM170" s="180"/>
      <c r="DN170" s="180"/>
      <c r="DO170" s="180"/>
      <c r="DP170" s="180"/>
      <c r="DQ170" s="180"/>
      <c r="DR170" s="180"/>
      <c r="DS170" s="180"/>
    </row>
    <row r="171" spans="1:123" ht="71.25" customHeight="1" x14ac:dyDescent="0.3">
      <c r="A171" s="775">
        <v>1063</v>
      </c>
      <c r="B171" s="373" t="s">
        <v>1449</v>
      </c>
      <c r="C171" s="409"/>
      <c r="D171" s="776" t="s">
        <v>1885</v>
      </c>
      <c r="E171" s="371" t="e">
        <f>INDEX('PY1 Data(H)'!$A$1:$CZ$265,MATCH('Unit Data from Audit Worksheet'!$A171,'PY1 Data(H)'!$A$1:$A$258,0),MATCH('Unit Data from Audit Worksheet'!$D$2,'PY1 Data(H)'!$A$1:$CZ$1,0))</f>
        <v>#N/A</v>
      </c>
      <c r="F171" s="184"/>
      <c r="G171" s="401"/>
      <c r="H171" s="17"/>
      <c r="I171" s="17"/>
      <c r="J171" s="72"/>
      <c r="K171" s="180"/>
      <c r="L171" s="547"/>
      <c r="M171" s="180"/>
      <c r="Z171" s="180"/>
      <c r="AA171" s="180"/>
      <c r="AB171" s="180"/>
      <c r="AC171" s="180"/>
      <c r="AD171" s="180"/>
      <c r="AE171" s="180"/>
      <c r="AF171" s="180"/>
      <c r="AG171" s="180"/>
      <c r="AH171" s="180"/>
      <c r="AI171" s="180"/>
      <c r="AJ171" s="180"/>
      <c r="AK171" s="180"/>
      <c r="AL171" s="180"/>
      <c r="AM171" s="180"/>
      <c r="AN171" s="180"/>
      <c r="AO171" s="180"/>
      <c r="AP171" s="180"/>
      <c r="AQ171" s="180"/>
      <c r="AR171" s="180"/>
      <c r="AS171" s="180"/>
      <c r="AT171" s="180"/>
      <c r="AU171" s="180"/>
      <c r="AV171" s="180"/>
      <c r="AW171" s="180"/>
      <c r="AX171" s="180"/>
      <c r="AY171" s="180"/>
      <c r="AZ171" s="180"/>
      <c r="BA171" s="180"/>
      <c r="BB171" s="180"/>
      <c r="BC171" s="180"/>
      <c r="BD171" s="180"/>
      <c r="BE171" s="180"/>
      <c r="BF171" s="180"/>
      <c r="BG171" s="180"/>
      <c r="BH171" s="180"/>
      <c r="BI171" s="180"/>
      <c r="BJ171" s="180"/>
      <c r="BK171" s="180"/>
      <c r="BL171" s="180"/>
      <c r="BM171" s="180"/>
      <c r="BN171" s="180"/>
      <c r="BO171" s="180"/>
      <c r="BP171" s="180"/>
      <c r="BQ171" s="180"/>
      <c r="BR171" s="180"/>
      <c r="BS171" s="180"/>
      <c r="BT171" s="180"/>
      <c r="BU171" s="180"/>
      <c r="BV171" s="180"/>
      <c r="BW171" s="180"/>
      <c r="BX171" s="180"/>
      <c r="BY171" s="180"/>
      <c r="BZ171" s="180"/>
      <c r="CA171" s="180"/>
      <c r="CB171" s="180"/>
      <c r="CC171" s="180"/>
      <c r="CD171" s="180"/>
      <c r="CE171" s="180"/>
      <c r="CF171" s="180"/>
      <c r="CG171" s="180"/>
      <c r="CH171" s="180"/>
      <c r="CI171" s="180"/>
      <c r="CJ171" s="180"/>
      <c r="CK171" s="180"/>
      <c r="CL171" s="180"/>
      <c r="CM171" s="180"/>
      <c r="CN171" s="180"/>
      <c r="CO171" s="180"/>
      <c r="CP171" s="180"/>
      <c r="CQ171" s="180"/>
      <c r="CR171" s="180"/>
      <c r="CS171" s="180"/>
      <c r="CT171" s="180"/>
      <c r="CU171" s="180"/>
      <c r="CV171" s="180"/>
      <c r="CW171" s="180"/>
      <c r="CX171" s="180"/>
      <c r="CY171" s="180"/>
      <c r="CZ171" s="180"/>
      <c r="DA171" s="180"/>
      <c r="DB171" s="180"/>
      <c r="DC171" s="180"/>
      <c r="DD171" s="180"/>
      <c r="DE171" s="180"/>
      <c r="DF171" s="180"/>
      <c r="DG171" s="180"/>
      <c r="DH171" s="180"/>
      <c r="DI171" s="180"/>
      <c r="DJ171" s="180"/>
      <c r="DK171" s="180"/>
      <c r="DL171" s="180"/>
      <c r="DM171" s="180"/>
      <c r="DN171" s="180"/>
      <c r="DO171" s="180"/>
      <c r="DP171" s="180"/>
      <c r="DQ171" s="180"/>
      <c r="DR171" s="180"/>
      <c r="DS171" s="180"/>
    </row>
    <row r="172" spans="1:123" x14ac:dyDescent="0.3">
      <c r="A172" s="100"/>
      <c r="B172" s="706" t="s">
        <v>70</v>
      </c>
      <c r="C172" s="499"/>
      <c r="D172" s="467"/>
      <c r="E172" s="497"/>
      <c r="F172" s="497"/>
      <c r="G172" s="484"/>
      <c r="H172" s="17"/>
      <c r="I172" s="17"/>
      <c r="J172" s="72"/>
      <c r="K172"/>
      <c r="L172" s="547"/>
    </row>
    <row r="173" spans="1:123" ht="90.6" customHeight="1" x14ac:dyDescent="0.3">
      <c r="A173" s="100">
        <v>512</v>
      </c>
      <c r="B173" s="277"/>
      <c r="C173" s="462" t="s">
        <v>157</v>
      </c>
      <c r="D173" s="21" t="s">
        <v>743</v>
      </c>
      <c r="E173" s="371" t="e">
        <f>INDEX('PY1 Data(H)'!$A$1:$CZ$265,MATCH('Unit Data from Audit Worksheet'!$A173,'PY1 Data(H)'!$A$1:$A$258,0),MATCH('Unit Data from Audit Worksheet'!$D$2,'PY1 Data(H)'!$A$1:$CZ$1,0))</f>
        <v>#N/A</v>
      </c>
      <c r="F173" s="795">
        <v>0</v>
      </c>
      <c r="G173" s="401">
        <f>IF(F173&lt;0,"Error: Enter as positive.",)</f>
        <v>0</v>
      </c>
      <c r="H173" s="17"/>
      <c r="I173" s="17"/>
      <c r="J173" s="72"/>
      <c r="K173"/>
      <c r="L173" s="547"/>
    </row>
    <row r="174" spans="1:123" x14ac:dyDescent="0.3">
      <c r="A174" s="100"/>
      <c r="B174" s="489" t="s">
        <v>414</v>
      </c>
      <c r="C174" s="499"/>
      <c r="D174" s="492"/>
      <c r="E174" s="497"/>
      <c r="F174" s="497"/>
      <c r="G174" s="484"/>
      <c r="H174" s="402"/>
      <c r="I174" s="402"/>
      <c r="J174" s="403"/>
      <c r="K174"/>
      <c r="L174" s="547"/>
    </row>
    <row r="175" spans="1:123" ht="59.25" customHeight="1" x14ac:dyDescent="0.3">
      <c r="A175" s="189">
        <v>656</v>
      </c>
      <c r="B175" s="189"/>
      <c r="C175" s="189"/>
      <c r="D175" s="742" t="s">
        <v>1545</v>
      </c>
      <c r="E175" s="371" t="e">
        <f>INDEX('PY1 Data(H)'!$A$1:$CZ$265,MATCH('Unit Data from Audit Worksheet'!$A175,'PY1 Data(H)'!$A$1:$A$258,0),MATCH('Unit Data from Audit Worksheet'!$D$2,'PY1 Data(H)'!$A$1:$CZ$1,0))</f>
        <v>#N/A</v>
      </c>
      <c r="F175" s="795"/>
      <c r="G175" s="401"/>
      <c r="H175" s="17"/>
      <c r="I175" s="17"/>
      <c r="J175" s="72"/>
      <c r="K175"/>
      <c r="L175" s="547"/>
    </row>
    <row r="176" spans="1:123" x14ac:dyDescent="0.3">
      <c r="A176" s="100"/>
      <c r="B176" s="489" t="s">
        <v>286</v>
      </c>
      <c r="C176" s="499"/>
      <c r="D176" s="492"/>
      <c r="E176" s="497"/>
      <c r="F176" s="497"/>
      <c r="G176" s="484"/>
      <c r="H176" s="402"/>
      <c r="I176" s="402"/>
      <c r="J176" s="403"/>
      <c r="K176"/>
      <c r="L176" s="547"/>
    </row>
    <row r="177" spans="1:12" ht="106.95" customHeight="1" x14ac:dyDescent="0.3">
      <c r="A177" s="100">
        <v>535</v>
      </c>
      <c r="B177" s="373" t="s">
        <v>54</v>
      </c>
      <c r="C177" s="373" t="s">
        <v>158</v>
      </c>
      <c r="D177" s="21" t="s">
        <v>744</v>
      </c>
      <c r="E177" s="371" t="e">
        <f>INDEX('PY1 Data(H)'!$A$1:$CZ$265,MATCH('Unit Data from Audit Worksheet'!$A177,'PY1 Data(H)'!$A$1:$A$258,0),MATCH('Unit Data from Audit Worksheet'!$D$2,'PY1 Data(H)'!$A$1:$CZ$1,0))</f>
        <v>#N/A</v>
      </c>
      <c r="F177" s="795">
        <v>0</v>
      </c>
      <c r="G177" s="754" t="str">
        <f>IF(F177&lt;1,"Reminder: Please make sure you have entered all cash and investments from bond/Debt proceeds, if applicable.",)</f>
        <v>Reminder: Please make sure you have entered all cash and investments from bond/Debt proceeds, if applicable.</v>
      </c>
      <c r="H177" s="402"/>
      <c r="I177" s="402"/>
      <c r="J177" s="403"/>
      <c r="K177"/>
      <c r="L177" s="547"/>
    </row>
    <row r="178" spans="1:12" x14ac:dyDescent="0.3">
      <c r="A178" s="100"/>
      <c r="B178" s="489" t="s">
        <v>29</v>
      </c>
      <c r="C178" s="499"/>
      <c r="D178" s="468"/>
      <c r="E178" s="494"/>
      <c r="F178" s="494"/>
      <c r="G178" s="486"/>
      <c r="H178" s="17"/>
      <c r="I178" s="17"/>
      <c r="J178" s="72"/>
      <c r="K178"/>
      <c r="L178" s="547"/>
    </row>
    <row r="179" spans="1:12" x14ac:dyDescent="0.3">
      <c r="A179" s="100"/>
      <c r="B179" s="277"/>
      <c r="C179" s="277"/>
      <c r="D179" s="415" t="s">
        <v>2</v>
      </c>
      <c r="E179" s="371"/>
      <c r="F179" s="154"/>
      <c r="G179" s="407"/>
      <c r="H179" s="17"/>
      <c r="I179" s="17"/>
      <c r="J179" s="72"/>
      <c r="K179"/>
      <c r="L179" s="547"/>
    </row>
    <row r="180" spans="1:12" ht="36" customHeight="1" x14ac:dyDescent="0.3">
      <c r="A180" s="100"/>
      <c r="B180" s="277"/>
      <c r="C180" s="277"/>
      <c r="D180" s="372" t="s">
        <v>745</v>
      </c>
      <c r="E180" s="371"/>
      <c r="F180" s="154"/>
      <c r="G180" s="407"/>
      <c r="H180" s="17"/>
      <c r="I180" s="17"/>
      <c r="J180" s="72"/>
      <c r="K180"/>
      <c r="L180" s="547"/>
    </row>
    <row r="181" spans="1:12" ht="51" customHeight="1" x14ac:dyDescent="0.3">
      <c r="A181" s="100">
        <v>334</v>
      </c>
      <c r="B181" s="4" t="s">
        <v>55</v>
      </c>
      <c r="C181" s="4" t="s">
        <v>165</v>
      </c>
      <c r="D181" s="21" t="s">
        <v>746</v>
      </c>
      <c r="E181" s="371" t="e">
        <f>INDEX('PY1 Data(H)'!$A$1:$CZ$265,MATCH('Unit Data from Audit Worksheet'!$A181,'PY1 Data(H)'!$A$1:$A$258,0),MATCH('Unit Data from Audit Worksheet'!$D$2,'PY1 Data(H)'!$A$1:$CZ$1,0))</f>
        <v>#N/A</v>
      </c>
      <c r="F181" s="795">
        <v>0</v>
      </c>
      <c r="G181" s="407"/>
      <c r="H181" s="17"/>
      <c r="I181" s="17"/>
      <c r="J181" s="72"/>
      <c r="K181"/>
      <c r="L181" s="547"/>
    </row>
    <row r="182" spans="1:12" ht="45.6" customHeight="1" x14ac:dyDescent="0.3">
      <c r="A182" s="100">
        <v>373</v>
      </c>
      <c r="B182" s="4" t="s">
        <v>55</v>
      </c>
      <c r="C182" s="4" t="s">
        <v>165</v>
      </c>
      <c r="D182" s="26" t="s">
        <v>164</v>
      </c>
      <c r="E182" s="371" t="e">
        <f>INDEX('PY1 Data(H)'!$A$1:$CZ$265,MATCH('Unit Data from Audit Worksheet'!$A182,'PY1 Data(H)'!$A$1:$A$258,0),MATCH('Unit Data from Audit Worksheet'!$D$2,'PY1 Data(H)'!$A$1:$CZ$1,0))</f>
        <v>#N/A</v>
      </c>
      <c r="F182" s="795">
        <v>0</v>
      </c>
      <c r="G182" s="401">
        <f>IF(F182&lt;0,"Error: Enter as positive.",)</f>
        <v>0</v>
      </c>
      <c r="H182" s="17"/>
      <c r="I182" s="17"/>
      <c r="J182" s="72"/>
      <c r="K182"/>
      <c r="L182" s="547"/>
    </row>
    <row r="183" spans="1:12" ht="92.25" customHeight="1" x14ac:dyDescent="0.3">
      <c r="A183" s="100">
        <v>987</v>
      </c>
      <c r="B183" s="373" t="s">
        <v>1941</v>
      </c>
      <c r="C183" s="373"/>
      <c r="D183" s="21" t="s">
        <v>634</v>
      </c>
      <c r="E183" s="371" t="e">
        <f>INDEX('PY1 Data(H)'!$A$1:$CZ$265,MATCH('Unit Data from Audit Worksheet'!$A183,'PY1 Data(H)'!$A$1:$A$258,0),MATCH('Unit Data from Audit Worksheet'!$D$2,'PY1 Data(H)'!$A$1:$CZ$1,0))</f>
        <v>#N/A</v>
      </c>
      <c r="F183" s="795">
        <v>0</v>
      </c>
      <c r="G183" s="416" t="str">
        <f>IF(F183="","If this question is not applicable please place a zero in the cell to the left","")</f>
        <v/>
      </c>
      <c r="H183" s="384"/>
      <c r="I183" s="17"/>
      <c r="J183" s="72"/>
      <c r="K183"/>
      <c r="L183" s="547"/>
    </row>
    <row r="184" spans="1:12" ht="66.75" customHeight="1" x14ac:dyDescent="0.3">
      <c r="A184" s="100">
        <v>988</v>
      </c>
      <c r="B184" s="373" t="s">
        <v>1941</v>
      </c>
      <c r="C184" s="373"/>
      <c r="D184" s="21" t="s">
        <v>633</v>
      </c>
      <c r="E184" s="371" t="e">
        <f>INDEX('PY1 Data(H)'!$A$1:$CZ$265,MATCH('Unit Data from Audit Worksheet'!$A184,'PY1 Data(H)'!$A$1:$A$258,0),MATCH('Unit Data from Audit Worksheet'!$D$2,'PY1 Data(H)'!$A$1:$CZ$1,0))</f>
        <v>#N/A</v>
      </c>
      <c r="F184" s="185"/>
      <c r="G184" s="401"/>
      <c r="H184" s="17"/>
      <c r="I184" s="17"/>
      <c r="J184" s="72"/>
      <c r="K184"/>
      <c r="L184" s="547"/>
    </row>
    <row r="185" spans="1:12" ht="90" customHeight="1" x14ac:dyDescent="0.3">
      <c r="A185" s="100">
        <v>989</v>
      </c>
      <c r="B185" s="373" t="s">
        <v>1941</v>
      </c>
      <c r="C185" s="373"/>
      <c r="D185" s="21" t="s">
        <v>790</v>
      </c>
      <c r="E185" s="371" t="e">
        <f>INDEX('PY1 Data(H)'!$A$1:$CZ$265,MATCH('Unit Data from Audit Worksheet'!$A185,'PY1 Data(H)'!$A$1:$A$258,0),MATCH('Unit Data from Audit Worksheet'!$D$2,'PY1 Data(H)'!$A$1:$CZ$1,0))</f>
        <v>#N/A</v>
      </c>
      <c r="F185" s="185"/>
      <c r="G185" s="401"/>
      <c r="H185" s="17"/>
      <c r="I185" s="17"/>
      <c r="J185" s="72"/>
      <c r="K185"/>
      <c r="L185" s="547"/>
    </row>
    <row r="186" spans="1:12" ht="72" x14ac:dyDescent="0.3">
      <c r="A186" s="100"/>
      <c r="B186" s="499"/>
      <c r="C186" s="499"/>
      <c r="D186" s="500" t="s">
        <v>1565</v>
      </c>
      <c r="E186" s="502"/>
      <c r="F186" s="502"/>
      <c r="G186" s="503"/>
      <c r="H186" s="17"/>
      <c r="I186" s="17"/>
      <c r="J186" s="72"/>
      <c r="K186"/>
      <c r="L186" s="547"/>
    </row>
    <row r="187" spans="1:12" ht="23.4" customHeight="1" x14ac:dyDescent="0.3">
      <c r="A187" s="100"/>
      <c r="B187" s="277"/>
      <c r="C187" s="277"/>
      <c r="D187" s="417" t="s">
        <v>1949</v>
      </c>
      <c r="E187" s="371"/>
      <c r="F187" s="243"/>
      <c r="G187" s="407"/>
      <c r="H187" s="17"/>
      <c r="I187" s="17"/>
      <c r="J187" s="72"/>
      <c r="K187"/>
      <c r="L187" s="547"/>
    </row>
    <row r="188" spans="1:12" ht="48.75" customHeight="1" x14ac:dyDescent="0.3">
      <c r="A188" s="100"/>
      <c r="B188" s="277"/>
      <c r="C188" s="277"/>
      <c r="D188" s="21" t="s">
        <v>747</v>
      </c>
      <c r="E188" s="371"/>
      <c r="F188" s="243"/>
      <c r="G188" s="407"/>
      <c r="H188" s="17"/>
      <c r="I188" s="17"/>
      <c r="J188" s="72"/>
      <c r="K188"/>
      <c r="L188" s="547"/>
    </row>
    <row r="189" spans="1:12" ht="51.75" customHeight="1" x14ac:dyDescent="0.3">
      <c r="A189" s="100">
        <v>327</v>
      </c>
      <c r="B189" s="373" t="s">
        <v>36</v>
      </c>
      <c r="C189" s="373" t="s">
        <v>166</v>
      </c>
      <c r="D189" s="418" t="s">
        <v>748</v>
      </c>
      <c r="E189" s="371" t="e">
        <f>INDEX('PY1 Data(H)'!$A$1:$CZ$265,MATCH('Unit Data from Audit Worksheet'!$A189,'PY1 Data(H)'!$A$1:$A$258,0),MATCH('Unit Data from Audit Worksheet'!$D$2,'PY1 Data(H)'!$A$1:$CZ$1,0))</f>
        <v>#N/A</v>
      </c>
      <c r="F189" s="795">
        <v>0</v>
      </c>
      <c r="G189" s="407"/>
      <c r="H189" s="17"/>
      <c r="I189" s="402"/>
      <c r="J189" s="403"/>
      <c r="K189"/>
      <c r="L189" s="547"/>
    </row>
    <row r="190" spans="1:12" ht="51.75" customHeight="1" x14ac:dyDescent="0.3">
      <c r="A190" s="100">
        <v>328</v>
      </c>
      <c r="B190" s="373" t="s">
        <v>36</v>
      </c>
      <c r="C190" s="373" t="s">
        <v>166</v>
      </c>
      <c r="D190" s="27" t="s">
        <v>7</v>
      </c>
      <c r="E190" s="371" t="e">
        <f>INDEX('PY1 Data(H)'!$A$1:$CZ$265,MATCH('Unit Data from Audit Worksheet'!$A190,'PY1 Data(H)'!$A$1:$A$258,0),MATCH('Unit Data from Audit Worksheet'!$D$2,'PY1 Data(H)'!$A$1:$CZ$1,0))</f>
        <v>#N/A</v>
      </c>
      <c r="F190" s="795">
        <v>0</v>
      </c>
      <c r="G190" s="407"/>
      <c r="H190" s="17"/>
      <c r="I190" s="402"/>
      <c r="J190" s="403"/>
      <c r="K190"/>
      <c r="L190" s="547"/>
    </row>
    <row r="191" spans="1:12" ht="42" customHeight="1" x14ac:dyDescent="0.3">
      <c r="A191" s="100"/>
      <c r="B191" s="277"/>
      <c r="C191" s="277"/>
      <c r="D191" s="28" t="s">
        <v>749</v>
      </c>
      <c r="E191" s="93" t="e">
        <f>E189+E190</f>
        <v>#N/A</v>
      </c>
      <c r="F191" s="93">
        <f>SUM(F189:F190)</f>
        <v>0</v>
      </c>
      <c r="G191" s="407"/>
      <c r="H191" s="17"/>
      <c r="I191" s="17"/>
      <c r="J191" s="72"/>
      <c r="K191"/>
      <c r="L191" s="547"/>
    </row>
    <row r="192" spans="1:12" ht="28.8" x14ac:dyDescent="0.3">
      <c r="A192" s="100"/>
      <c r="B192" s="277"/>
      <c r="C192" s="277"/>
      <c r="D192" s="21" t="s">
        <v>750</v>
      </c>
      <c r="E192" s="1"/>
      <c r="F192" s="243"/>
      <c r="G192" s="407"/>
      <c r="H192" s="17"/>
      <c r="I192" s="17"/>
      <c r="J192" s="72"/>
      <c r="K192"/>
      <c r="L192" s="547"/>
    </row>
    <row r="193" spans="1:20" ht="24" customHeight="1" x14ac:dyDescent="0.3">
      <c r="A193" s="100"/>
      <c r="B193" s="277"/>
      <c r="C193" s="277"/>
      <c r="D193" s="25" t="s">
        <v>9</v>
      </c>
      <c r="F193" s="419"/>
      <c r="G193" s="407"/>
      <c r="H193" s="17"/>
      <c r="I193" s="17"/>
      <c r="J193" s="72"/>
      <c r="K193"/>
      <c r="L193" s="547"/>
    </row>
    <row r="194" spans="1:20" ht="72" customHeight="1" x14ac:dyDescent="0.3">
      <c r="A194" s="100">
        <v>515</v>
      </c>
      <c r="B194" s="950" t="s">
        <v>1896</v>
      </c>
      <c r="C194" s="373" t="s">
        <v>167</v>
      </c>
      <c r="D194" s="29" t="s">
        <v>3</v>
      </c>
      <c r="E194" s="371" t="e">
        <f>INDEX('PY1 Data(H)'!$A$1:$CZ$265,MATCH('Unit Data from Audit Worksheet'!$A194,'PY1 Data(H)'!$A$1:$A$258,0),MATCH('Unit Data from Audit Worksheet'!$D$2,'PY1 Data(H)'!$A$1:$CZ$1,0))</f>
        <v>#N/A</v>
      </c>
      <c r="F194" s="795">
        <v>0</v>
      </c>
      <c r="G194" s="401"/>
      <c r="H194" s="17"/>
      <c r="I194" s="17"/>
      <c r="J194" s="72"/>
      <c r="K194"/>
      <c r="L194" s="547"/>
    </row>
    <row r="195" spans="1:20" ht="75.599999999999994" customHeight="1" x14ac:dyDescent="0.3">
      <c r="A195" s="100">
        <v>516</v>
      </c>
      <c r="B195" s="950" t="s">
        <v>1896</v>
      </c>
      <c r="C195" s="373" t="s">
        <v>167</v>
      </c>
      <c r="D195" s="29" t="s">
        <v>4</v>
      </c>
      <c r="E195" s="371" t="e">
        <f>INDEX('PY1 Data(H)'!$A$1:$CZ$265,MATCH('Unit Data from Audit Worksheet'!$A195,'PY1 Data(H)'!$A$1:$A$258,0),MATCH('Unit Data from Audit Worksheet'!$D$2,'PY1 Data(H)'!$A$1:$CZ$1,0))</f>
        <v>#N/A</v>
      </c>
      <c r="F195" s="795">
        <v>0</v>
      </c>
      <c r="G195" s="401"/>
      <c r="H195" s="17"/>
      <c r="I195" s="17"/>
      <c r="J195" s="72"/>
      <c r="K195"/>
      <c r="L195" s="547"/>
    </row>
    <row r="196" spans="1:20" ht="73.2" customHeight="1" x14ac:dyDescent="0.3">
      <c r="A196" s="100">
        <v>517</v>
      </c>
      <c r="B196" s="950" t="s">
        <v>1896</v>
      </c>
      <c r="C196" s="373" t="s">
        <v>167</v>
      </c>
      <c r="D196" s="29" t="s">
        <v>5</v>
      </c>
      <c r="E196" s="371" t="e">
        <f>INDEX('PY1 Data(H)'!$A$1:$CZ$265,MATCH('Unit Data from Audit Worksheet'!$A196,'PY1 Data(H)'!$A$1:$A$258,0),MATCH('Unit Data from Audit Worksheet'!$D$2,'PY1 Data(H)'!$A$1:$CZ$1,0))</f>
        <v>#N/A</v>
      </c>
      <c r="F196" s="795">
        <v>0</v>
      </c>
      <c r="G196" s="401"/>
      <c r="H196" s="17"/>
      <c r="I196" s="17"/>
      <c r="J196" s="72"/>
      <c r="K196"/>
      <c r="L196" s="547"/>
    </row>
    <row r="197" spans="1:20" ht="78" customHeight="1" x14ac:dyDescent="0.3">
      <c r="A197" s="100">
        <v>518</v>
      </c>
      <c r="B197" s="950" t="s">
        <v>1896</v>
      </c>
      <c r="C197" s="373" t="s">
        <v>167</v>
      </c>
      <c r="D197" s="29" t="s">
        <v>38</v>
      </c>
      <c r="E197" s="371" t="e">
        <f>INDEX('PY1 Data(H)'!$A$1:$CZ$265,MATCH('Unit Data from Audit Worksheet'!$A197,'PY1 Data(H)'!$A$1:$A$258,0),MATCH('Unit Data from Audit Worksheet'!$D$2,'PY1 Data(H)'!$A$1:$CZ$1,0))</f>
        <v>#N/A</v>
      </c>
      <c r="F197" s="795">
        <v>0</v>
      </c>
      <c r="G197" s="401"/>
      <c r="H197" s="17"/>
      <c r="I197" s="17"/>
      <c r="J197" s="72"/>
      <c r="K197"/>
      <c r="L197" s="547"/>
    </row>
    <row r="198" spans="1:20" ht="51" customHeight="1" x14ac:dyDescent="0.3">
      <c r="A198" s="709"/>
      <c r="B198" s="277"/>
      <c r="C198" s="277"/>
      <c r="D198" s="420" t="s">
        <v>751</v>
      </c>
      <c r="E198" s="93" t="e">
        <f>E194+E195+E196+E197</f>
        <v>#N/A</v>
      </c>
      <c r="F198" s="93">
        <f>SUM(F194:F197)</f>
        <v>0</v>
      </c>
      <c r="G198" s="407"/>
      <c r="H198" s="17"/>
      <c r="I198" s="17"/>
      <c r="J198" s="72"/>
      <c r="K198"/>
      <c r="L198" s="547"/>
    </row>
    <row r="199" spans="1:20" ht="30.75" customHeight="1" x14ac:dyDescent="0.3">
      <c r="A199" s="100"/>
      <c r="B199" s="277"/>
      <c r="C199" s="277"/>
      <c r="D199" s="25" t="s">
        <v>47</v>
      </c>
      <c r="E199" s="1"/>
      <c r="F199" s="243"/>
      <c r="G199" s="407"/>
      <c r="H199" s="17"/>
      <c r="I199" s="17"/>
      <c r="J199" s="72"/>
      <c r="K199"/>
      <c r="L199" s="547"/>
    </row>
    <row r="200" spans="1:20" ht="63" customHeight="1" x14ac:dyDescent="0.3">
      <c r="A200" s="100">
        <v>519</v>
      </c>
      <c r="B200" s="373" t="s">
        <v>36</v>
      </c>
      <c r="C200" s="373" t="s">
        <v>168</v>
      </c>
      <c r="D200" s="29" t="s">
        <v>14</v>
      </c>
      <c r="E200" s="371" t="e">
        <f>INDEX('PY1 Data(H)'!$A$1:$CZ$265,MATCH('Unit Data from Audit Worksheet'!$A200,'PY1 Data(H)'!$A$1:$A$258,0),MATCH('Unit Data from Audit Worksheet'!$D$2,'PY1 Data(H)'!$A$1:$CZ$1,0))</f>
        <v>#N/A</v>
      </c>
      <c r="F200" s="795">
        <v>0</v>
      </c>
      <c r="G200" s="401">
        <f>IF(F200&lt;0,"Error: Enter as positive.",)</f>
        <v>0</v>
      </c>
      <c r="H200" s="17"/>
      <c r="I200" s="17"/>
      <c r="J200" s="72"/>
      <c r="K200"/>
      <c r="L200" s="547"/>
    </row>
    <row r="201" spans="1:20" ht="69.75" customHeight="1" x14ac:dyDescent="0.3">
      <c r="A201" s="100">
        <v>520</v>
      </c>
      <c r="B201" s="373" t="s">
        <v>36</v>
      </c>
      <c r="C201" s="373" t="s">
        <v>168</v>
      </c>
      <c r="D201" s="29" t="s">
        <v>16</v>
      </c>
      <c r="E201" s="371" t="e">
        <f>INDEX('PY1 Data(H)'!$A$1:$CZ$265,MATCH('Unit Data from Audit Worksheet'!$A201,'PY1 Data(H)'!$A$1:$A$258,0),MATCH('Unit Data from Audit Worksheet'!$D$2,'PY1 Data(H)'!$A$1:$CZ$1,0))</f>
        <v>#N/A</v>
      </c>
      <c r="F201" s="795">
        <v>0</v>
      </c>
      <c r="G201" s="401">
        <f>IF(F201&lt;0,"Error: Enter as positive.",)</f>
        <v>0</v>
      </c>
      <c r="H201" s="17"/>
      <c r="I201" s="17"/>
      <c r="J201" s="72"/>
      <c r="K201"/>
      <c r="L201" s="547"/>
    </row>
    <row r="202" spans="1:20" ht="72" customHeight="1" x14ac:dyDescent="0.3">
      <c r="A202" s="100">
        <v>521</v>
      </c>
      <c r="B202" s="373" t="s">
        <v>36</v>
      </c>
      <c r="C202" s="373" t="s">
        <v>168</v>
      </c>
      <c r="D202" s="29" t="s">
        <v>18</v>
      </c>
      <c r="E202" s="371" t="e">
        <f>INDEX('PY1 Data(H)'!$A$1:$CZ$265,MATCH('Unit Data from Audit Worksheet'!$A202,'PY1 Data(H)'!$A$1:$A$258,0),MATCH('Unit Data from Audit Worksheet'!$D$2,'PY1 Data(H)'!$A$1:$CZ$1,0))</f>
        <v>#N/A</v>
      </c>
      <c r="F202" s="795">
        <v>0</v>
      </c>
      <c r="G202" s="401">
        <f>IF(F202&lt;0,"Error: Enter as positive.",)</f>
        <v>0</v>
      </c>
      <c r="H202" s="17"/>
      <c r="I202" s="17"/>
      <c r="J202" s="72"/>
      <c r="K202"/>
      <c r="L202" s="547"/>
    </row>
    <row r="203" spans="1:20" ht="74.25" customHeight="1" x14ac:dyDescent="0.3">
      <c r="A203" s="100">
        <v>522</v>
      </c>
      <c r="B203" s="373" t="s">
        <v>36</v>
      </c>
      <c r="C203" s="373" t="s">
        <v>168</v>
      </c>
      <c r="D203" s="29" t="s">
        <v>39</v>
      </c>
      <c r="E203" s="371" t="e">
        <f>INDEX('PY1 Data(H)'!$A$1:$CZ$265,MATCH('Unit Data from Audit Worksheet'!$A203,'PY1 Data(H)'!$A$1:$A$258,0),MATCH('Unit Data from Audit Worksheet'!$D$2,'PY1 Data(H)'!$A$1:$CZ$1,0))</f>
        <v>#N/A</v>
      </c>
      <c r="F203" s="795">
        <v>0</v>
      </c>
      <c r="G203" s="401">
        <f>IF(F203&lt;0,"Error: Enter as positive.",)</f>
        <v>0</v>
      </c>
      <c r="H203" s="17"/>
      <c r="I203" s="17"/>
      <c r="J203" s="72"/>
      <c r="K203"/>
      <c r="L203" s="547"/>
    </row>
    <row r="204" spans="1:20" ht="31.5" customHeight="1" x14ac:dyDescent="0.3">
      <c r="A204" s="707"/>
      <c r="B204" s="277"/>
      <c r="C204" s="277"/>
      <c r="D204" s="421" t="s">
        <v>33</v>
      </c>
      <c r="E204" s="93" t="e">
        <f>E200+E201+E202+E203</f>
        <v>#N/A</v>
      </c>
      <c r="F204" s="93">
        <f>SUM(F200:F203)</f>
        <v>0</v>
      </c>
      <c r="G204" s="123"/>
      <c r="H204" s="17"/>
      <c r="I204" s="17"/>
      <c r="J204" s="72"/>
      <c r="K204"/>
      <c r="L204" s="547"/>
    </row>
    <row r="205" spans="1:20" ht="26.25" customHeight="1" x14ac:dyDescent="0.3">
      <c r="A205" s="707"/>
      <c r="B205" s="277"/>
      <c r="C205" s="277"/>
      <c r="D205" s="25" t="s">
        <v>31</v>
      </c>
      <c r="E205" s="6"/>
      <c r="F205" s="422"/>
      <c r="G205" s="123"/>
      <c r="H205" s="17"/>
      <c r="I205" s="524"/>
      <c r="J205"/>
      <c r="K205"/>
      <c r="L205"/>
      <c r="N205"/>
      <c r="O205"/>
      <c r="P205"/>
      <c r="Q205"/>
      <c r="R205"/>
      <c r="S205"/>
      <c r="T205"/>
    </row>
    <row r="206" spans="1:20" ht="89.25" customHeight="1" x14ac:dyDescent="0.3">
      <c r="A206" s="100">
        <v>523</v>
      </c>
      <c r="B206" s="950" t="s">
        <v>1896</v>
      </c>
      <c r="C206" s="373" t="s">
        <v>169</v>
      </c>
      <c r="D206" s="29" t="s">
        <v>15</v>
      </c>
      <c r="E206" s="371" t="e">
        <f>INDEX('PY1 Data(H)'!$A$1:$CZ$265,MATCH('Unit Data from Audit Worksheet'!$A206,'PY1 Data(H)'!$A$1:$A$258,0),MATCH('Unit Data from Audit Worksheet'!$D$2,'PY1 Data(H)'!$A$1:$CZ$1,0))</f>
        <v>#N/A</v>
      </c>
      <c r="F206" s="795">
        <v>0</v>
      </c>
      <c r="G206" s="401">
        <f>IF(F206&lt;0,"Error: Enter as positive.",)</f>
        <v>0</v>
      </c>
      <c r="H206" s="17"/>
      <c r="I206" s="524"/>
      <c r="J206"/>
      <c r="K206"/>
      <c r="L206"/>
      <c r="N206"/>
      <c r="O206"/>
      <c r="P206"/>
      <c r="Q206"/>
      <c r="R206"/>
      <c r="S206"/>
      <c r="T206"/>
    </row>
    <row r="207" spans="1:20" ht="75" customHeight="1" x14ac:dyDescent="0.3">
      <c r="A207" s="100">
        <v>524</v>
      </c>
      <c r="B207" s="950" t="s">
        <v>1896</v>
      </c>
      <c r="C207" s="373" t="s">
        <v>169</v>
      </c>
      <c r="D207" s="29" t="s">
        <v>17</v>
      </c>
      <c r="E207" s="371" t="e">
        <f>INDEX('PY1 Data(H)'!$A$1:$CZ$265,MATCH('Unit Data from Audit Worksheet'!$A207,'PY1 Data(H)'!$A$1:$A$258,0),MATCH('Unit Data from Audit Worksheet'!$D$2,'PY1 Data(H)'!$A$1:$CZ$1,0))</f>
        <v>#N/A</v>
      </c>
      <c r="F207" s="795">
        <v>0</v>
      </c>
      <c r="G207" s="401">
        <f>IF(F207&lt;0,"Error: Enter as positive.",)</f>
        <v>0</v>
      </c>
      <c r="H207" s="17"/>
      <c r="I207" s="524"/>
      <c r="J207"/>
      <c r="K207"/>
      <c r="L207"/>
      <c r="N207"/>
      <c r="O207"/>
      <c r="P207"/>
      <c r="Q207"/>
      <c r="R207"/>
      <c r="S207"/>
      <c r="T207"/>
    </row>
    <row r="208" spans="1:20" ht="75" customHeight="1" x14ac:dyDescent="0.3">
      <c r="A208" s="100">
        <v>525</v>
      </c>
      <c r="B208" s="950" t="s">
        <v>1896</v>
      </c>
      <c r="C208" s="373" t="s">
        <v>169</v>
      </c>
      <c r="D208" s="29" t="s">
        <v>19</v>
      </c>
      <c r="E208" s="371" t="e">
        <f>INDEX('PY1 Data(H)'!$A$1:$CZ$265,MATCH('Unit Data from Audit Worksheet'!$A208,'PY1 Data(H)'!$A$1:$A$258,0),MATCH('Unit Data from Audit Worksheet'!$D$2,'PY1 Data(H)'!$A$1:$CZ$1,0))</f>
        <v>#N/A</v>
      </c>
      <c r="F208" s="795">
        <v>0</v>
      </c>
      <c r="G208" s="401">
        <f>IF(F208&lt;0,"Error: Enter as positive.",)</f>
        <v>0</v>
      </c>
      <c r="H208" s="17"/>
      <c r="I208" s="524"/>
      <c r="J208"/>
      <c r="K208"/>
      <c r="L208"/>
      <c r="N208"/>
      <c r="O208"/>
      <c r="P208"/>
      <c r="Q208"/>
      <c r="R208"/>
      <c r="S208"/>
      <c r="T208"/>
    </row>
    <row r="209" spans="1:1881" ht="76.5" customHeight="1" x14ac:dyDescent="0.3">
      <c r="A209" s="100">
        <v>526</v>
      </c>
      <c r="B209" s="950" t="s">
        <v>1896</v>
      </c>
      <c r="C209" s="373" t="s">
        <v>169</v>
      </c>
      <c r="D209" s="29" t="s">
        <v>40</v>
      </c>
      <c r="E209" s="371" t="e">
        <f>INDEX('PY1 Data(H)'!$A$1:$CZ$265,MATCH('Unit Data from Audit Worksheet'!$A209,'PY1 Data(H)'!$A$1:$A$258,0),MATCH('Unit Data from Audit Worksheet'!$D$2,'PY1 Data(H)'!$A$1:$CZ$1,0))</f>
        <v>#N/A</v>
      </c>
      <c r="F209" s="795">
        <v>0</v>
      </c>
      <c r="G209" s="401">
        <f>IF(F209&lt;0,"Error: Enter as positive.",)</f>
        <v>0</v>
      </c>
      <c r="H209" s="17"/>
      <c r="I209" s="524"/>
      <c r="J209"/>
      <c r="K209"/>
      <c r="L209"/>
      <c r="N209"/>
      <c r="O209"/>
      <c r="P209"/>
      <c r="Q209"/>
      <c r="R209"/>
      <c r="S209"/>
      <c r="T209"/>
    </row>
    <row r="210" spans="1:1881" ht="24.75" customHeight="1" x14ac:dyDescent="0.3">
      <c r="A210" s="100"/>
      <c r="B210" s="463"/>
      <c r="C210" s="463"/>
      <c r="D210" s="421" t="s">
        <v>32</v>
      </c>
      <c r="E210" s="93" t="e">
        <f>E206+E207+E208+E209</f>
        <v>#N/A</v>
      </c>
      <c r="F210" s="93">
        <f>SUM(F206:F209)</f>
        <v>0</v>
      </c>
      <c r="G210" s="407"/>
      <c r="H210" s="17"/>
      <c r="I210" s="17"/>
      <c r="J210" s="72"/>
      <c r="K210"/>
      <c r="L210" s="547"/>
    </row>
    <row r="211" spans="1:1881" ht="61.5" customHeight="1" x14ac:dyDescent="0.3">
      <c r="A211" s="100"/>
      <c r="B211" s="463"/>
      <c r="C211" s="463"/>
      <c r="D211" s="423" t="s">
        <v>34</v>
      </c>
      <c r="E211" s="93" t="e">
        <f>E191+E198-E210</f>
        <v>#N/A</v>
      </c>
      <c r="F211" s="93">
        <f>F191+F198-F210</f>
        <v>0</v>
      </c>
      <c r="G211" s="407"/>
      <c r="H211" s="17"/>
      <c r="I211" s="17"/>
      <c r="J211" s="72"/>
      <c r="K211"/>
      <c r="L211" s="547"/>
    </row>
    <row r="212" spans="1:1881" ht="21.6" customHeight="1" x14ac:dyDescent="0.3">
      <c r="A212" s="100"/>
      <c r="B212" s="277"/>
      <c r="C212" s="277"/>
      <c r="D212" s="415"/>
      <c r="E212" s="1"/>
      <c r="F212" s="243"/>
      <c r="G212" s="407"/>
      <c r="H212" s="17"/>
      <c r="I212" s="17"/>
      <c r="J212" s="72"/>
      <c r="K212"/>
      <c r="L212" s="547"/>
    </row>
    <row r="213" spans="1:1881" ht="34.5" customHeight="1" x14ac:dyDescent="0.3">
      <c r="A213" s="100"/>
      <c r="B213" s="499"/>
      <c r="C213" s="499"/>
      <c r="D213" s="491" t="s">
        <v>8</v>
      </c>
      <c r="E213" s="501"/>
      <c r="F213" s="502"/>
      <c r="G213" s="503"/>
      <c r="H213" s="17"/>
      <c r="I213" s="17"/>
      <c r="J213" s="72"/>
      <c r="K213"/>
      <c r="L213" s="547"/>
    </row>
    <row r="214" spans="1:1881" ht="55.5" customHeight="1" x14ac:dyDescent="0.3">
      <c r="A214" s="100">
        <v>527</v>
      </c>
      <c r="B214" s="950" t="s">
        <v>1902</v>
      </c>
      <c r="C214" s="373" t="s">
        <v>170</v>
      </c>
      <c r="D214" s="26" t="s">
        <v>752</v>
      </c>
      <c r="E214" s="371" t="e">
        <f>INDEX('PY1 Data(H)'!$A$1:$CZ$265,MATCH('Unit Data from Audit Worksheet'!$A214,'PY1 Data(H)'!$A$1:$A$258,0),MATCH('Unit Data from Audit Worksheet'!$D$2,'PY1 Data(H)'!$A$1:$CZ$1,0))</f>
        <v>#N/A</v>
      </c>
      <c r="F214" s="795">
        <v>0</v>
      </c>
      <c r="G214" s="407"/>
      <c r="H214" s="17"/>
      <c r="I214" s="402"/>
      <c r="J214" s="403"/>
      <c r="K214"/>
      <c r="L214" s="547"/>
    </row>
    <row r="215" spans="1:1881" ht="55.5" customHeight="1" x14ac:dyDescent="0.3">
      <c r="A215" s="100">
        <v>356</v>
      </c>
      <c r="B215" s="950" t="s">
        <v>1901</v>
      </c>
      <c r="C215" s="373" t="s">
        <v>170</v>
      </c>
      <c r="D215" s="99" t="s">
        <v>20</v>
      </c>
      <c r="E215" s="371" t="e">
        <f>INDEX('PY1 Data(H)'!$A$1:$CZ$265,MATCH('Unit Data from Audit Worksheet'!$A215,'PY1 Data(H)'!$A$1:$A$258,0),MATCH('Unit Data from Audit Worksheet'!$D$2,'PY1 Data(H)'!$A$1:$CZ$1,0))</f>
        <v>#N/A</v>
      </c>
      <c r="F215" s="795">
        <v>0</v>
      </c>
      <c r="G215" s="407"/>
      <c r="H215" s="17"/>
      <c r="I215" s="402"/>
      <c r="J215" s="403"/>
      <c r="K215"/>
      <c r="L215" s="547"/>
    </row>
    <row r="216" spans="1:1881" ht="55.5" customHeight="1" x14ac:dyDescent="0.3">
      <c r="A216" s="100">
        <v>357</v>
      </c>
      <c r="B216" s="373" t="s">
        <v>55</v>
      </c>
      <c r="C216" s="373" t="s">
        <v>171</v>
      </c>
      <c r="D216" s="99" t="s">
        <v>21</v>
      </c>
      <c r="E216" s="371" t="e">
        <f>INDEX('PY1 Data(H)'!$A$1:$CZ$265,MATCH('Unit Data from Audit Worksheet'!$A216,'PY1 Data(H)'!$A$1:$A$258,0),MATCH('Unit Data from Audit Worksheet'!$D$2,'PY1 Data(H)'!$A$1:$CZ$1,0))</f>
        <v>#N/A</v>
      </c>
      <c r="F216" s="795">
        <v>0</v>
      </c>
      <c r="G216" s="401">
        <f>IF(F216&lt;0,"Error: Enter as positive.",)</f>
        <v>0</v>
      </c>
      <c r="H216" s="17"/>
      <c r="I216" s="402"/>
      <c r="J216" s="403"/>
      <c r="K216"/>
      <c r="L216" s="547"/>
    </row>
    <row r="217" spans="1:1881" s="18" customFormat="1" ht="35.25" customHeight="1" x14ac:dyDescent="0.3">
      <c r="A217" s="100"/>
      <c r="B217" s="489" t="s">
        <v>10</v>
      </c>
      <c r="C217" s="499"/>
      <c r="D217" s="467"/>
      <c r="E217" s="504"/>
      <c r="F217" s="504"/>
      <c r="G217" s="486"/>
      <c r="H217" s="17"/>
      <c r="I217" s="17"/>
      <c r="J217" s="72"/>
      <c r="K217"/>
      <c r="L217" s="547"/>
      <c r="M217"/>
      <c r="O217" s="186"/>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row>
    <row r="218" spans="1:1881" s="18" customFormat="1" ht="253.2" customHeight="1" x14ac:dyDescent="0.3">
      <c r="A218" s="100">
        <v>337</v>
      </c>
      <c r="B218" s="4" t="s">
        <v>55</v>
      </c>
      <c r="C218" s="4" t="s">
        <v>753</v>
      </c>
      <c r="D218" s="21" t="s">
        <v>635</v>
      </c>
      <c r="E218" s="371" t="e">
        <f>INDEX('PY1 Data(H)'!$A$1:$CZ$265,MATCH('Unit Data from Audit Worksheet'!$A218,'PY1 Data(H)'!$A$1:$A$258,0),MATCH('Unit Data from Audit Worksheet'!$D$2,'PY1 Data(H)'!$A$1:$CZ$1,0))</f>
        <v>#N/A</v>
      </c>
      <c r="F218" s="795">
        <v>0</v>
      </c>
      <c r="G218" s="401">
        <f>IF(F218&lt;0,"Error: Enter as positive.",)</f>
        <v>0</v>
      </c>
      <c r="H218" s="17"/>
      <c r="I218" s="17"/>
      <c r="J218" s="72"/>
      <c r="K218"/>
      <c r="L218" s="547"/>
      <c r="M218"/>
      <c r="O218" s="186"/>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row>
    <row r="219" spans="1:1881" s="18" customFormat="1" ht="81.75" customHeight="1" x14ac:dyDescent="0.3">
      <c r="A219" s="100">
        <v>343</v>
      </c>
      <c r="B219" s="4" t="s">
        <v>55</v>
      </c>
      <c r="C219" s="4" t="s">
        <v>337</v>
      </c>
      <c r="D219" s="26" t="s">
        <v>754</v>
      </c>
      <c r="E219" s="371" t="e">
        <f>INDEX('PY1 Data(H)'!$A$1:$CZ$265,MATCH('Unit Data from Audit Worksheet'!$A219,'PY1 Data(H)'!$A$1:$A$258,0),MATCH('Unit Data from Audit Worksheet'!$D$2,'PY1 Data(H)'!$A$1:$CZ$1,0))</f>
        <v>#N/A</v>
      </c>
      <c r="F219" s="795">
        <v>0</v>
      </c>
      <c r="G219" s="401">
        <f>IF(F219&lt;0,"Error: Enter as positive.",)</f>
        <v>0</v>
      </c>
      <c r="H219" s="17"/>
      <c r="I219" s="17"/>
      <c r="J219" s="72"/>
      <c r="K219"/>
      <c r="L219" s="547"/>
      <c r="M219"/>
      <c r="N219" s="91"/>
      <c r="O219" s="186"/>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row>
    <row r="220" spans="1:1881" ht="274.5" customHeight="1" x14ac:dyDescent="0.3">
      <c r="A220" s="100">
        <v>82</v>
      </c>
      <c r="B220" s="4" t="s">
        <v>60</v>
      </c>
      <c r="C220" s="4" t="s">
        <v>755</v>
      </c>
      <c r="D220" s="21" t="s">
        <v>451</v>
      </c>
      <c r="E220" s="371" t="e">
        <f>INDEX('PY1 Data(H)'!$A$1:$CZ$265,MATCH('Unit Data from Audit Worksheet'!$A220,'PY1 Data(H)'!$A$1:$A$258,0),MATCH('Unit Data from Audit Worksheet'!$D$2,'PY1 Data(H)'!$A$1:$CZ$1,0))</f>
        <v>#N/A</v>
      </c>
      <c r="F220" s="804">
        <v>0</v>
      </c>
      <c r="G220" s="401">
        <f>IF(F220&lt;0,"Error: Enter as positive.",)</f>
        <v>0</v>
      </c>
      <c r="H220" s="17"/>
      <c r="I220" s="17"/>
      <c r="J220" s="424"/>
      <c r="K220"/>
      <c r="L220" s="547"/>
    </row>
    <row r="221" spans="1:1881" ht="270.75" customHeight="1" x14ac:dyDescent="0.3">
      <c r="A221" s="100">
        <v>359</v>
      </c>
      <c r="B221" s="4" t="s">
        <v>55</v>
      </c>
      <c r="C221" s="4" t="s">
        <v>756</v>
      </c>
      <c r="D221" s="21" t="s">
        <v>451</v>
      </c>
      <c r="E221" s="371" t="e">
        <f>INDEX('PY1 Data(H)'!$A$1:$CZ$265,MATCH('Unit Data from Audit Worksheet'!$A221,'PY1 Data(H)'!$A$1:$A$258,0),MATCH('Unit Data from Audit Worksheet'!$D$2,'PY1 Data(H)'!$A$1:$CZ$1,0))</f>
        <v>#N/A</v>
      </c>
      <c r="F221" s="795">
        <v>0</v>
      </c>
      <c r="G221" s="401">
        <f>IF(F221&lt;0,"Error: Enter as positive.",)</f>
        <v>0</v>
      </c>
      <c r="H221" s="17"/>
      <c r="I221" s="17"/>
      <c r="J221" s="424"/>
      <c r="K221"/>
      <c r="L221" s="547"/>
    </row>
    <row r="222" spans="1:1881" s="426" customFormat="1" ht="33" customHeight="1" x14ac:dyDescent="0.3">
      <c r="A222" s="100"/>
      <c r="B222" s="739" t="s">
        <v>353</v>
      </c>
      <c r="C222" s="712"/>
      <c r="D222" s="89"/>
      <c r="E222" s="425"/>
      <c r="F222" s="413"/>
      <c r="G222" s="400"/>
      <c r="H222" s="17"/>
      <c r="I222" s="17"/>
      <c r="J222" s="424"/>
      <c r="K222"/>
      <c r="L222" s="547"/>
      <c r="M222"/>
      <c r="N222" s="18"/>
      <c r="O222" s="186"/>
      <c r="P222" s="18"/>
      <c r="Q222" s="18"/>
      <c r="R222" s="18"/>
      <c r="S222" s="18"/>
      <c r="T222" s="18"/>
      <c r="U222" s="18"/>
      <c r="V222" s="18"/>
      <c r="W222" s="18"/>
      <c r="X222" s="18"/>
      <c r="Y222" s="18"/>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c r="IS222" s="18"/>
      <c r="IT222" s="18"/>
      <c r="IU222" s="18"/>
      <c r="IV222" s="18"/>
      <c r="IW222" s="18"/>
      <c r="IX222" s="18"/>
      <c r="IY222" s="18"/>
      <c r="IZ222" s="18"/>
      <c r="JA222" s="18"/>
      <c r="JB222" s="18"/>
      <c r="JC222" s="18"/>
      <c r="JD222" s="18"/>
      <c r="JE222" s="18"/>
      <c r="JF222" s="18"/>
      <c r="JG222" s="18"/>
      <c r="JH222" s="18"/>
      <c r="JI222" s="18"/>
      <c r="JJ222" s="18"/>
      <c r="JK222" s="18"/>
      <c r="JL222" s="18"/>
      <c r="JM222" s="18"/>
      <c r="JN222" s="18"/>
      <c r="JO222" s="18"/>
      <c r="JP222" s="18"/>
      <c r="JQ222" s="18"/>
      <c r="JR222" s="18"/>
      <c r="JS222" s="18"/>
      <c r="JT222" s="18"/>
      <c r="JU222" s="18"/>
      <c r="JV222" s="18"/>
      <c r="JW222" s="18"/>
      <c r="JX222" s="18"/>
      <c r="JY222" s="18"/>
      <c r="JZ222" s="18"/>
      <c r="KA222" s="18"/>
      <c r="KB222" s="18"/>
      <c r="KC222" s="18"/>
      <c r="KD222" s="18"/>
      <c r="KE222" s="18"/>
      <c r="KF222" s="18"/>
      <c r="KG222" s="18"/>
      <c r="KH222" s="18"/>
      <c r="KI222" s="18"/>
      <c r="KJ222" s="18"/>
      <c r="KK222" s="18"/>
      <c r="KL222" s="18"/>
      <c r="KM222" s="18"/>
      <c r="KN222" s="18"/>
      <c r="KO222" s="18"/>
      <c r="KP222" s="18"/>
      <c r="KQ222" s="18"/>
      <c r="KR222" s="18"/>
      <c r="KS222" s="18"/>
      <c r="KT222" s="18"/>
      <c r="KU222" s="18"/>
      <c r="KV222" s="18"/>
      <c r="KW222" s="18"/>
      <c r="KX222" s="18"/>
      <c r="KY222" s="18"/>
      <c r="KZ222" s="18"/>
      <c r="LA222" s="18"/>
      <c r="LB222" s="18"/>
      <c r="LC222" s="18"/>
      <c r="LD222" s="18"/>
      <c r="LE222" s="18"/>
      <c r="LF222" s="18"/>
      <c r="LG222" s="18"/>
      <c r="LH222" s="18"/>
      <c r="LI222" s="18"/>
      <c r="LJ222" s="18"/>
      <c r="LK222" s="18"/>
      <c r="LL222" s="18"/>
      <c r="LM222" s="18"/>
      <c r="LN222" s="18"/>
      <c r="LO222" s="18"/>
      <c r="LP222" s="18"/>
      <c r="LQ222" s="18"/>
      <c r="LR222" s="18"/>
      <c r="LS222" s="18"/>
      <c r="LT222" s="18"/>
      <c r="LU222" s="18"/>
      <c r="LV222" s="18"/>
      <c r="LW222" s="18"/>
      <c r="LX222" s="18"/>
      <c r="LY222" s="18"/>
      <c r="LZ222" s="18"/>
      <c r="MA222" s="18"/>
      <c r="MB222" s="18"/>
      <c r="MC222" s="18"/>
      <c r="MD222" s="18"/>
      <c r="ME222" s="18"/>
      <c r="MF222" s="18"/>
      <c r="MG222" s="18"/>
      <c r="MH222" s="18"/>
      <c r="MI222" s="18"/>
      <c r="MJ222" s="18"/>
      <c r="MK222" s="18"/>
      <c r="ML222" s="18"/>
      <c r="MM222" s="18"/>
      <c r="MN222" s="18"/>
      <c r="MO222" s="18"/>
      <c r="MP222" s="18"/>
      <c r="MQ222" s="18"/>
      <c r="MR222" s="18"/>
      <c r="MS222" s="18"/>
      <c r="MT222" s="18"/>
      <c r="MU222" s="18"/>
      <c r="MV222" s="18"/>
      <c r="MW222" s="18"/>
      <c r="MX222" s="18"/>
      <c r="MY222" s="18"/>
      <c r="MZ222" s="18"/>
      <c r="NA222" s="18"/>
      <c r="NB222" s="18"/>
      <c r="NC222" s="18"/>
      <c r="ND222" s="18"/>
      <c r="NE222" s="18"/>
      <c r="NF222" s="18"/>
      <c r="NG222" s="18"/>
      <c r="NH222" s="18"/>
      <c r="NI222" s="18"/>
      <c r="NJ222" s="18"/>
      <c r="NK222" s="18"/>
      <c r="NL222" s="18"/>
      <c r="NM222" s="18"/>
      <c r="NN222" s="18"/>
      <c r="NO222" s="18"/>
      <c r="NP222" s="18"/>
      <c r="NQ222" s="18"/>
      <c r="NR222" s="18"/>
      <c r="NS222" s="18"/>
      <c r="NT222" s="18"/>
      <c r="NU222" s="18"/>
      <c r="NV222" s="18"/>
      <c r="NW222" s="18"/>
      <c r="NX222" s="18"/>
      <c r="NY222" s="18"/>
      <c r="NZ222" s="18"/>
      <c r="OA222" s="18"/>
      <c r="OB222" s="18"/>
      <c r="OC222" s="18"/>
      <c r="OD222" s="18"/>
      <c r="OE222" s="18"/>
      <c r="OF222" s="18"/>
      <c r="OG222" s="18"/>
      <c r="OH222" s="18"/>
      <c r="OI222" s="18"/>
      <c r="OJ222" s="18"/>
      <c r="OK222" s="18"/>
      <c r="OL222" s="18"/>
      <c r="OM222" s="18"/>
      <c r="ON222" s="18"/>
      <c r="OO222" s="18"/>
      <c r="OP222" s="18"/>
      <c r="OQ222" s="18"/>
      <c r="OR222" s="18"/>
      <c r="OS222" s="18"/>
      <c r="OT222" s="18"/>
      <c r="OU222" s="18"/>
      <c r="OV222" s="18"/>
      <c r="OW222" s="18"/>
      <c r="OX222" s="18"/>
      <c r="OY222" s="18"/>
      <c r="OZ222" s="18"/>
      <c r="PA222" s="18"/>
      <c r="PB222" s="18"/>
      <c r="PC222" s="18"/>
      <c r="PD222" s="18"/>
      <c r="PE222" s="18"/>
      <c r="PF222" s="18"/>
      <c r="PG222" s="18"/>
      <c r="PH222" s="18"/>
      <c r="PI222" s="18"/>
      <c r="PJ222" s="18"/>
      <c r="PK222" s="18"/>
      <c r="PL222" s="18"/>
      <c r="PM222" s="18"/>
      <c r="PN222" s="18"/>
      <c r="PO222" s="18"/>
      <c r="PP222" s="18"/>
      <c r="PQ222" s="18"/>
      <c r="PR222" s="18"/>
      <c r="PS222" s="18"/>
      <c r="PT222" s="18"/>
      <c r="PU222" s="18"/>
      <c r="PV222" s="18"/>
      <c r="PW222" s="18"/>
      <c r="PX222" s="18"/>
      <c r="PY222" s="18"/>
      <c r="PZ222" s="18"/>
      <c r="QA222" s="18"/>
      <c r="QB222" s="18"/>
      <c r="QC222" s="18"/>
      <c r="QD222" s="18"/>
      <c r="QE222" s="18"/>
      <c r="QF222" s="18"/>
      <c r="QG222" s="18"/>
      <c r="QH222" s="18"/>
      <c r="QI222" s="18"/>
      <c r="QJ222" s="18"/>
      <c r="QK222" s="18"/>
      <c r="QL222" s="18"/>
      <c r="QM222" s="18"/>
      <c r="QN222" s="18"/>
      <c r="QO222" s="18"/>
      <c r="QP222" s="18"/>
      <c r="QQ222" s="18"/>
      <c r="QR222" s="18"/>
      <c r="QS222" s="18"/>
      <c r="QT222" s="18"/>
      <c r="QU222" s="18"/>
      <c r="QV222" s="18"/>
      <c r="QW222" s="18"/>
      <c r="QX222" s="18"/>
      <c r="QY222" s="18"/>
      <c r="QZ222" s="18"/>
      <c r="RA222" s="18"/>
      <c r="RB222" s="18"/>
      <c r="RC222" s="18"/>
      <c r="RD222" s="18"/>
      <c r="RE222" s="18"/>
      <c r="RF222" s="18"/>
      <c r="RG222" s="18"/>
      <c r="RH222" s="18"/>
      <c r="RI222" s="18"/>
      <c r="RJ222" s="18"/>
      <c r="RK222" s="18"/>
      <c r="RL222" s="18"/>
      <c r="RM222" s="18"/>
      <c r="RN222" s="18"/>
      <c r="RO222" s="18"/>
      <c r="RP222" s="18"/>
      <c r="RQ222" s="18"/>
      <c r="RR222" s="18"/>
      <c r="RS222" s="18"/>
      <c r="RT222" s="18"/>
      <c r="RU222" s="18"/>
      <c r="RV222" s="18"/>
      <c r="RW222" s="18"/>
      <c r="RX222" s="18"/>
      <c r="RY222" s="18"/>
      <c r="RZ222" s="18"/>
      <c r="SA222" s="18"/>
      <c r="SB222" s="18"/>
      <c r="SC222" s="18"/>
      <c r="SD222" s="18"/>
      <c r="SE222" s="18"/>
      <c r="SF222" s="18"/>
      <c r="SG222" s="18"/>
      <c r="SH222" s="18"/>
      <c r="SI222" s="18"/>
      <c r="SJ222" s="18"/>
      <c r="SK222" s="18"/>
      <c r="SL222" s="18"/>
      <c r="SM222" s="18"/>
      <c r="SN222" s="18"/>
      <c r="SO222" s="18"/>
      <c r="SP222" s="18"/>
      <c r="SQ222" s="18"/>
      <c r="SR222" s="18"/>
      <c r="SS222" s="18"/>
      <c r="ST222" s="18"/>
      <c r="SU222" s="18"/>
      <c r="SV222" s="18"/>
      <c r="SW222" s="18"/>
      <c r="SX222" s="18"/>
      <c r="SY222" s="18"/>
      <c r="SZ222" s="18"/>
      <c r="TA222" s="18"/>
      <c r="TB222" s="18"/>
      <c r="TC222" s="18"/>
      <c r="TD222" s="18"/>
      <c r="TE222" s="18"/>
      <c r="TF222" s="18"/>
      <c r="TG222" s="18"/>
      <c r="TH222" s="18"/>
      <c r="TI222" s="18"/>
      <c r="TJ222" s="18"/>
      <c r="TK222" s="18"/>
      <c r="TL222" s="18"/>
      <c r="TM222" s="18"/>
      <c r="TN222" s="18"/>
      <c r="TO222" s="18"/>
      <c r="TP222" s="18"/>
      <c r="TQ222" s="18"/>
      <c r="TR222" s="18"/>
      <c r="TS222" s="18"/>
      <c r="TT222" s="18"/>
      <c r="TU222" s="18"/>
      <c r="TV222" s="18"/>
      <c r="TW222" s="18"/>
      <c r="TX222" s="18"/>
      <c r="TY222" s="18"/>
      <c r="TZ222" s="18"/>
      <c r="UA222" s="18"/>
      <c r="UB222" s="18"/>
      <c r="UC222" s="18"/>
      <c r="UD222" s="18"/>
      <c r="UE222" s="18"/>
      <c r="UF222" s="18"/>
      <c r="UG222" s="18"/>
      <c r="UH222" s="18"/>
      <c r="UI222" s="18"/>
      <c r="UJ222" s="18"/>
      <c r="UK222" s="18"/>
      <c r="UL222" s="18"/>
      <c r="UM222" s="18"/>
      <c r="UN222" s="18"/>
      <c r="UO222" s="18"/>
      <c r="UP222" s="18"/>
      <c r="UQ222" s="18"/>
      <c r="UR222" s="18"/>
      <c r="US222" s="18"/>
      <c r="UT222" s="18"/>
      <c r="UU222" s="18"/>
      <c r="UV222" s="18"/>
      <c r="UW222" s="18"/>
      <c r="UX222" s="18"/>
      <c r="UY222" s="18"/>
      <c r="UZ222" s="18"/>
      <c r="VA222" s="18"/>
      <c r="VB222" s="18"/>
      <c r="VC222" s="18"/>
      <c r="VD222" s="18"/>
      <c r="VE222" s="18"/>
      <c r="VF222" s="18"/>
      <c r="VG222" s="18"/>
      <c r="VH222" s="18"/>
      <c r="VI222" s="18"/>
      <c r="VJ222" s="18"/>
      <c r="VK222" s="18"/>
      <c r="VL222" s="18"/>
      <c r="VM222" s="18"/>
      <c r="VN222" s="18"/>
      <c r="VO222" s="18"/>
      <c r="VP222" s="18"/>
      <c r="VQ222" s="18"/>
      <c r="VR222" s="18"/>
      <c r="VS222" s="18"/>
      <c r="VT222" s="18"/>
      <c r="VU222" s="18"/>
      <c r="VV222" s="18"/>
      <c r="VW222" s="18"/>
      <c r="VX222" s="18"/>
      <c r="VY222" s="18"/>
      <c r="VZ222" s="18"/>
      <c r="WA222" s="18"/>
      <c r="WB222" s="18"/>
      <c r="WC222" s="18"/>
      <c r="WD222" s="18"/>
      <c r="WE222" s="18"/>
      <c r="WF222" s="18"/>
      <c r="WG222" s="18"/>
      <c r="WH222" s="18"/>
      <c r="WI222" s="18"/>
      <c r="WJ222" s="18"/>
      <c r="WK222" s="18"/>
      <c r="WL222" s="18"/>
      <c r="WM222" s="18"/>
      <c r="WN222" s="18"/>
      <c r="WO222" s="18"/>
      <c r="WP222" s="18"/>
      <c r="WQ222" s="18"/>
      <c r="WR222" s="18"/>
      <c r="WS222" s="18"/>
      <c r="WT222" s="18"/>
      <c r="WU222" s="18"/>
      <c r="WV222" s="18"/>
      <c r="WW222" s="18"/>
      <c r="WX222" s="18"/>
      <c r="WY222" s="18"/>
      <c r="WZ222" s="18"/>
      <c r="XA222" s="18"/>
      <c r="XB222" s="18"/>
      <c r="XC222" s="18"/>
      <c r="XD222" s="18"/>
      <c r="XE222" s="18"/>
      <c r="XF222" s="18"/>
      <c r="XG222" s="18"/>
      <c r="XH222" s="18"/>
      <c r="XI222" s="18"/>
      <c r="XJ222" s="18"/>
      <c r="XK222" s="18"/>
      <c r="XL222" s="18"/>
      <c r="XM222" s="18"/>
      <c r="XN222" s="18"/>
      <c r="XO222" s="18"/>
      <c r="XP222" s="18"/>
      <c r="XQ222" s="18"/>
      <c r="XR222" s="18"/>
      <c r="XS222" s="18"/>
      <c r="XT222" s="18"/>
      <c r="XU222" s="18"/>
      <c r="XV222" s="18"/>
      <c r="XW222" s="18"/>
      <c r="XX222" s="18"/>
      <c r="XY222" s="18"/>
      <c r="XZ222" s="18"/>
      <c r="YA222" s="18"/>
      <c r="YB222" s="18"/>
      <c r="YC222" s="18"/>
      <c r="YD222" s="18"/>
      <c r="YE222" s="18"/>
      <c r="YF222" s="18"/>
      <c r="YG222" s="18"/>
      <c r="YH222" s="18"/>
      <c r="YI222" s="18"/>
      <c r="YJ222" s="18"/>
      <c r="YK222" s="18"/>
      <c r="YL222" s="18"/>
      <c r="YM222" s="18"/>
      <c r="YN222" s="18"/>
      <c r="YO222" s="18"/>
      <c r="YP222" s="18"/>
      <c r="YQ222" s="18"/>
      <c r="YR222" s="18"/>
      <c r="YS222" s="18"/>
      <c r="YT222" s="18"/>
      <c r="YU222" s="18"/>
      <c r="YV222" s="18"/>
      <c r="YW222" s="18"/>
      <c r="YX222" s="18"/>
      <c r="YY222" s="18"/>
      <c r="YZ222" s="18"/>
      <c r="ZA222" s="18"/>
      <c r="ZB222" s="18"/>
      <c r="ZC222" s="18"/>
      <c r="ZD222" s="18"/>
      <c r="ZE222" s="18"/>
      <c r="ZF222" s="18"/>
      <c r="ZG222" s="18"/>
      <c r="ZH222" s="18"/>
      <c r="ZI222" s="18"/>
      <c r="ZJ222" s="18"/>
      <c r="ZK222" s="18"/>
      <c r="ZL222" s="18"/>
      <c r="ZM222" s="18"/>
      <c r="ZN222" s="18"/>
      <c r="ZO222" s="18"/>
      <c r="ZP222" s="18"/>
      <c r="ZQ222" s="18"/>
      <c r="ZR222" s="18"/>
      <c r="ZS222" s="18"/>
      <c r="ZT222" s="18"/>
      <c r="ZU222" s="18"/>
      <c r="ZV222" s="18"/>
      <c r="ZW222" s="18"/>
      <c r="ZX222" s="18"/>
      <c r="ZY222" s="18"/>
      <c r="ZZ222" s="18"/>
      <c r="AAA222" s="18"/>
      <c r="AAB222" s="18"/>
      <c r="AAC222" s="18"/>
      <c r="AAD222" s="18"/>
      <c r="AAE222" s="18"/>
      <c r="AAF222" s="18"/>
      <c r="AAG222" s="18"/>
      <c r="AAH222" s="18"/>
      <c r="AAI222" s="18"/>
      <c r="AAJ222" s="18"/>
      <c r="AAK222" s="18"/>
      <c r="AAL222" s="18"/>
      <c r="AAM222" s="18"/>
      <c r="AAN222" s="18"/>
      <c r="AAO222" s="18"/>
      <c r="AAP222" s="18"/>
      <c r="AAQ222" s="18"/>
      <c r="AAR222" s="18"/>
      <c r="AAS222" s="18"/>
      <c r="AAT222" s="18"/>
      <c r="AAU222" s="18"/>
      <c r="AAV222" s="18"/>
      <c r="AAW222" s="18"/>
      <c r="AAX222" s="18"/>
      <c r="AAY222" s="18"/>
      <c r="AAZ222" s="18"/>
      <c r="ABA222" s="18"/>
      <c r="ABB222" s="18"/>
      <c r="ABC222" s="18"/>
      <c r="ABD222" s="18"/>
      <c r="ABE222" s="18"/>
      <c r="ABF222" s="18"/>
      <c r="ABG222" s="18"/>
      <c r="ABH222" s="18"/>
      <c r="ABI222" s="18"/>
      <c r="ABJ222" s="18"/>
      <c r="ABK222" s="18"/>
      <c r="ABL222" s="18"/>
      <c r="ABM222" s="18"/>
      <c r="ABN222" s="18"/>
      <c r="ABO222" s="18"/>
      <c r="ABP222" s="18"/>
      <c r="ABQ222" s="18"/>
      <c r="ABR222" s="18"/>
      <c r="ABS222" s="18"/>
      <c r="ABT222" s="18"/>
      <c r="ABU222" s="18"/>
      <c r="ABV222" s="18"/>
      <c r="ABW222" s="18"/>
      <c r="ABX222" s="18"/>
      <c r="ABY222" s="18"/>
      <c r="ABZ222" s="18"/>
      <c r="ACA222" s="18"/>
      <c r="ACB222" s="18"/>
      <c r="ACC222" s="18"/>
      <c r="ACD222" s="18"/>
      <c r="ACE222" s="18"/>
      <c r="ACF222" s="18"/>
      <c r="ACG222" s="18"/>
      <c r="ACH222" s="18"/>
      <c r="ACI222" s="18"/>
      <c r="ACJ222" s="18"/>
      <c r="ACK222" s="18"/>
      <c r="ACL222" s="18"/>
      <c r="ACM222" s="18"/>
      <c r="ACN222" s="18"/>
      <c r="ACO222" s="18"/>
      <c r="ACP222" s="18"/>
      <c r="ACQ222" s="18"/>
      <c r="ACR222" s="18"/>
      <c r="ACS222" s="18"/>
      <c r="ACT222" s="18"/>
      <c r="ACU222" s="18"/>
      <c r="ACV222" s="18"/>
      <c r="ACW222" s="18"/>
      <c r="ACX222" s="18"/>
      <c r="ACY222" s="18"/>
      <c r="ACZ222" s="18"/>
      <c r="ADA222" s="18"/>
      <c r="ADB222" s="18"/>
      <c r="ADC222" s="18"/>
      <c r="ADD222" s="18"/>
      <c r="ADE222" s="18"/>
      <c r="ADF222" s="18"/>
      <c r="ADG222" s="18"/>
      <c r="ADH222" s="18"/>
      <c r="ADI222" s="18"/>
      <c r="ADJ222" s="18"/>
      <c r="ADK222" s="18"/>
      <c r="ADL222" s="18"/>
      <c r="ADM222" s="18"/>
      <c r="ADN222" s="18"/>
      <c r="ADO222" s="18"/>
      <c r="ADP222" s="18"/>
      <c r="ADQ222" s="18"/>
      <c r="ADR222" s="18"/>
      <c r="ADS222" s="18"/>
      <c r="ADT222" s="18"/>
      <c r="ADU222" s="18"/>
      <c r="ADV222" s="18"/>
      <c r="ADW222" s="18"/>
      <c r="ADX222" s="18"/>
      <c r="ADY222" s="18"/>
      <c r="ADZ222" s="18"/>
      <c r="AEA222" s="18"/>
      <c r="AEB222" s="18"/>
      <c r="AEC222" s="18"/>
      <c r="AED222" s="18"/>
      <c r="AEE222" s="18"/>
      <c r="AEF222" s="18"/>
      <c r="AEG222" s="18"/>
      <c r="AEH222" s="18"/>
      <c r="AEI222" s="18"/>
      <c r="AEJ222" s="18"/>
      <c r="AEK222" s="18"/>
      <c r="AEL222" s="18"/>
      <c r="AEM222" s="18"/>
      <c r="AEN222" s="18"/>
      <c r="AEO222" s="18"/>
      <c r="AEP222" s="18"/>
      <c r="AEQ222" s="18"/>
      <c r="AER222" s="18"/>
      <c r="AES222" s="18"/>
      <c r="AET222" s="18"/>
      <c r="AEU222" s="18"/>
      <c r="AEV222" s="18"/>
      <c r="AEW222" s="18"/>
      <c r="AEX222" s="18"/>
      <c r="AEY222" s="18"/>
      <c r="AEZ222" s="18"/>
      <c r="AFA222" s="18"/>
      <c r="AFB222" s="18"/>
      <c r="AFC222" s="18"/>
      <c r="AFD222" s="18"/>
      <c r="AFE222" s="18"/>
      <c r="AFF222" s="18"/>
      <c r="AFG222" s="18"/>
      <c r="AFH222" s="18"/>
      <c r="AFI222" s="18"/>
      <c r="AFJ222" s="18"/>
      <c r="AFK222" s="18"/>
      <c r="AFL222" s="18"/>
      <c r="AFM222" s="18"/>
      <c r="AFN222" s="18"/>
      <c r="AFO222" s="18"/>
      <c r="AFP222" s="18"/>
      <c r="AFQ222" s="18"/>
      <c r="AFR222" s="18"/>
      <c r="AFS222" s="18"/>
      <c r="AFT222" s="18"/>
      <c r="AFU222" s="18"/>
      <c r="AFV222" s="18"/>
      <c r="AFW222" s="18"/>
      <c r="AFX222" s="18"/>
      <c r="AFY222" s="18"/>
      <c r="AFZ222" s="18"/>
      <c r="AGA222" s="18"/>
      <c r="AGB222" s="18"/>
      <c r="AGC222" s="18"/>
      <c r="AGD222" s="18"/>
      <c r="AGE222" s="18"/>
      <c r="AGF222" s="18"/>
      <c r="AGG222" s="18"/>
      <c r="AGH222" s="18"/>
      <c r="AGI222" s="18"/>
      <c r="AGJ222" s="18"/>
      <c r="AGK222" s="18"/>
      <c r="AGL222" s="18"/>
      <c r="AGM222" s="18"/>
      <c r="AGN222" s="18"/>
      <c r="AGO222" s="18"/>
      <c r="AGP222" s="18"/>
      <c r="AGQ222" s="18"/>
      <c r="AGR222" s="18"/>
      <c r="AGS222" s="18"/>
      <c r="AGT222" s="18"/>
      <c r="AGU222" s="18"/>
      <c r="AGV222" s="18"/>
      <c r="AGW222" s="18"/>
      <c r="AGX222" s="18"/>
      <c r="AGY222" s="18"/>
      <c r="AGZ222" s="18"/>
      <c r="AHA222" s="18"/>
      <c r="AHB222" s="18"/>
      <c r="AHC222" s="18"/>
      <c r="AHD222" s="18"/>
      <c r="AHE222" s="18"/>
      <c r="AHF222" s="18"/>
      <c r="AHG222" s="18"/>
      <c r="AHH222" s="18"/>
      <c r="AHI222" s="18"/>
      <c r="AHJ222" s="18"/>
      <c r="AHK222" s="18"/>
      <c r="AHL222" s="18"/>
      <c r="AHM222" s="18"/>
      <c r="AHN222" s="18"/>
      <c r="AHO222" s="18"/>
      <c r="AHP222" s="18"/>
      <c r="AHQ222" s="18"/>
      <c r="AHR222" s="18"/>
      <c r="AHS222" s="18"/>
      <c r="AHT222" s="18"/>
      <c r="AHU222" s="18"/>
      <c r="AHV222" s="18"/>
      <c r="AHW222" s="18"/>
      <c r="AHX222" s="18"/>
      <c r="AHY222" s="18"/>
      <c r="AHZ222" s="18"/>
      <c r="AIA222" s="18"/>
      <c r="AIB222" s="18"/>
      <c r="AIC222" s="18"/>
      <c r="AID222" s="18"/>
      <c r="AIE222" s="18"/>
      <c r="AIF222" s="18"/>
      <c r="AIG222" s="18"/>
      <c r="AIH222" s="18"/>
      <c r="AII222" s="18"/>
      <c r="AIJ222" s="18"/>
      <c r="AIK222" s="18"/>
      <c r="AIL222" s="18"/>
      <c r="AIM222" s="18"/>
      <c r="AIN222" s="18"/>
      <c r="AIO222" s="18"/>
      <c r="AIP222" s="18"/>
      <c r="AIQ222" s="18"/>
      <c r="AIR222" s="18"/>
      <c r="AIS222" s="18"/>
      <c r="AIT222" s="18"/>
      <c r="AIU222" s="18"/>
      <c r="AIV222" s="18"/>
      <c r="AIW222" s="18"/>
      <c r="AIX222" s="18"/>
      <c r="AIY222" s="18"/>
      <c r="AIZ222" s="18"/>
      <c r="AJA222" s="18"/>
      <c r="AJB222" s="18"/>
      <c r="AJC222" s="18"/>
      <c r="AJD222" s="18"/>
      <c r="AJE222" s="18"/>
      <c r="AJF222" s="18"/>
      <c r="AJG222" s="18"/>
      <c r="AJH222" s="18"/>
      <c r="AJI222" s="18"/>
      <c r="AJJ222" s="18"/>
      <c r="AJK222" s="18"/>
      <c r="AJL222" s="18"/>
      <c r="AJM222" s="18"/>
      <c r="AJN222" s="18"/>
      <c r="AJO222" s="18"/>
      <c r="AJP222" s="18"/>
      <c r="AJQ222" s="18"/>
      <c r="AJR222" s="18"/>
      <c r="AJS222" s="18"/>
      <c r="AJT222" s="18"/>
      <c r="AJU222" s="18"/>
      <c r="AJV222" s="18"/>
      <c r="AJW222" s="18"/>
      <c r="AJX222" s="18"/>
      <c r="AJY222" s="18"/>
      <c r="AJZ222" s="18"/>
      <c r="AKA222" s="18"/>
      <c r="AKB222" s="18"/>
      <c r="AKC222" s="18"/>
      <c r="AKD222" s="18"/>
      <c r="AKE222" s="18"/>
      <c r="AKF222" s="18"/>
      <c r="AKG222" s="18"/>
      <c r="AKH222" s="18"/>
      <c r="AKI222" s="18"/>
      <c r="AKJ222" s="18"/>
      <c r="AKK222" s="18"/>
      <c r="AKL222" s="18"/>
      <c r="AKM222" s="18"/>
      <c r="AKN222" s="18"/>
      <c r="AKO222" s="18"/>
      <c r="AKP222" s="18"/>
      <c r="AKQ222" s="18"/>
      <c r="AKR222" s="18"/>
      <c r="AKS222" s="18"/>
      <c r="AKT222" s="18"/>
      <c r="AKU222" s="18"/>
      <c r="AKV222" s="18"/>
      <c r="AKW222" s="18"/>
      <c r="AKX222" s="18"/>
      <c r="AKY222" s="18"/>
      <c r="AKZ222" s="18"/>
      <c r="ALA222" s="18"/>
      <c r="ALB222" s="18"/>
      <c r="ALC222" s="18"/>
      <c r="ALD222" s="18"/>
      <c r="ALE222" s="18"/>
      <c r="ALF222" s="18"/>
      <c r="ALG222" s="18"/>
      <c r="ALH222" s="18"/>
      <c r="ALI222" s="18"/>
      <c r="ALJ222" s="18"/>
      <c r="ALK222" s="18"/>
      <c r="ALL222" s="18"/>
      <c r="ALM222" s="18"/>
      <c r="ALN222" s="18"/>
      <c r="ALO222" s="18"/>
      <c r="ALP222" s="18"/>
      <c r="ALQ222" s="18"/>
      <c r="ALR222" s="18"/>
      <c r="ALS222" s="18"/>
      <c r="ALT222" s="18"/>
      <c r="ALU222" s="18"/>
      <c r="ALV222" s="18"/>
      <c r="ALW222" s="18"/>
      <c r="ALX222" s="18"/>
      <c r="ALY222" s="18"/>
      <c r="ALZ222" s="18"/>
      <c r="AMA222" s="18"/>
      <c r="AMB222" s="18"/>
      <c r="AMC222" s="18"/>
      <c r="AMD222" s="18"/>
      <c r="AME222" s="18"/>
      <c r="AMF222" s="18"/>
      <c r="AMG222" s="18"/>
      <c r="AMH222" s="18"/>
      <c r="AMI222" s="18"/>
      <c r="AMJ222" s="18"/>
      <c r="AMK222" s="18"/>
      <c r="AML222" s="18"/>
      <c r="AMM222" s="18"/>
      <c r="AMN222" s="18"/>
      <c r="AMO222" s="18"/>
      <c r="AMP222" s="18"/>
      <c r="AMQ222" s="18"/>
      <c r="AMR222" s="18"/>
      <c r="AMS222" s="18"/>
      <c r="AMT222" s="18"/>
      <c r="AMU222" s="18"/>
      <c r="AMV222" s="18"/>
      <c r="AMW222" s="18"/>
      <c r="AMX222" s="18"/>
      <c r="AMY222" s="18"/>
      <c r="AMZ222" s="18"/>
      <c r="ANA222" s="18"/>
      <c r="ANB222" s="18"/>
      <c r="ANC222" s="18"/>
      <c r="AND222" s="18"/>
      <c r="ANE222" s="18"/>
      <c r="ANF222" s="18"/>
      <c r="ANG222" s="18"/>
      <c r="ANH222" s="18"/>
      <c r="ANI222" s="18"/>
      <c r="ANJ222" s="18"/>
      <c r="ANK222" s="18"/>
      <c r="ANL222" s="18"/>
      <c r="ANM222" s="18"/>
      <c r="ANN222" s="18"/>
      <c r="ANO222" s="18"/>
      <c r="ANP222" s="18"/>
      <c r="ANQ222" s="18"/>
      <c r="ANR222" s="18"/>
      <c r="ANS222" s="18"/>
      <c r="ANT222" s="18"/>
      <c r="ANU222" s="18"/>
      <c r="ANV222" s="18"/>
      <c r="ANW222" s="18"/>
      <c r="ANX222" s="18"/>
      <c r="ANY222" s="18"/>
      <c r="ANZ222" s="18"/>
      <c r="AOA222" s="18"/>
      <c r="AOB222" s="18"/>
      <c r="AOC222" s="18"/>
      <c r="AOD222" s="18"/>
      <c r="AOE222" s="18"/>
      <c r="AOF222" s="18"/>
      <c r="AOG222" s="18"/>
      <c r="AOH222" s="18"/>
      <c r="AOI222" s="18"/>
      <c r="AOJ222" s="18"/>
      <c r="AOK222" s="18"/>
      <c r="AOL222" s="18"/>
      <c r="AOM222" s="18"/>
      <c r="AON222" s="18"/>
      <c r="AOO222" s="18"/>
      <c r="AOP222" s="18"/>
      <c r="AOQ222" s="18"/>
      <c r="AOR222" s="18"/>
      <c r="AOS222" s="18"/>
      <c r="AOT222" s="18"/>
      <c r="AOU222" s="18"/>
      <c r="AOV222" s="18"/>
      <c r="AOW222" s="18"/>
      <c r="AOX222" s="18"/>
      <c r="AOY222" s="18"/>
      <c r="AOZ222" s="18"/>
      <c r="APA222" s="18"/>
      <c r="APB222" s="18"/>
      <c r="APC222" s="18"/>
      <c r="APD222" s="18"/>
      <c r="APE222" s="18"/>
      <c r="APF222" s="18"/>
      <c r="APG222" s="18"/>
      <c r="APH222" s="18"/>
      <c r="API222" s="18"/>
      <c r="APJ222" s="18"/>
      <c r="APK222" s="18"/>
      <c r="APL222" s="18"/>
      <c r="APM222" s="18"/>
      <c r="APN222" s="18"/>
      <c r="APO222" s="18"/>
      <c r="APP222" s="18"/>
      <c r="APQ222" s="18"/>
      <c r="APR222" s="18"/>
      <c r="APS222" s="18"/>
      <c r="APT222" s="18"/>
      <c r="APU222" s="18"/>
      <c r="APV222" s="18"/>
      <c r="APW222" s="18"/>
      <c r="APX222" s="18"/>
      <c r="APY222" s="18"/>
      <c r="APZ222" s="18"/>
      <c r="AQA222" s="18"/>
      <c r="AQB222" s="18"/>
      <c r="AQC222" s="18"/>
      <c r="AQD222" s="18"/>
      <c r="AQE222" s="18"/>
      <c r="AQF222" s="18"/>
      <c r="AQG222" s="18"/>
      <c r="AQH222" s="18"/>
      <c r="AQI222" s="18"/>
      <c r="AQJ222" s="18"/>
      <c r="AQK222" s="18"/>
      <c r="AQL222" s="18"/>
      <c r="AQM222" s="18"/>
      <c r="AQN222" s="18"/>
      <c r="AQO222" s="18"/>
      <c r="AQP222" s="18"/>
      <c r="AQQ222" s="18"/>
      <c r="AQR222" s="18"/>
      <c r="AQS222" s="18"/>
      <c r="AQT222" s="18"/>
      <c r="AQU222" s="18"/>
      <c r="AQV222" s="18"/>
      <c r="AQW222" s="18"/>
      <c r="AQX222" s="18"/>
      <c r="AQY222" s="18"/>
      <c r="AQZ222" s="18"/>
      <c r="ARA222" s="18"/>
      <c r="ARB222" s="18"/>
      <c r="ARC222" s="18"/>
      <c r="ARD222" s="18"/>
      <c r="ARE222" s="18"/>
      <c r="ARF222" s="18"/>
      <c r="ARG222" s="18"/>
      <c r="ARH222" s="18"/>
      <c r="ARI222" s="18"/>
      <c r="ARJ222" s="18"/>
      <c r="ARK222" s="18"/>
      <c r="ARL222" s="18"/>
      <c r="ARM222" s="18"/>
      <c r="ARN222" s="18"/>
      <c r="ARO222" s="18"/>
      <c r="ARP222" s="18"/>
      <c r="ARQ222" s="18"/>
      <c r="ARR222" s="18"/>
      <c r="ARS222" s="18"/>
      <c r="ART222" s="18"/>
      <c r="ARU222" s="18"/>
      <c r="ARV222" s="18"/>
      <c r="ARW222" s="18"/>
      <c r="ARX222" s="18"/>
      <c r="ARY222" s="18"/>
      <c r="ARZ222" s="18"/>
      <c r="ASA222" s="18"/>
      <c r="ASB222" s="18"/>
      <c r="ASC222" s="18"/>
      <c r="ASD222" s="18"/>
      <c r="ASE222" s="18"/>
      <c r="ASF222" s="18"/>
      <c r="ASG222" s="18"/>
      <c r="ASH222" s="18"/>
      <c r="ASI222" s="18"/>
      <c r="ASJ222" s="18"/>
      <c r="ASK222" s="18"/>
      <c r="ASL222" s="18"/>
      <c r="ASM222" s="18"/>
      <c r="ASN222" s="18"/>
      <c r="ASO222" s="18"/>
      <c r="ASP222" s="18"/>
      <c r="ASQ222" s="18"/>
      <c r="ASR222" s="18"/>
      <c r="ASS222" s="18"/>
      <c r="AST222" s="18"/>
      <c r="ASU222" s="18"/>
      <c r="ASV222" s="18"/>
      <c r="ASW222" s="18"/>
      <c r="ASX222" s="18"/>
      <c r="ASY222" s="18"/>
      <c r="ASZ222" s="18"/>
      <c r="ATA222" s="18"/>
      <c r="ATB222" s="18"/>
      <c r="ATC222" s="18"/>
      <c r="ATD222" s="18"/>
      <c r="ATE222" s="18"/>
      <c r="ATF222" s="18"/>
      <c r="ATG222" s="18"/>
      <c r="ATH222" s="18"/>
      <c r="ATI222" s="18"/>
      <c r="ATJ222" s="18"/>
      <c r="ATK222" s="18"/>
      <c r="ATL222" s="18"/>
      <c r="ATM222" s="18"/>
      <c r="ATN222" s="18"/>
      <c r="ATO222" s="18"/>
      <c r="ATP222" s="18"/>
      <c r="ATQ222" s="18"/>
      <c r="ATR222" s="18"/>
      <c r="ATS222" s="18"/>
      <c r="ATT222" s="18"/>
      <c r="ATU222" s="18"/>
      <c r="ATV222" s="18"/>
      <c r="ATW222" s="18"/>
      <c r="ATX222" s="18"/>
      <c r="ATY222" s="18"/>
      <c r="ATZ222" s="18"/>
      <c r="AUA222" s="18"/>
      <c r="AUB222" s="18"/>
      <c r="AUC222" s="18"/>
      <c r="AUD222" s="18"/>
      <c r="AUE222" s="18"/>
      <c r="AUF222" s="18"/>
      <c r="AUG222" s="18"/>
      <c r="AUH222" s="18"/>
      <c r="AUI222" s="18"/>
      <c r="AUJ222" s="18"/>
      <c r="AUK222" s="18"/>
      <c r="AUL222" s="18"/>
      <c r="AUM222" s="18"/>
      <c r="AUN222" s="18"/>
      <c r="AUO222" s="18"/>
      <c r="AUP222" s="18"/>
      <c r="AUQ222" s="18"/>
      <c r="AUR222" s="18"/>
      <c r="AUS222" s="18"/>
      <c r="AUT222" s="18"/>
      <c r="AUU222" s="18"/>
      <c r="AUV222" s="18"/>
      <c r="AUW222" s="18"/>
      <c r="AUX222" s="18"/>
      <c r="AUY222" s="18"/>
      <c r="AUZ222" s="18"/>
      <c r="AVA222" s="18"/>
      <c r="AVB222" s="18"/>
      <c r="AVC222" s="18"/>
      <c r="AVD222" s="18"/>
      <c r="AVE222" s="18"/>
      <c r="AVF222" s="18"/>
      <c r="AVG222" s="18"/>
      <c r="AVH222" s="18"/>
      <c r="AVI222" s="18"/>
      <c r="AVJ222" s="18"/>
      <c r="AVK222" s="18"/>
      <c r="AVL222" s="18"/>
      <c r="AVM222" s="18"/>
      <c r="AVN222" s="18"/>
      <c r="AVO222" s="18"/>
      <c r="AVP222" s="18"/>
      <c r="AVQ222" s="18"/>
      <c r="AVR222" s="18"/>
      <c r="AVS222" s="18"/>
      <c r="AVT222" s="18"/>
      <c r="AVU222" s="18"/>
      <c r="AVV222" s="18"/>
      <c r="AVW222" s="18"/>
      <c r="AVX222" s="18"/>
      <c r="AVY222" s="18"/>
      <c r="AVZ222" s="18"/>
      <c r="AWA222" s="18"/>
      <c r="AWB222" s="18"/>
      <c r="AWC222" s="18"/>
      <c r="AWD222" s="18"/>
      <c r="AWE222" s="18"/>
      <c r="AWF222" s="18"/>
      <c r="AWG222" s="18"/>
      <c r="AWH222" s="18"/>
      <c r="AWI222" s="18"/>
      <c r="AWJ222" s="18"/>
      <c r="AWK222" s="18"/>
      <c r="AWL222" s="18"/>
      <c r="AWM222" s="18"/>
      <c r="AWN222" s="18"/>
      <c r="AWO222" s="18"/>
      <c r="AWP222" s="18"/>
      <c r="AWQ222" s="18"/>
      <c r="AWR222" s="18"/>
      <c r="AWS222" s="18"/>
      <c r="AWT222" s="18"/>
      <c r="AWU222" s="18"/>
      <c r="AWV222" s="18"/>
      <c r="AWW222" s="18"/>
      <c r="AWX222" s="18"/>
      <c r="AWY222" s="18"/>
      <c r="AWZ222" s="18"/>
      <c r="AXA222" s="18"/>
      <c r="AXB222" s="18"/>
      <c r="AXC222" s="18"/>
      <c r="AXD222" s="18"/>
      <c r="AXE222" s="18"/>
      <c r="AXF222" s="18"/>
      <c r="AXG222" s="18"/>
      <c r="AXH222" s="18"/>
      <c r="AXI222" s="18"/>
      <c r="AXJ222" s="18"/>
      <c r="AXK222" s="18"/>
      <c r="AXL222" s="18"/>
      <c r="AXM222" s="18"/>
      <c r="AXN222" s="18"/>
      <c r="AXO222" s="18"/>
      <c r="AXP222" s="18"/>
      <c r="AXQ222" s="18"/>
      <c r="AXR222" s="18"/>
      <c r="AXS222" s="18"/>
      <c r="AXT222" s="18"/>
      <c r="AXU222" s="18"/>
      <c r="AXV222" s="18"/>
      <c r="AXW222" s="18"/>
      <c r="AXX222" s="18"/>
      <c r="AXY222" s="18"/>
      <c r="AXZ222" s="18"/>
      <c r="AYA222" s="18"/>
      <c r="AYB222" s="18"/>
      <c r="AYC222" s="18"/>
      <c r="AYD222" s="18"/>
      <c r="AYE222" s="18"/>
      <c r="AYF222" s="18"/>
      <c r="AYG222" s="18"/>
      <c r="AYH222" s="18"/>
      <c r="AYI222" s="18"/>
      <c r="AYJ222" s="18"/>
      <c r="AYK222" s="18"/>
      <c r="AYL222" s="18"/>
      <c r="AYM222" s="18"/>
      <c r="AYN222" s="18"/>
      <c r="AYO222" s="18"/>
      <c r="AYP222" s="18"/>
      <c r="AYQ222" s="18"/>
      <c r="AYR222" s="18"/>
      <c r="AYS222" s="18"/>
      <c r="AYT222" s="18"/>
      <c r="AYU222" s="18"/>
      <c r="AYV222" s="18"/>
      <c r="AYW222" s="18"/>
      <c r="AYX222" s="18"/>
      <c r="AYY222" s="18"/>
      <c r="AYZ222" s="18"/>
      <c r="AZA222" s="18"/>
      <c r="AZB222" s="18"/>
      <c r="AZC222" s="18"/>
      <c r="AZD222" s="18"/>
      <c r="AZE222" s="18"/>
      <c r="AZF222" s="18"/>
      <c r="AZG222" s="18"/>
      <c r="AZH222" s="18"/>
      <c r="AZI222" s="18"/>
      <c r="AZJ222" s="18"/>
      <c r="AZK222" s="18"/>
      <c r="AZL222" s="18"/>
      <c r="AZM222" s="18"/>
      <c r="AZN222" s="18"/>
      <c r="AZO222" s="18"/>
      <c r="AZP222" s="18"/>
      <c r="AZQ222" s="18"/>
      <c r="AZR222" s="18"/>
      <c r="AZS222" s="18"/>
      <c r="AZT222" s="18"/>
      <c r="AZU222" s="18"/>
      <c r="AZV222" s="18"/>
      <c r="AZW222" s="18"/>
      <c r="AZX222" s="18"/>
      <c r="AZY222" s="18"/>
      <c r="AZZ222" s="18"/>
      <c r="BAA222" s="18"/>
      <c r="BAB222" s="18"/>
      <c r="BAC222" s="18"/>
      <c r="BAD222" s="18"/>
      <c r="BAE222" s="18"/>
      <c r="BAF222" s="18"/>
      <c r="BAG222" s="18"/>
      <c r="BAH222" s="18"/>
      <c r="BAI222" s="18"/>
      <c r="BAJ222" s="18"/>
      <c r="BAK222" s="18"/>
      <c r="BAL222" s="18"/>
      <c r="BAM222" s="18"/>
      <c r="BAN222" s="18"/>
      <c r="BAO222" s="18"/>
      <c r="BAP222" s="18"/>
      <c r="BAQ222" s="18"/>
      <c r="BAR222" s="18"/>
      <c r="BAS222" s="18"/>
      <c r="BAT222" s="18"/>
      <c r="BAU222" s="18"/>
      <c r="BAV222" s="18"/>
      <c r="BAW222" s="18"/>
      <c r="BAX222" s="18"/>
      <c r="BAY222" s="18"/>
      <c r="BAZ222" s="18"/>
      <c r="BBA222" s="18"/>
      <c r="BBB222" s="18"/>
      <c r="BBC222" s="18"/>
      <c r="BBD222" s="18"/>
      <c r="BBE222" s="18"/>
      <c r="BBF222" s="18"/>
      <c r="BBG222" s="18"/>
      <c r="BBH222" s="18"/>
      <c r="BBI222" s="18"/>
      <c r="BBJ222" s="18"/>
      <c r="BBK222" s="18"/>
      <c r="BBL222" s="18"/>
      <c r="BBM222" s="18"/>
      <c r="BBN222" s="18"/>
      <c r="BBO222" s="18"/>
      <c r="BBP222" s="18"/>
      <c r="BBQ222" s="18"/>
      <c r="BBR222" s="18"/>
      <c r="BBS222" s="18"/>
      <c r="BBT222" s="18"/>
      <c r="BBU222" s="18"/>
      <c r="BBV222" s="18"/>
      <c r="BBW222" s="18"/>
      <c r="BBX222" s="18"/>
      <c r="BBY222" s="18"/>
      <c r="BBZ222" s="18"/>
      <c r="BCA222" s="18"/>
      <c r="BCB222" s="18"/>
      <c r="BCC222" s="18"/>
      <c r="BCD222" s="18"/>
      <c r="BCE222" s="18"/>
      <c r="BCF222" s="18"/>
      <c r="BCG222" s="18"/>
      <c r="BCH222" s="18"/>
      <c r="BCI222" s="18"/>
      <c r="BCJ222" s="18"/>
      <c r="BCK222" s="18"/>
      <c r="BCL222" s="18"/>
      <c r="BCM222" s="18"/>
      <c r="BCN222" s="18"/>
      <c r="BCO222" s="18"/>
      <c r="BCP222" s="18"/>
      <c r="BCQ222" s="18"/>
      <c r="BCR222" s="18"/>
      <c r="BCS222" s="18"/>
      <c r="BCT222" s="18"/>
      <c r="BCU222" s="18"/>
      <c r="BCV222" s="18"/>
      <c r="BCW222" s="18"/>
      <c r="BCX222" s="18"/>
      <c r="BCY222" s="18"/>
      <c r="BCZ222" s="18"/>
      <c r="BDA222" s="18"/>
      <c r="BDB222" s="18"/>
      <c r="BDC222" s="18"/>
      <c r="BDD222" s="18"/>
      <c r="BDE222" s="18"/>
      <c r="BDF222" s="18"/>
      <c r="BDG222" s="18"/>
      <c r="BDH222" s="18"/>
      <c r="BDI222" s="18"/>
      <c r="BDJ222" s="18"/>
      <c r="BDK222" s="18"/>
      <c r="BDL222" s="18"/>
      <c r="BDM222" s="18"/>
      <c r="BDN222" s="18"/>
      <c r="BDO222" s="18"/>
      <c r="BDP222" s="18"/>
      <c r="BDQ222" s="18"/>
      <c r="BDR222" s="18"/>
      <c r="BDS222" s="18"/>
      <c r="BDT222" s="18"/>
      <c r="BDU222" s="18"/>
      <c r="BDV222" s="18"/>
      <c r="BDW222" s="18"/>
      <c r="BDX222" s="18"/>
      <c r="BDY222" s="18"/>
      <c r="BDZ222" s="18"/>
      <c r="BEA222" s="18"/>
      <c r="BEB222" s="18"/>
      <c r="BEC222" s="18"/>
      <c r="BED222" s="18"/>
      <c r="BEE222" s="18"/>
      <c r="BEF222" s="18"/>
      <c r="BEG222" s="18"/>
      <c r="BEH222" s="18"/>
      <c r="BEI222" s="18"/>
      <c r="BEJ222" s="18"/>
      <c r="BEK222" s="18"/>
      <c r="BEL222" s="18"/>
      <c r="BEM222" s="18"/>
      <c r="BEN222" s="18"/>
      <c r="BEO222" s="18"/>
      <c r="BEP222" s="18"/>
      <c r="BEQ222" s="18"/>
      <c r="BER222" s="18"/>
      <c r="BES222" s="18"/>
      <c r="BET222" s="18"/>
      <c r="BEU222" s="18"/>
      <c r="BEV222" s="18"/>
      <c r="BEW222" s="18"/>
      <c r="BEX222" s="18"/>
      <c r="BEY222" s="18"/>
      <c r="BEZ222" s="18"/>
      <c r="BFA222" s="18"/>
      <c r="BFB222" s="18"/>
      <c r="BFC222" s="18"/>
      <c r="BFD222" s="18"/>
      <c r="BFE222" s="18"/>
      <c r="BFF222" s="18"/>
      <c r="BFG222" s="18"/>
      <c r="BFH222" s="18"/>
      <c r="BFI222" s="18"/>
      <c r="BFJ222" s="18"/>
      <c r="BFK222" s="18"/>
      <c r="BFL222" s="18"/>
      <c r="BFM222" s="18"/>
      <c r="BFN222" s="18"/>
      <c r="BFO222" s="18"/>
      <c r="BFP222" s="18"/>
      <c r="BFQ222" s="18"/>
      <c r="BFR222" s="18"/>
      <c r="BFS222" s="18"/>
      <c r="BFT222" s="18"/>
      <c r="BFU222" s="18"/>
      <c r="BFV222" s="18"/>
      <c r="BFW222" s="18"/>
      <c r="BFX222" s="18"/>
      <c r="BFY222" s="18"/>
      <c r="BFZ222" s="18"/>
      <c r="BGA222" s="18"/>
      <c r="BGB222" s="18"/>
      <c r="BGC222" s="18"/>
      <c r="BGD222" s="18"/>
      <c r="BGE222" s="18"/>
      <c r="BGF222" s="18"/>
      <c r="BGG222" s="18"/>
      <c r="BGH222" s="18"/>
      <c r="BGI222" s="18"/>
      <c r="BGJ222" s="18"/>
      <c r="BGK222" s="18"/>
      <c r="BGL222" s="18"/>
      <c r="BGM222" s="18"/>
      <c r="BGN222" s="18"/>
      <c r="BGO222" s="18"/>
      <c r="BGP222" s="18"/>
      <c r="BGQ222" s="18"/>
      <c r="BGR222" s="18"/>
      <c r="BGS222" s="18"/>
      <c r="BGT222" s="18"/>
      <c r="BGU222" s="18"/>
      <c r="BGV222" s="18"/>
      <c r="BGW222" s="18"/>
      <c r="BGX222" s="18"/>
      <c r="BGY222" s="18"/>
      <c r="BGZ222" s="18"/>
      <c r="BHA222" s="18"/>
      <c r="BHB222" s="18"/>
      <c r="BHC222" s="18"/>
      <c r="BHD222" s="18"/>
      <c r="BHE222" s="18"/>
      <c r="BHF222" s="18"/>
      <c r="BHG222" s="18"/>
      <c r="BHH222" s="18"/>
      <c r="BHI222" s="18"/>
      <c r="BHJ222" s="18"/>
      <c r="BHK222" s="18"/>
      <c r="BHL222" s="18"/>
      <c r="BHM222" s="18"/>
      <c r="BHN222" s="18"/>
      <c r="BHO222" s="18"/>
      <c r="BHP222" s="18"/>
      <c r="BHQ222" s="18"/>
      <c r="BHR222" s="18"/>
      <c r="BHS222" s="18"/>
      <c r="BHT222" s="18"/>
      <c r="BHU222" s="18"/>
      <c r="BHV222" s="18"/>
      <c r="BHW222" s="18"/>
      <c r="BHX222" s="18"/>
      <c r="BHY222" s="18"/>
      <c r="BHZ222" s="18"/>
      <c r="BIA222" s="18"/>
      <c r="BIB222" s="18"/>
      <c r="BIC222" s="18"/>
      <c r="BID222" s="18"/>
      <c r="BIE222" s="18"/>
      <c r="BIF222" s="18"/>
      <c r="BIG222" s="18"/>
      <c r="BIH222" s="18"/>
      <c r="BII222" s="18"/>
      <c r="BIJ222" s="18"/>
      <c r="BIK222" s="18"/>
      <c r="BIL222" s="18"/>
      <c r="BIM222" s="18"/>
      <c r="BIN222" s="18"/>
      <c r="BIO222" s="18"/>
      <c r="BIP222" s="18"/>
      <c r="BIQ222" s="18"/>
      <c r="BIR222" s="18"/>
      <c r="BIS222" s="18"/>
      <c r="BIT222" s="18"/>
      <c r="BIU222" s="18"/>
      <c r="BIV222" s="18"/>
      <c r="BIW222" s="18"/>
      <c r="BIX222" s="18"/>
      <c r="BIY222" s="18"/>
      <c r="BIZ222" s="18"/>
      <c r="BJA222" s="18"/>
      <c r="BJB222" s="18"/>
      <c r="BJC222" s="18"/>
      <c r="BJD222" s="18"/>
      <c r="BJE222" s="18"/>
      <c r="BJF222" s="18"/>
      <c r="BJG222" s="18"/>
      <c r="BJH222" s="18"/>
      <c r="BJI222" s="18"/>
      <c r="BJJ222" s="18"/>
      <c r="BJK222" s="18"/>
      <c r="BJL222" s="18"/>
      <c r="BJM222" s="18"/>
      <c r="BJN222" s="18"/>
      <c r="BJO222" s="18"/>
      <c r="BJP222" s="18"/>
      <c r="BJQ222" s="18"/>
      <c r="BJR222" s="18"/>
      <c r="BJS222" s="18"/>
      <c r="BJT222" s="18"/>
      <c r="BJU222" s="18"/>
      <c r="BJV222" s="18"/>
      <c r="BJW222" s="18"/>
      <c r="BJX222" s="18"/>
      <c r="BJY222" s="18"/>
      <c r="BJZ222" s="18"/>
      <c r="BKA222" s="18"/>
      <c r="BKB222" s="18"/>
      <c r="BKC222" s="18"/>
      <c r="BKD222" s="18"/>
      <c r="BKE222" s="18"/>
      <c r="BKF222" s="18"/>
      <c r="BKG222" s="18"/>
      <c r="BKH222" s="18"/>
      <c r="BKI222" s="18"/>
      <c r="BKJ222" s="18"/>
      <c r="BKK222" s="18"/>
      <c r="BKL222" s="18"/>
      <c r="BKM222" s="18"/>
      <c r="BKN222" s="18"/>
      <c r="BKO222" s="18"/>
      <c r="BKP222" s="18"/>
      <c r="BKQ222" s="18"/>
      <c r="BKR222" s="18"/>
      <c r="BKS222" s="18"/>
      <c r="BKT222" s="18"/>
      <c r="BKU222" s="18"/>
      <c r="BKV222" s="18"/>
      <c r="BKW222" s="18"/>
      <c r="BKX222" s="18"/>
      <c r="BKY222" s="18"/>
      <c r="BKZ222" s="18"/>
      <c r="BLA222" s="18"/>
      <c r="BLB222" s="18"/>
      <c r="BLC222" s="18"/>
      <c r="BLD222" s="18"/>
      <c r="BLE222" s="18"/>
      <c r="BLF222" s="18"/>
      <c r="BLG222" s="18"/>
      <c r="BLH222" s="18"/>
      <c r="BLI222" s="18"/>
      <c r="BLJ222" s="18"/>
      <c r="BLK222" s="18"/>
      <c r="BLL222" s="18"/>
      <c r="BLM222" s="18"/>
      <c r="BLN222" s="18"/>
      <c r="BLO222" s="18"/>
      <c r="BLP222" s="18"/>
      <c r="BLQ222" s="18"/>
      <c r="BLR222" s="18"/>
      <c r="BLS222" s="18"/>
      <c r="BLT222" s="18"/>
      <c r="BLU222" s="18"/>
      <c r="BLV222" s="18"/>
      <c r="BLW222" s="18"/>
      <c r="BLX222" s="18"/>
      <c r="BLY222" s="18"/>
      <c r="BLZ222" s="18"/>
      <c r="BMA222" s="18"/>
      <c r="BMB222" s="18"/>
      <c r="BMC222" s="18"/>
      <c r="BMD222" s="18"/>
      <c r="BME222" s="18"/>
      <c r="BMF222" s="18"/>
      <c r="BMG222" s="18"/>
      <c r="BMH222" s="18"/>
      <c r="BMI222" s="18"/>
      <c r="BMJ222" s="18"/>
      <c r="BMK222" s="18"/>
      <c r="BML222" s="18"/>
      <c r="BMM222" s="18"/>
      <c r="BMN222" s="18"/>
      <c r="BMO222" s="18"/>
      <c r="BMP222" s="18"/>
      <c r="BMQ222" s="18"/>
      <c r="BMR222" s="18"/>
      <c r="BMS222" s="18"/>
      <c r="BMT222" s="18"/>
      <c r="BMU222" s="18"/>
      <c r="BMV222" s="18"/>
      <c r="BMW222" s="18"/>
      <c r="BMX222" s="18"/>
      <c r="BMY222" s="18"/>
      <c r="BMZ222" s="18"/>
      <c r="BNA222" s="18"/>
      <c r="BNB222" s="18"/>
      <c r="BNC222" s="18"/>
      <c r="BND222" s="18"/>
      <c r="BNE222" s="18"/>
      <c r="BNF222" s="18"/>
      <c r="BNG222" s="18"/>
      <c r="BNH222" s="18"/>
      <c r="BNI222" s="18"/>
      <c r="BNJ222" s="18"/>
      <c r="BNK222" s="18"/>
      <c r="BNL222" s="18"/>
      <c r="BNM222" s="18"/>
      <c r="BNN222" s="18"/>
      <c r="BNO222" s="18"/>
      <c r="BNP222" s="18"/>
      <c r="BNQ222" s="18"/>
      <c r="BNR222" s="18"/>
      <c r="BNS222" s="18"/>
      <c r="BNT222" s="18"/>
      <c r="BNU222" s="18"/>
      <c r="BNV222" s="18"/>
      <c r="BNW222" s="18"/>
      <c r="BNX222" s="18"/>
      <c r="BNY222" s="18"/>
      <c r="BNZ222" s="18"/>
      <c r="BOA222" s="18"/>
      <c r="BOB222" s="18"/>
      <c r="BOC222" s="18"/>
      <c r="BOD222" s="18"/>
      <c r="BOE222" s="18"/>
      <c r="BOF222" s="18"/>
      <c r="BOG222" s="18"/>
      <c r="BOH222" s="18"/>
      <c r="BOI222" s="18"/>
      <c r="BOJ222" s="18"/>
      <c r="BOK222" s="18"/>
      <c r="BOL222" s="18"/>
      <c r="BOM222" s="18"/>
      <c r="BON222" s="18"/>
      <c r="BOO222" s="18"/>
      <c r="BOP222" s="18"/>
      <c r="BOQ222" s="18"/>
      <c r="BOR222" s="18"/>
      <c r="BOS222" s="18"/>
      <c r="BOT222" s="18"/>
      <c r="BOU222" s="18"/>
      <c r="BOV222" s="18"/>
      <c r="BOW222" s="18"/>
      <c r="BOX222" s="18"/>
      <c r="BOY222" s="18"/>
      <c r="BOZ222" s="18"/>
      <c r="BPA222" s="18"/>
      <c r="BPB222" s="18"/>
      <c r="BPC222" s="18"/>
      <c r="BPD222" s="18"/>
      <c r="BPE222" s="18"/>
      <c r="BPF222" s="18"/>
      <c r="BPG222" s="18"/>
      <c r="BPH222" s="18"/>
      <c r="BPI222" s="18"/>
      <c r="BPJ222" s="18"/>
      <c r="BPK222" s="18"/>
      <c r="BPL222" s="18"/>
      <c r="BPM222" s="18"/>
      <c r="BPN222" s="18"/>
      <c r="BPO222" s="18"/>
      <c r="BPP222" s="18"/>
      <c r="BPQ222" s="18"/>
      <c r="BPR222" s="18"/>
      <c r="BPS222" s="18"/>
      <c r="BPT222" s="18"/>
      <c r="BPU222" s="18"/>
      <c r="BPV222" s="18"/>
      <c r="BPW222" s="18"/>
      <c r="BPX222" s="18"/>
      <c r="BPY222" s="18"/>
      <c r="BPZ222" s="18"/>
      <c r="BQA222" s="18"/>
      <c r="BQB222" s="18"/>
      <c r="BQC222" s="18"/>
      <c r="BQD222" s="18"/>
      <c r="BQE222" s="18"/>
      <c r="BQF222" s="18"/>
      <c r="BQG222" s="18"/>
      <c r="BQH222" s="18"/>
      <c r="BQI222" s="18"/>
      <c r="BQJ222" s="18"/>
      <c r="BQK222" s="18"/>
      <c r="BQL222" s="18"/>
      <c r="BQM222" s="18"/>
      <c r="BQN222" s="18"/>
      <c r="BQO222" s="18"/>
      <c r="BQP222" s="18"/>
      <c r="BQQ222" s="18"/>
      <c r="BQR222" s="18"/>
      <c r="BQS222" s="18"/>
      <c r="BQT222" s="18"/>
      <c r="BQU222" s="18"/>
      <c r="BQV222" s="18"/>
      <c r="BQW222" s="18"/>
      <c r="BQX222" s="18"/>
      <c r="BQY222" s="18"/>
      <c r="BQZ222" s="18"/>
      <c r="BRA222" s="18"/>
      <c r="BRB222" s="18"/>
      <c r="BRC222" s="18"/>
      <c r="BRD222" s="18"/>
      <c r="BRE222" s="18"/>
      <c r="BRF222" s="18"/>
      <c r="BRG222" s="18"/>
      <c r="BRH222" s="18"/>
      <c r="BRI222" s="18"/>
      <c r="BRJ222" s="18"/>
      <c r="BRK222" s="18"/>
      <c r="BRL222" s="18"/>
      <c r="BRM222" s="18"/>
      <c r="BRN222" s="18"/>
      <c r="BRO222" s="18"/>
      <c r="BRP222" s="18"/>
      <c r="BRQ222" s="18"/>
      <c r="BRR222" s="18"/>
      <c r="BRS222" s="18"/>
      <c r="BRT222" s="18"/>
      <c r="BRU222" s="18"/>
      <c r="BRV222" s="18"/>
      <c r="BRW222" s="18"/>
      <c r="BRX222" s="18"/>
      <c r="BRY222" s="18"/>
      <c r="BRZ222" s="18"/>
      <c r="BSA222" s="18"/>
      <c r="BSB222" s="18"/>
      <c r="BSC222" s="18"/>
      <c r="BSD222" s="18"/>
      <c r="BSE222" s="18"/>
      <c r="BSF222" s="18"/>
      <c r="BSG222" s="18"/>
      <c r="BSH222" s="18"/>
      <c r="BSI222" s="18"/>
      <c r="BSJ222" s="18"/>
      <c r="BSK222" s="18"/>
      <c r="BSL222" s="18"/>
      <c r="BSM222" s="18"/>
      <c r="BSN222" s="18"/>
      <c r="BSO222" s="18"/>
      <c r="BSP222" s="18"/>
      <c r="BSQ222" s="18"/>
      <c r="BSR222" s="18"/>
      <c r="BSS222" s="18"/>
      <c r="BST222" s="18"/>
      <c r="BSU222" s="18"/>
      <c r="BSV222" s="18"/>
      <c r="BSW222" s="18"/>
      <c r="BSX222" s="18"/>
      <c r="BSY222" s="18"/>
      <c r="BSZ222" s="18"/>
      <c r="BTA222" s="18"/>
      <c r="BTB222" s="18"/>
      <c r="BTC222" s="18"/>
      <c r="BTD222" s="18"/>
      <c r="BTE222" s="18"/>
      <c r="BTF222" s="18"/>
      <c r="BTG222" s="18"/>
      <c r="BTH222" s="18"/>
      <c r="BTI222" s="18"/>
    </row>
    <row r="223" spans="1:1881" s="426" customFormat="1" ht="110.25" customHeight="1" x14ac:dyDescent="0.3">
      <c r="A223" s="100">
        <v>622</v>
      </c>
      <c r="B223" s="427" t="s">
        <v>324</v>
      </c>
      <c r="C223" s="117" t="s">
        <v>352</v>
      </c>
      <c r="D223" s="116" t="s">
        <v>658</v>
      </c>
      <c r="E223" s="371" t="e">
        <f>INDEX('PY1 Data(H)'!$A$1:$CZ$265,MATCH('Unit Data from Audit Worksheet'!$A223,'PY1 Data(H)'!$A$1:$A$258,0),MATCH('Unit Data from Audit Worksheet'!$D$2,'PY1 Data(H)'!$A$1:$CZ$1,0))</f>
        <v>#N/A</v>
      </c>
      <c r="F223" s="804">
        <v>0</v>
      </c>
      <c r="G223" s="401"/>
      <c r="H223" s="17"/>
      <c r="I223" s="17"/>
      <c r="J223" s="424"/>
      <c r="K223"/>
      <c r="L223" s="547"/>
      <c r="M223"/>
      <c r="N223" s="18"/>
      <c r="O223" s="186"/>
      <c r="P223" s="18"/>
      <c r="Q223" s="18"/>
      <c r="R223" s="18"/>
      <c r="S223" s="18"/>
      <c r="T223" s="18"/>
      <c r="U223" s="18"/>
      <c r="V223" s="18"/>
      <c r="W223" s="18"/>
      <c r="X223" s="18"/>
      <c r="Y223" s="18"/>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c r="IS223" s="18"/>
      <c r="IT223" s="18"/>
      <c r="IU223" s="18"/>
      <c r="IV223" s="18"/>
      <c r="IW223" s="18"/>
      <c r="IX223" s="18"/>
      <c r="IY223" s="18"/>
      <c r="IZ223" s="18"/>
      <c r="JA223" s="18"/>
      <c r="JB223" s="18"/>
      <c r="JC223" s="18"/>
      <c r="JD223" s="18"/>
      <c r="JE223" s="18"/>
      <c r="JF223" s="18"/>
      <c r="JG223" s="18"/>
      <c r="JH223" s="18"/>
      <c r="JI223" s="18"/>
      <c r="JJ223" s="18"/>
      <c r="JK223" s="18"/>
      <c r="JL223" s="18"/>
      <c r="JM223" s="18"/>
      <c r="JN223" s="18"/>
      <c r="JO223" s="18"/>
      <c r="JP223" s="18"/>
      <c r="JQ223" s="18"/>
      <c r="JR223" s="18"/>
      <c r="JS223" s="18"/>
      <c r="JT223" s="18"/>
      <c r="JU223" s="18"/>
      <c r="JV223" s="18"/>
      <c r="JW223" s="18"/>
      <c r="JX223" s="18"/>
      <c r="JY223" s="18"/>
      <c r="JZ223" s="18"/>
      <c r="KA223" s="18"/>
      <c r="KB223" s="18"/>
      <c r="KC223" s="18"/>
      <c r="KD223" s="18"/>
      <c r="KE223" s="18"/>
      <c r="KF223" s="18"/>
      <c r="KG223" s="18"/>
      <c r="KH223" s="18"/>
      <c r="KI223" s="18"/>
      <c r="KJ223" s="18"/>
      <c r="KK223" s="18"/>
      <c r="KL223" s="18"/>
      <c r="KM223" s="18"/>
      <c r="KN223" s="18"/>
      <c r="KO223" s="18"/>
      <c r="KP223" s="18"/>
      <c r="KQ223" s="18"/>
      <c r="KR223" s="18"/>
      <c r="KS223" s="18"/>
      <c r="KT223" s="18"/>
      <c r="KU223" s="18"/>
      <c r="KV223" s="18"/>
      <c r="KW223" s="18"/>
      <c r="KX223" s="18"/>
      <c r="KY223" s="18"/>
      <c r="KZ223" s="18"/>
      <c r="LA223" s="18"/>
      <c r="LB223" s="18"/>
      <c r="LC223" s="18"/>
      <c r="LD223" s="18"/>
      <c r="LE223" s="18"/>
      <c r="LF223" s="18"/>
      <c r="LG223" s="18"/>
      <c r="LH223" s="18"/>
      <c r="LI223" s="18"/>
      <c r="LJ223" s="18"/>
      <c r="LK223" s="18"/>
      <c r="LL223" s="18"/>
      <c r="LM223" s="18"/>
      <c r="LN223" s="18"/>
      <c r="LO223" s="18"/>
      <c r="LP223" s="18"/>
      <c r="LQ223" s="18"/>
      <c r="LR223" s="18"/>
      <c r="LS223" s="18"/>
      <c r="LT223" s="18"/>
      <c r="LU223" s="18"/>
      <c r="LV223" s="18"/>
      <c r="LW223" s="18"/>
      <c r="LX223" s="18"/>
      <c r="LY223" s="18"/>
      <c r="LZ223" s="18"/>
      <c r="MA223" s="18"/>
      <c r="MB223" s="18"/>
      <c r="MC223" s="18"/>
      <c r="MD223" s="18"/>
      <c r="ME223" s="18"/>
      <c r="MF223" s="18"/>
      <c r="MG223" s="18"/>
      <c r="MH223" s="18"/>
      <c r="MI223" s="18"/>
      <c r="MJ223" s="18"/>
      <c r="MK223" s="18"/>
      <c r="ML223" s="18"/>
      <c r="MM223" s="18"/>
      <c r="MN223" s="18"/>
      <c r="MO223" s="18"/>
      <c r="MP223" s="18"/>
      <c r="MQ223" s="18"/>
      <c r="MR223" s="18"/>
      <c r="MS223" s="18"/>
      <c r="MT223" s="18"/>
      <c r="MU223" s="18"/>
      <c r="MV223" s="18"/>
      <c r="MW223" s="18"/>
      <c r="MX223" s="18"/>
      <c r="MY223" s="18"/>
      <c r="MZ223" s="18"/>
      <c r="NA223" s="18"/>
      <c r="NB223" s="18"/>
      <c r="NC223" s="18"/>
      <c r="ND223" s="18"/>
      <c r="NE223" s="18"/>
      <c r="NF223" s="18"/>
      <c r="NG223" s="18"/>
      <c r="NH223" s="18"/>
      <c r="NI223" s="18"/>
      <c r="NJ223" s="18"/>
      <c r="NK223" s="18"/>
      <c r="NL223" s="18"/>
      <c r="NM223" s="18"/>
      <c r="NN223" s="18"/>
      <c r="NO223" s="18"/>
      <c r="NP223" s="18"/>
      <c r="NQ223" s="18"/>
      <c r="NR223" s="18"/>
      <c r="NS223" s="18"/>
      <c r="NT223" s="18"/>
      <c r="NU223" s="18"/>
      <c r="NV223" s="18"/>
      <c r="NW223" s="18"/>
      <c r="NX223" s="18"/>
      <c r="NY223" s="18"/>
      <c r="NZ223" s="18"/>
      <c r="OA223" s="18"/>
      <c r="OB223" s="18"/>
      <c r="OC223" s="18"/>
      <c r="OD223" s="18"/>
      <c r="OE223" s="18"/>
      <c r="OF223" s="18"/>
      <c r="OG223" s="18"/>
      <c r="OH223" s="18"/>
      <c r="OI223" s="18"/>
      <c r="OJ223" s="18"/>
      <c r="OK223" s="18"/>
      <c r="OL223" s="18"/>
      <c r="OM223" s="18"/>
      <c r="ON223" s="18"/>
      <c r="OO223" s="18"/>
      <c r="OP223" s="18"/>
      <c r="OQ223" s="18"/>
      <c r="OR223" s="18"/>
      <c r="OS223" s="18"/>
      <c r="OT223" s="18"/>
      <c r="OU223" s="18"/>
      <c r="OV223" s="18"/>
      <c r="OW223" s="18"/>
      <c r="OX223" s="18"/>
      <c r="OY223" s="18"/>
      <c r="OZ223" s="18"/>
      <c r="PA223" s="18"/>
      <c r="PB223" s="18"/>
      <c r="PC223" s="18"/>
      <c r="PD223" s="18"/>
      <c r="PE223" s="18"/>
      <c r="PF223" s="18"/>
      <c r="PG223" s="18"/>
      <c r="PH223" s="18"/>
      <c r="PI223" s="18"/>
      <c r="PJ223" s="18"/>
      <c r="PK223" s="18"/>
      <c r="PL223" s="18"/>
      <c r="PM223" s="18"/>
      <c r="PN223" s="18"/>
      <c r="PO223" s="18"/>
      <c r="PP223" s="18"/>
      <c r="PQ223" s="18"/>
      <c r="PR223" s="18"/>
      <c r="PS223" s="18"/>
      <c r="PT223" s="18"/>
      <c r="PU223" s="18"/>
      <c r="PV223" s="18"/>
      <c r="PW223" s="18"/>
      <c r="PX223" s="18"/>
      <c r="PY223" s="18"/>
      <c r="PZ223" s="18"/>
      <c r="QA223" s="18"/>
      <c r="QB223" s="18"/>
      <c r="QC223" s="18"/>
      <c r="QD223" s="18"/>
      <c r="QE223" s="18"/>
      <c r="QF223" s="18"/>
      <c r="QG223" s="18"/>
      <c r="QH223" s="18"/>
      <c r="QI223" s="18"/>
      <c r="QJ223" s="18"/>
      <c r="QK223" s="18"/>
      <c r="QL223" s="18"/>
      <c r="QM223" s="18"/>
      <c r="QN223" s="18"/>
      <c r="QO223" s="18"/>
      <c r="QP223" s="18"/>
      <c r="QQ223" s="18"/>
      <c r="QR223" s="18"/>
      <c r="QS223" s="18"/>
      <c r="QT223" s="18"/>
      <c r="QU223" s="18"/>
      <c r="QV223" s="18"/>
      <c r="QW223" s="18"/>
      <c r="QX223" s="18"/>
      <c r="QY223" s="18"/>
      <c r="QZ223" s="18"/>
      <c r="RA223" s="18"/>
      <c r="RB223" s="18"/>
      <c r="RC223" s="18"/>
      <c r="RD223" s="18"/>
      <c r="RE223" s="18"/>
      <c r="RF223" s="18"/>
      <c r="RG223" s="18"/>
      <c r="RH223" s="18"/>
      <c r="RI223" s="18"/>
      <c r="RJ223" s="18"/>
      <c r="RK223" s="18"/>
      <c r="RL223" s="18"/>
      <c r="RM223" s="18"/>
      <c r="RN223" s="18"/>
      <c r="RO223" s="18"/>
      <c r="RP223" s="18"/>
      <c r="RQ223" s="18"/>
      <c r="RR223" s="18"/>
      <c r="RS223" s="18"/>
      <c r="RT223" s="18"/>
      <c r="RU223" s="18"/>
      <c r="RV223" s="18"/>
      <c r="RW223" s="18"/>
      <c r="RX223" s="18"/>
      <c r="RY223" s="18"/>
      <c r="RZ223" s="18"/>
      <c r="SA223" s="18"/>
      <c r="SB223" s="18"/>
      <c r="SC223" s="18"/>
      <c r="SD223" s="18"/>
      <c r="SE223" s="18"/>
      <c r="SF223" s="18"/>
      <c r="SG223" s="18"/>
      <c r="SH223" s="18"/>
      <c r="SI223" s="18"/>
      <c r="SJ223" s="18"/>
      <c r="SK223" s="18"/>
      <c r="SL223" s="18"/>
      <c r="SM223" s="18"/>
      <c r="SN223" s="18"/>
      <c r="SO223" s="18"/>
      <c r="SP223" s="18"/>
      <c r="SQ223" s="18"/>
      <c r="SR223" s="18"/>
      <c r="SS223" s="18"/>
      <c r="ST223" s="18"/>
      <c r="SU223" s="18"/>
      <c r="SV223" s="18"/>
      <c r="SW223" s="18"/>
      <c r="SX223" s="18"/>
      <c r="SY223" s="18"/>
      <c r="SZ223" s="18"/>
      <c r="TA223" s="18"/>
      <c r="TB223" s="18"/>
      <c r="TC223" s="18"/>
      <c r="TD223" s="18"/>
      <c r="TE223" s="18"/>
      <c r="TF223" s="18"/>
      <c r="TG223" s="18"/>
      <c r="TH223" s="18"/>
      <c r="TI223" s="18"/>
      <c r="TJ223" s="18"/>
      <c r="TK223" s="18"/>
      <c r="TL223" s="18"/>
      <c r="TM223" s="18"/>
      <c r="TN223" s="18"/>
      <c r="TO223" s="18"/>
      <c r="TP223" s="18"/>
      <c r="TQ223" s="18"/>
      <c r="TR223" s="18"/>
      <c r="TS223" s="18"/>
      <c r="TT223" s="18"/>
      <c r="TU223" s="18"/>
      <c r="TV223" s="18"/>
      <c r="TW223" s="18"/>
      <c r="TX223" s="18"/>
      <c r="TY223" s="18"/>
      <c r="TZ223" s="18"/>
      <c r="UA223" s="18"/>
      <c r="UB223" s="18"/>
      <c r="UC223" s="18"/>
      <c r="UD223" s="18"/>
      <c r="UE223" s="18"/>
      <c r="UF223" s="18"/>
      <c r="UG223" s="18"/>
      <c r="UH223" s="18"/>
      <c r="UI223" s="18"/>
      <c r="UJ223" s="18"/>
      <c r="UK223" s="18"/>
      <c r="UL223" s="18"/>
      <c r="UM223" s="18"/>
      <c r="UN223" s="18"/>
      <c r="UO223" s="18"/>
      <c r="UP223" s="18"/>
      <c r="UQ223" s="18"/>
      <c r="UR223" s="18"/>
      <c r="US223" s="18"/>
      <c r="UT223" s="18"/>
      <c r="UU223" s="18"/>
      <c r="UV223" s="18"/>
      <c r="UW223" s="18"/>
      <c r="UX223" s="18"/>
      <c r="UY223" s="18"/>
      <c r="UZ223" s="18"/>
      <c r="VA223" s="18"/>
      <c r="VB223" s="18"/>
      <c r="VC223" s="18"/>
      <c r="VD223" s="18"/>
      <c r="VE223" s="18"/>
      <c r="VF223" s="18"/>
      <c r="VG223" s="18"/>
      <c r="VH223" s="18"/>
      <c r="VI223" s="18"/>
      <c r="VJ223" s="18"/>
      <c r="VK223" s="18"/>
      <c r="VL223" s="18"/>
      <c r="VM223" s="18"/>
      <c r="VN223" s="18"/>
      <c r="VO223" s="18"/>
      <c r="VP223" s="18"/>
      <c r="VQ223" s="18"/>
      <c r="VR223" s="18"/>
      <c r="VS223" s="18"/>
      <c r="VT223" s="18"/>
      <c r="VU223" s="18"/>
      <c r="VV223" s="18"/>
      <c r="VW223" s="18"/>
      <c r="VX223" s="18"/>
      <c r="VY223" s="18"/>
      <c r="VZ223" s="18"/>
      <c r="WA223" s="18"/>
      <c r="WB223" s="18"/>
      <c r="WC223" s="18"/>
      <c r="WD223" s="18"/>
      <c r="WE223" s="18"/>
      <c r="WF223" s="18"/>
      <c r="WG223" s="18"/>
      <c r="WH223" s="18"/>
      <c r="WI223" s="18"/>
      <c r="WJ223" s="18"/>
      <c r="WK223" s="18"/>
      <c r="WL223" s="18"/>
      <c r="WM223" s="18"/>
      <c r="WN223" s="18"/>
      <c r="WO223" s="18"/>
      <c r="WP223" s="18"/>
      <c r="WQ223" s="18"/>
      <c r="WR223" s="18"/>
      <c r="WS223" s="18"/>
      <c r="WT223" s="18"/>
      <c r="WU223" s="18"/>
      <c r="WV223" s="18"/>
      <c r="WW223" s="18"/>
      <c r="WX223" s="18"/>
      <c r="WY223" s="18"/>
      <c r="WZ223" s="18"/>
      <c r="XA223" s="18"/>
      <c r="XB223" s="18"/>
      <c r="XC223" s="18"/>
      <c r="XD223" s="18"/>
      <c r="XE223" s="18"/>
      <c r="XF223" s="18"/>
      <c r="XG223" s="18"/>
      <c r="XH223" s="18"/>
      <c r="XI223" s="18"/>
      <c r="XJ223" s="18"/>
      <c r="XK223" s="18"/>
      <c r="XL223" s="18"/>
      <c r="XM223" s="18"/>
      <c r="XN223" s="18"/>
      <c r="XO223" s="18"/>
      <c r="XP223" s="18"/>
      <c r="XQ223" s="18"/>
      <c r="XR223" s="18"/>
      <c r="XS223" s="18"/>
      <c r="XT223" s="18"/>
      <c r="XU223" s="18"/>
      <c r="XV223" s="18"/>
      <c r="XW223" s="18"/>
      <c r="XX223" s="18"/>
      <c r="XY223" s="18"/>
      <c r="XZ223" s="18"/>
      <c r="YA223" s="18"/>
      <c r="YB223" s="18"/>
      <c r="YC223" s="18"/>
      <c r="YD223" s="18"/>
      <c r="YE223" s="18"/>
      <c r="YF223" s="18"/>
      <c r="YG223" s="18"/>
      <c r="YH223" s="18"/>
      <c r="YI223" s="18"/>
      <c r="YJ223" s="18"/>
      <c r="YK223" s="18"/>
      <c r="YL223" s="18"/>
      <c r="YM223" s="18"/>
      <c r="YN223" s="18"/>
      <c r="YO223" s="18"/>
      <c r="YP223" s="18"/>
      <c r="YQ223" s="18"/>
      <c r="YR223" s="18"/>
      <c r="YS223" s="18"/>
      <c r="YT223" s="18"/>
      <c r="YU223" s="18"/>
      <c r="YV223" s="18"/>
      <c r="YW223" s="18"/>
      <c r="YX223" s="18"/>
      <c r="YY223" s="18"/>
      <c r="YZ223" s="18"/>
      <c r="ZA223" s="18"/>
      <c r="ZB223" s="18"/>
      <c r="ZC223" s="18"/>
      <c r="ZD223" s="18"/>
      <c r="ZE223" s="18"/>
      <c r="ZF223" s="18"/>
      <c r="ZG223" s="18"/>
      <c r="ZH223" s="18"/>
      <c r="ZI223" s="18"/>
      <c r="ZJ223" s="18"/>
      <c r="ZK223" s="18"/>
      <c r="ZL223" s="18"/>
      <c r="ZM223" s="18"/>
      <c r="ZN223" s="18"/>
      <c r="ZO223" s="18"/>
      <c r="ZP223" s="18"/>
      <c r="ZQ223" s="18"/>
      <c r="ZR223" s="18"/>
      <c r="ZS223" s="18"/>
      <c r="ZT223" s="18"/>
      <c r="ZU223" s="18"/>
      <c r="ZV223" s="18"/>
      <c r="ZW223" s="18"/>
      <c r="ZX223" s="18"/>
      <c r="ZY223" s="18"/>
      <c r="ZZ223" s="18"/>
      <c r="AAA223" s="18"/>
      <c r="AAB223" s="18"/>
      <c r="AAC223" s="18"/>
      <c r="AAD223" s="18"/>
      <c r="AAE223" s="18"/>
      <c r="AAF223" s="18"/>
      <c r="AAG223" s="18"/>
      <c r="AAH223" s="18"/>
      <c r="AAI223" s="18"/>
      <c r="AAJ223" s="18"/>
      <c r="AAK223" s="18"/>
      <c r="AAL223" s="18"/>
      <c r="AAM223" s="18"/>
      <c r="AAN223" s="18"/>
      <c r="AAO223" s="18"/>
      <c r="AAP223" s="18"/>
      <c r="AAQ223" s="18"/>
      <c r="AAR223" s="18"/>
      <c r="AAS223" s="18"/>
      <c r="AAT223" s="18"/>
      <c r="AAU223" s="18"/>
      <c r="AAV223" s="18"/>
      <c r="AAW223" s="18"/>
      <c r="AAX223" s="18"/>
      <c r="AAY223" s="18"/>
      <c r="AAZ223" s="18"/>
      <c r="ABA223" s="18"/>
      <c r="ABB223" s="18"/>
      <c r="ABC223" s="18"/>
      <c r="ABD223" s="18"/>
      <c r="ABE223" s="18"/>
      <c r="ABF223" s="18"/>
      <c r="ABG223" s="18"/>
      <c r="ABH223" s="18"/>
      <c r="ABI223" s="18"/>
      <c r="ABJ223" s="18"/>
      <c r="ABK223" s="18"/>
      <c r="ABL223" s="18"/>
      <c r="ABM223" s="18"/>
      <c r="ABN223" s="18"/>
      <c r="ABO223" s="18"/>
      <c r="ABP223" s="18"/>
      <c r="ABQ223" s="18"/>
      <c r="ABR223" s="18"/>
      <c r="ABS223" s="18"/>
      <c r="ABT223" s="18"/>
      <c r="ABU223" s="18"/>
      <c r="ABV223" s="18"/>
      <c r="ABW223" s="18"/>
      <c r="ABX223" s="18"/>
      <c r="ABY223" s="18"/>
      <c r="ABZ223" s="18"/>
      <c r="ACA223" s="18"/>
      <c r="ACB223" s="18"/>
      <c r="ACC223" s="18"/>
      <c r="ACD223" s="18"/>
      <c r="ACE223" s="18"/>
      <c r="ACF223" s="18"/>
      <c r="ACG223" s="18"/>
      <c r="ACH223" s="18"/>
      <c r="ACI223" s="18"/>
      <c r="ACJ223" s="18"/>
      <c r="ACK223" s="18"/>
      <c r="ACL223" s="18"/>
      <c r="ACM223" s="18"/>
      <c r="ACN223" s="18"/>
      <c r="ACO223" s="18"/>
      <c r="ACP223" s="18"/>
      <c r="ACQ223" s="18"/>
      <c r="ACR223" s="18"/>
      <c r="ACS223" s="18"/>
      <c r="ACT223" s="18"/>
      <c r="ACU223" s="18"/>
      <c r="ACV223" s="18"/>
      <c r="ACW223" s="18"/>
      <c r="ACX223" s="18"/>
      <c r="ACY223" s="18"/>
      <c r="ACZ223" s="18"/>
      <c r="ADA223" s="18"/>
      <c r="ADB223" s="18"/>
      <c r="ADC223" s="18"/>
      <c r="ADD223" s="18"/>
      <c r="ADE223" s="18"/>
      <c r="ADF223" s="18"/>
      <c r="ADG223" s="18"/>
      <c r="ADH223" s="18"/>
      <c r="ADI223" s="18"/>
      <c r="ADJ223" s="18"/>
      <c r="ADK223" s="18"/>
      <c r="ADL223" s="18"/>
      <c r="ADM223" s="18"/>
      <c r="ADN223" s="18"/>
      <c r="ADO223" s="18"/>
      <c r="ADP223" s="18"/>
      <c r="ADQ223" s="18"/>
      <c r="ADR223" s="18"/>
      <c r="ADS223" s="18"/>
      <c r="ADT223" s="18"/>
      <c r="ADU223" s="18"/>
      <c r="ADV223" s="18"/>
      <c r="ADW223" s="18"/>
      <c r="ADX223" s="18"/>
      <c r="ADY223" s="18"/>
      <c r="ADZ223" s="18"/>
      <c r="AEA223" s="18"/>
      <c r="AEB223" s="18"/>
      <c r="AEC223" s="18"/>
      <c r="AED223" s="18"/>
      <c r="AEE223" s="18"/>
      <c r="AEF223" s="18"/>
      <c r="AEG223" s="18"/>
      <c r="AEH223" s="18"/>
      <c r="AEI223" s="18"/>
      <c r="AEJ223" s="18"/>
      <c r="AEK223" s="18"/>
      <c r="AEL223" s="18"/>
      <c r="AEM223" s="18"/>
      <c r="AEN223" s="18"/>
      <c r="AEO223" s="18"/>
      <c r="AEP223" s="18"/>
      <c r="AEQ223" s="18"/>
      <c r="AER223" s="18"/>
      <c r="AES223" s="18"/>
      <c r="AET223" s="18"/>
      <c r="AEU223" s="18"/>
      <c r="AEV223" s="18"/>
      <c r="AEW223" s="18"/>
      <c r="AEX223" s="18"/>
      <c r="AEY223" s="18"/>
      <c r="AEZ223" s="18"/>
      <c r="AFA223" s="18"/>
      <c r="AFB223" s="18"/>
      <c r="AFC223" s="18"/>
      <c r="AFD223" s="18"/>
      <c r="AFE223" s="18"/>
      <c r="AFF223" s="18"/>
      <c r="AFG223" s="18"/>
      <c r="AFH223" s="18"/>
      <c r="AFI223" s="18"/>
      <c r="AFJ223" s="18"/>
      <c r="AFK223" s="18"/>
      <c r="AFL223" s="18"/>
      <c r="AFM223" s="18"/>
      <c r="AFN223" s="18"/>
      <c r="AFO223" s="18"/>
      <c r="AFP223" s="18"/>
      <c r="AFQ223" s="18"/>
      <c r="AFR223" s="18"/>
      <c r="AFS223" s="18"/>
      <c r="AFT223" s="18"/>
      <c r="AFU223" s="18"/>
      <c r="AFV223" s="18"/>
      <c r="AFW223" s="18"/>
      <c r="AFX223" s="18"/>
      <c r="AFY223" s="18"/>
      <c r="AFZ223" s="18"/>
      <c r="AGA223" s="18"/>
      <c r="AGB223" s="18"/>
      <c r="AGC223" s="18"/>
      <c r="AGD223" s="18"/>
      <c r="AGE223" s="18"/>
      <c r="AGF223" s="18"/>
      <c r="AGG223" s="18"/>
      <c r="AGH223" s="18"/>
      <c r="AGI223" s="18"/>
      <c r="AGJ223" s="18"/>
      <c r="AGK223" s="18"/>
      <c r="AGL223" s="18"/>
      <c r="AGM223" s="18"/>
      <c r="AGN223" s="18"/>
      <c r="AGO223" s="18"/>
      <c r="AGP223" s="18"/>
      <c r="AGQ223" s="18"/>
      <c r="AGR223" s="18"/>
      <c r="AGS223" s="18"/>
      <c r="AGT223" s="18"/>
      <c r="AGU223" s="18"/>
      <c r="AGV223" s="18"/>
      <c r="AGW223" s="18"/>
      <c r="AGX223" s="18"/>
      <c r="AGY223" s="18"/>
      <c r="AGZ223" s="18"/>
      <c r="AHA223" s="18"/>
      <c r="AHB223" s="18"/>
      <c r="AHC223" s="18"/>
      <c r="AHD223" s="18"/>
      <c r="AHE223" s="18"/>
      <c r="AHF223" s="18"/>
      <c r="AHG223" s="18"/>
      <c r="AHH223" s="18"/>
      <c r="AHI223" s="18"/>
      <c r="AHJ223" s="18"/>
      <c r="AHK223" s="18"/>
      <c r="AHL223" s="18"/>
      <c r="AHM223" s="18"/>
      <c r="AHN223" s="18"/>
      <c r="AHO223" s="18"/>
      <c r="AHP223" s="18"/>
      <c r="AHQ223" s="18"/>
      <c r="AHR223" s="18"/>
      <c r="AHS223" s="18"/>
      <c r="AHT223" s="18"/>
      <c r="AHU223" s="18"/>
      <c r="AHV223" s="18"/>
      <c r="AHW223" s="18"/>
      <c r="AHX223" s="18"/>
      <c r="AHY223" s="18"/>
      <c r="AHZ223" s="18"/>
      <c r="AIA223" s="18"/>
      <c r="AIB223" s="18"/>
      <c r="AIC223" s="18"/>
      <c r="AID223" s="18"/>
      <c r="AIE223" s="18"/>
      <c r="AIF223" s="18"/>
      <c r="AIG223" s="18"/>
      <c r="AIH223" s="18"/>
      <c r="AII223" s="18"/>
      <c r="AIJ223" s="18"/>
      <c r="AIK223" s="18"/>
      <c r="AIL223" s="18"/>
      <c r="AIM223" s="18"/>
      <c r="AIN223" s="18"/>
      <c r="AIO223" s="18"/>
      <c r="AIP223" s="18"/>
      <c r="AIQ223" s="18"/>
      <c r="AIR223" s="18"/>
      <c r="AIS223" s="18"/>
      <c r="AIT223" s="18"/>
      <c r="AIU223" s="18"/>
      <c r="AIV223" s="18"/>
      <c r="AIW223" s="18"/>
      <c r="AIX223" s="18"/>
      <c r="AIY223" s="18"/>
      <c r="AIZ223" s="18"/>
      <c r="AJA223" s="18"/>
      <c r="AJB223" s="18"/>
      <c r="AJC223" s="18"/>
      <c r="AJD223" s="18"/>
      <c r="AJE223" s="18"/>
      <c r="AJF223" s="18"/>
      <c r="AJG223" s="18"/>
      <c r="AJH223" s="18"/>
      <c r="AJI223" s="18"/>
      <c r="AJJ223" s="18"/>
      <c r="AJK223" s="18"/>
      <c r="AJL223" s="18"/>
      <c r="AJM223" s="18"/>
      <c r="AJN223" s="18"/>
      <c r="AJO223" s="18"/>
      <c r="AJP223" s="18"/>
      <c r="AJQ223" s="18"/>
      <c r="AJR223" s="18"/>
      <c r="AJS223" s="18"/>
      <c r="AJT223" s="18"/>
      <c r="AJU223" s="18"/>
      <c r="AJV223" s="18"/>
      <c r="AJW223" s="18"/>
      <c r="AJX223" s="18"/>
      <c r="AJY223" s="18"/>
      <c r="AJZ223" s="18"/>
      <c r="AKA223" s="18"/>
      <c r="AKB223" s="18"/>
      <c r="AKC223" s="18"/>
      <c r="AKD223" s="18"/>
      <c r="AKE223" s="18"/>
      <c r="AKF223" s="18"/>
      <c r="AKG223" s="18"/>
      <c r="AKH223" s="18"/>
      <c r="AKI223" s="18"/>
      <c r="AKJ223" s="18"/>
      <c r="AKK223" s="18"/>
      <c r="AKL223" s="18"/>
      <c r="AKM223" s="18"/>
      <c r="AKN223" s="18"/>
      <c r="AKO223" s="18"/>
      <c r="AKP223" s="18"/>
      <c r="AKQ223" s="18"/>
      <c r="AKR223" s="18"/>
      <c r="AKS223" s="18"/>
      <c r="AKT223" s="18"/>
      <c r="AKU223" s="18"/>
      <c r="AKV223" s="18"/>
      <c r="AKW223" s="18"/>
      <c r="AKX223" s="18"/>
      <c r="AKY223" s="18"/>
      <c r="AKZ223" s="18"/>
      <c r="ALA223" s="18"/>
      <c r="ALB223" s="18"/>
      <c r="ALC223" s="18"/>
      <c r="ALD223" s="18"/>
      <c r="ALE223" s="18"/>
      <c r="ALF223" s="18"/>
      <c r="ALG223" s="18"/>
      <c r="ALH223" s="18"/>
      <c r="ALI223" s="18"/>
      <c r="ALJ223" s="18"/>
      <c r="ALK223" s="18"/>
      <c r="ALL223" s="18"/>
      <c r="ALM223" s="18"/>
      <c r="ALN223" s="18"/>
      <c r="ALO223" s="18"/>
      <c r="ALP223" s="18"/>
      <c r="ALQ223" s="18"/>
      <c r="ALR223" s="18"/>
      <c r="ALS223" s="18"/>
      <c r="ALT223" s="18"/>
      <c r="ALU223" s="18"/>
      <c r="ALV223" s="18"/>
      <c r="ALW223" s="18"/>
      <c r="ALX223" s="18"/>
      <c r="ALY223" s="18"/>
      <c r="ALZ223" s="18"/>
      <c r="AMA223" s="18"/>
      <c r="AMB223" s="18"/>
      <c r="AMC223" s="18"/>
      <c r="AMD223" s="18"/>
      <c r="AME223" s="18"/>
      <c r="AMF223" s="18"/>
      <c r="AMG223" s="18"/>
      <c r="AMH223" s="18"/>
      <c r="AMI223" s="18"/>
      <c r="AMJ223" s="18"/>
      <c r="AMK223" s="18"/>
      <c r="AML223" s="18"/>
      <c r="AMM223" s="18"/>
      <c r="AMN223" s="18"/>
      <c r="AMO223" s="18"/>
      <c r="AMP223" s="18"/>
      <c r="AMQ223" s="18"/>
      <c r="AMR223" s="18"/>
      <c r="AMS223" s="18"/>
      <c r="AMT223" s="18"/>
      <c r="AMU223" s="18"/>
      <c r="AMV223" s="18"/>
      <c r="AMW223" s="18"/>
      <c r="AMX223" s="18"/>
      <c r="AMY223" s="18"/>
      <c r="AMZ223" s="18"/>
      <c r="ANA223" s="18"/>
      <c r="ANB223" s="18"/>
      <c r="ANC223" s="18"/>
      <c r="AND223" s="18"/>
      <c r="ANE223" s="18"/>
      <c r="ANF223" s="18"/>
      <c r="ANG223" s="18"/>
      <c r="ANH223" s="18"/>
      <c r="ANI223" s="18"/>
      <c r="ANJ223" s="18"/>
      <c r="ANK223" s="18"/>
      <c r="ANL223" s="18"/>
      <c r="ANM223" s="18"/>
      <c r="ANN223" s="18"/>
      <c r="ANO223" s="18"/>
      <c r="ANP223" s="18"/>
      <c r="ANQ223" s="18"/>
      <c r="ANR223" s="18"/>
      <c r="ANS223" s="18"/>
      <c r="ANT223" s="18"/>
      <c r="ANU223" s="18"/>
      <c r="ANV223" s="18"/>
      <c r="ANW223" s="18"/>
      <c r="ANX223" s="18"/>
      <c r="ANY223" s="18"/>
      <c r="ANZ223" s="18"/>
      <c r="AOA223" s="18"/>
      <c r="AOB223" s="18"/>
      <c r="AOC223" s="18"/>
      <c r="AOD223" s="18"/>
      <c r="AOE223" s="18"/>
      <c r="AOF223" s="18"/>
      <c r="AOG223" s="18"/>
      <c r="AOH223" s="18"/>
      <c r="AOI223" s="18"/>
      <c r="AOJ223" s="18"/>
      <c r="AOK223" s="18"/>
      <c r="AOL223" s="18"/>
      <c r="AOM223" s="18"/>
      <c r="AON223" s="18"/>
      <c r="AOO223" s="18"/>
      <c r="AOP223" s="18"/>
      <c r="AOQ223" s="18"/>
      <c r="AOR223" s="18"/>
      <c r="AOS223" s="18"/>
      <c r="AOT223" s="18"/>
      <c r="AOU223" s="18"/>
      <c r="AOV223" s="18"/>
      <c r="AOW223" s="18"/>
      <c r="AOX223" s="18"/>
      <c r="AOY223" s="18"/>
      <c r="AOZ223" s="18"/>
      <c r="APA223" s="18"/>
      <c r="APB223" s="18"/>
      <c r="APC223" s="18"/>
      <c r="APD223" s="18"/>
      <c r="APE223" s="18"/>
      <c r="APF223" s="18"/>
      <c r="APG223" s="18"/>
      <c r="APH223" s="18"/>
      <c r="API223" s="18"/>
      <c r="APJ223" s="18"/>
      <c r="APK223" s="18"/>
      <c r="APL223" s="18"/>
      <c r="APM223" s="18"/>
      <c r="APN223" s="18"/>
      <c r="APO223" s="18"/>
      <c r="APP223" s="18"/>
      <c r="APQ223" s="18"/>
      <c r="APR223" s="18"/>
      <c r="APS223" s="18"/>
      <c r="APT223" s="18"/>
      <c r="APU223" s="18"/>
      <c r="APV223" s="18"/>
      <c r="APW223" s="18"/>
      <c r="APX223" s="18"/>
      <c r="APY223" s="18"/>
      <c r="APZ223" s="18"/>
      <c r="AQA223" s="18"/>
      <c r="AQB223" s="18"/>
      <c r="AQC223" s="18"/>
      <c r="AQD223" s="18"/>
      <c r="AQE223" s="18"/>
      <c r="AQF223" s="18"/>
      <c r="AQG223" s="18"/>
      <c r="AQH223" s="18"/>
      <c r="AQI223" s="18"/>
      <c r="AQJ223" s="18"/>
      <c r="AQK223" s="18"/>
      <c r="AQL223" s="18"/>
      <c r="AQM223" s="18"/>
      <c r="AQN223" s="18"/>
      <c r="AQO223" s="18"/>
      <c r="AQP223" s="18"/>
      <c r="AQQ223" s="18"/>
      <c r="AQR223" s="18"/>
      <c r="AQS223" s="18"/>
      <c r="AQT223" s="18"/>
      <c r="AQU223" s="18"/>
      <c r="AQV223" s="18"/>
      <c r="AQW223" s="18"/>
      <c r="AQX223" s="18"/>
      <c r="AQY223" s="18"/>
      <c r="AQZ223" s="18"/>
      <c r="ARA223" s="18"/>
      <c r="ARB223" s="18"/>
      <c r="ARC223" s="18"/>
      <c r="ARD223" s="18"/>
      <c r="ARE223" s="18"/>
      <c r="ARF223" s="18"/>
      <c r="ARG223" s="18"/>
      <c r="ARH223" s="18"/>
      <c r="ARI223" s="18"/>
      <c r="ARJ223" s="18"/>
      <c r="ARK223" s="18"/>
      <c r="ARL223" s="18"/>
      <c r="ARM223" s="18"/>
      <c r="ARN223" s="18"/>
      <c r="ARO223" s="18"/>
      <c r="ARP223" s="18"/>
      <c r="ARQ223" s="18"/>
      <c r="ARR223" s="18"/>
      <c r="ARS223" s="18"/>
      <c r="ART223" s="18"/>
      <c r="ARU223" s="18"/>
      <c r="ARV223" s="18"/>
      <c r="ARW223" s="18"/>
      <c r="ARX223" s="18"/>
      <c r="ARY223" s="18"/>
      <c r="ARZ223" s="18"/>
      <c r="ASA223" s="18"/>
      <c r="ASB223" s="18"/>
      <c r="ASC223" s="18"/>
      <c r="ASD223" s="18"/>
      <c r="ASE223" s="18"/>
      <c r="ASF223" s="18"/>
      <c r="ASG223" s="18"/>
      <c r="ASH223" s="18"/>
      <c r="ASI223" s="18"/>
      <c r="ASJ223" s="18"/>
      <c r="ASK223" s="18"/>
      <c r="ASL223" s="18"/>
      <c r="ASM223" s="18"/>
      <c r="ASN223" s="18"/>
      <c r="ASO223" s="18"/>
      <c r="ASP223" s="18"/>
      <c r="ASQ223" s="18"/>
      <c r="ASR223" s="18"/>
      <c r="ASS223" s="18"/>
      <c r="AST223" s="18"/>
      <c r="ASU223" s="18"/>
      <c r="ASV223" s="18"/>
      <c r="ASW223" s="18"/>
      <c r="ASX223" s="18"/>
      <c r="ASY223" s="18"/>
      <c r="ASZ223" s="18"/>
      <c r="ATA223" s="18"/>
      <c r="ATB223" s="18"/>
      <c r="ATC223" s="18"/>
      <c r="ATD223" s="18"/>
      <c r="ATE223" s="18"/>
      <c r="ATF223" s="18"/>
      <c r="ATG223" s="18"/>
      <c r="ATH223" s="18"/>
      <c r="ATI223" s="18"/>
      <c r="ATJ223" s="18"/>
      <c r="ATK223" s="18"/>
      <c r="ATL223" s="18"/>
      <c r="ATM223" s="18"/>
      <c r="ATN223" s="18"/>
      <c r="ATO223" s="18"/>
      <c r="ATP223" s="18"/>
      <c r="ATQ223" s="18"/>
      <c r="ATR223" s="18"/>
      <c r="ATS223" s="18"/>
      <c r="ATT223" s="18"/>
      <c r="ATU223" s="18"/>
      <c r="ATV223" s="18"/>
      <c r="ATW223" s="18"/>
      <c r="ATX223" s="18"/>
      <c r="ATY223" s="18"/>
      <c r="ATZ223" s="18"/>
      <c r="AUA223" s="18"/>
      <c r="AUB223" s="18"/>
      <c r="AUC223" s="18"/>
      <c r="AUD223" s="18"/>
      <c r="AUE223" s="18"/>
      <c r="AUF223" s="18"/>
      <c r="AUG223" s="18"/>
      <c r="AUH223" s="18"/>
      <c r="AUI223" s="18"/>
      <c r="AUJ223" s="18"/>
      <c r="AUK223" s="18"/>
      <c r="AUL223" s="18"/>
      <c r="AUM223" s="18"/>
      <c r="AUN223" s="18"/>
      <c r="AUO223" s="18"/>
      <c r="AUP223" s="18"/>
      <c r="AUQ223" s="18"/>
      <c r="AUR223" s="18"/>
      <c r="AUS223" s="18"/>
      <c r="AUT223" s="18"/>
      <c r="AUU223" s="18"/>
      <c r="AUV223" s="18"/>
      <c r="AUW223" s="18"/>
      <c r="AUX223" s="18"/>
      <c r="AUY223" s="18"/>
      <c r="AUZ223" s="18"/>
      <c r="AVA223" s="18"/>
      <c r="AVB223" s="18"/>
      <c r="AVC223" s="18"/>
      <c r="AVD223" s="18"/>
      <c r="AVE223" s="18"/>
      <c r="AVF223" s="18"/>
      <c r="AVG223" s="18"/>
      <c r="AVH223" s="18"/>
      <c r="AVI223" s="18"/>
      <c r="AVJ223" s="18"/>
      <c r="AVK223" s="18"/>
      <c r="AVL223" s="18"/>
      <c r="AVM223" s="18"/>
      <c r="AVN223" s="18"/>
      <c r="AVO223" s="18"/>
      <c r="AVP223" s="18"/>
      <c r="AVQ223" s="18"/>
      <c r="AVR223" s="18"/>
      <c r="AVS223" s="18"/>
      <c r="AVT223" s="18"/>
      <c r="AVU223" s="18"/>
      <c r="AVV223" s="18"/>
      <c r="AVW223" s="18"/>
      <c r="AVX223" s="18"/>
      <c r="AVY223" s="18"/>
      <c r="AVZ223" s="18"/>
      <c r="AWA223" s="18"/>
      <c r="AWB223" s="18"/>
      <c r="AWC223" s="18"/>
      <c r="AWD223" s="18"/>
      <c r="AWE223" s="18"/>
      <c r="AWF223" s="18"/>
      <c r="AWG223" s="18"/>
      <c r="AWH223" s="18"/>
      <c r="AWI223" s="18"/>
      <c r="AWJ223" s="18"/>
      <c r="AWK223" s="18"/>
      <c r="AWL223" s="18"/>
      <c r="AWM223" s="18"/>
      <c r="AWN223" s="18"/>
      <c r="AWO223" s="18"/>
      <c r="AWP223" s="18"/>
      <c r="AWQ223" s="18"/>
      <c r="AWR223" s="18"/>
      <c r="AWS223" s="18"/>
      <c r="AWT223" s="18"/>
      <c r="AWU223" s="18"/>
      <c r="AWV223" s="18"/>
      <c r="AWW223" s="18"/>
      <c r="AWX223" s="18"/>
      <c r="AWY223" s="18"/>
      <c r="AWZ223" s="18"/>
      <c r="AXA223" s="18"/>
      <c r="AXB223" s="18"/>
      <c r="AXC223" s="18"/>
      <c r="AXD223" s="18"/>
      <c r="AXE223" s="18"/>
      <c r="AXF223" s="18"/>
      <c r="AXG223" s="18"/>
      <c r="AXH223" s="18"/>
      <c r="AXI223" s="18"/>
      <c r="AXJ223" s="18"/>
      <c r="AXK223" s="18"/>
      <c r="AXL223" s="18"/>
      <c r="AXM223" s="18"/>
      <c r="AXN223" s="18"/>
      <c r="AXO223" s="18"/>
      <c r="AXP223" s="18"/>
      <c r="AXQ223" s="18"/>
      <c r="AXR223" s="18"/>
      <c r="AXS223" s="18"/>
      <c r="AXT223" s="18"/>
      <c r="AXU223" s="18"/>
      <c r="AXV223" s="18"/>
      <c r="AXW223" s="18"/>
      <c r="AXX223" s="18"/>
      <c r="AXY223" s="18"/>
      <c r="AXZ223" s="18"/>
      <c r="AYA223" s="18"/>
      <c r="AYB223" s="18"/>
      <c r="AYC223" s="18"/>
      <c r="AYD223" s="18"/>
      <c r="AYE223" s="18"/>
      <c r="AYF223" s="18"/>
      <c r="AYG223" s="18"/>
      <c r="AYH223" s="18"/>
      <c r="AYI223" s="18"/>
      <c r="AYJ223" s="18"/>
      <c r="AYK223" s="18"/>
      <c r="AYL223" s="18"/>
      <c r="AYM223" s="18"/>
      <c r="AYN223" s="18"/>
      <c r="AYO223" s="18"/>
      <c r="AYP223" s="18"/>
      <c r="AYQ223" s="18"/>
      <c r="AYR223" s="18"/>
      <c r="AYS223" s="18"/>
      <c r="AYT223" s="18"/>
      <c r="AYU223" s="18"/>
      <c r="AYV223" s="18"/>
      <c r="AYW223" s="18"/>
      <c r="AYX223" s="18"/>
      <c r="AYY223" s="18"/>
      <c r="AYZ223" s="18"/>
      <c r="AZA223" s="18"/>
      <c r="AZB223" s="18"/>
      <c r="AZC223" s="18"/>
      <c r="AZD223" s="18"/>
      <c r="AZE223" s="18"/>
      <c r="AZF223" s="18"/>
      <c r="AZG223" s="18"/>
      <c r="AZH223" s="18"/>
      <c r="AZI223" s="18"/>
      <c r="AZJ223" s="18"/>
      <c r="AZK223" s="18"/>
      <c r="AZL223" s="18"/>
      <c r="AZM223" s="18"/>
      <c r="AZN223" s="18"/>
      <c r="AZO223" s="18"/>
      <c r="AZP223" s="18"/>
      <c r="AZQ223" s="18"/>
      <c r="AZR223" s="18"/>
      <c r="AZS223" s="18"/>
      <c r="AZT223" s="18"/>
      <c r="AZU223" s="18"/>
      <c r="AZV223" s="18"/>
      <c r="AZW223" s="18"/>
      <c r="AZX223" s="18"/>
      <c r="AZY223" s="18"/>
      <c r="AZZ223" s="18"/>
      <c r="BAA223" s="18"/>
      <c r="BAB223" s="18"/>
      <c r="BAC223" s="18"/>
      <c r="BAD223" s="18"/>
      <c r="BAE223" s="18"/>
      <c r="BAF223" s="18"/>
      <c r="BAG223" s="18"/>
      <c r="BAH223" s="18"/>
      <c r="BAI223" s="18"/>
      <c r="BAJ223" s="18"/>
      <c r="BAK223" s="18"/>
      <c r="BAL223" s="18"/>
      <c r="BAM223" s="18"/>
      <c r="BAN223" s="18"/>
      <c r="BAO223" s="18"/>
      <c r="BAP223" s="18"/>
      <c r="BAQ223" s="18"/>
      <c r="BAR223" s="18"/>
      <c r="BAS223" s="18"/>
      <c r="BAT223" s="18"/>
      <c r="BAU223" s="18"/>
      <c r="BAV223" s="18"/>
      <c r="BAW223" s="18"/>
      <c r="BAX223" s="18"/>
      <c r="BAY223" s="18"/>
      <c r="BAZ223" s="18"/>
      <c r="BBA223" s="18"/>
      <c r="BBB223" s="18"/>
      <c r="BBC223" s="18"/>
      <c r="BBD223" s="18"/>
      <c r="BBE223" s="18"/>
      <c r="BBF223" s="18"/>
      <c r="BBG223" s="18"/>
      <c r="BBH223" s="18"/>
      <c r="BBI223" s="18"/>
      <c r="BBJ223" s="18"/>
      <c r="BBK223" s="18"/>
      <c r="BBL223" s="18"/>
      <c r="BBM223" s="18"/>
      <c r="BBN223" s="18"/>
      <c r="BBO223" s="18"/>
      <c r="BBP223" s="18"/>
      <c r="BBQ223" s="18"/>
      <c r="BBR223" s="18"/>
      <c r="BBS223" s="18"/>
      <c r="BBT223" s="18"/>
      <c r="BBU223" s="18"/>
      <c r="BBV223" s="18"/>
      <c r="BBW223" s="18"/>
      <c r="BBX223" s="18"/>
      <c r="BBY223" s="18"/>
      <c r="BBZ223" s="18"/>
      <c r="BCA223" s="18"/>
      <c r="BCB223" s="18"/>
      <c r="BCC223" s="18"/>
      <c r="BCD223" s="18"/>
      <c r="BCE223" s="18"/>
      <c r="BCF223" s="18"/>
      <c r="BCG223" s="18"/>
      <c r="BCH223" s="18"/>
      <c r="BCI223" s="18"/>
      <c r="BCJ223" s="18"/>
      <c r="BCK223" s="18"/>
      <c r="BCL223" s="18"/>
      <c r="BCM223" s="18"/>
      <c r="BCN223" s="18"/>
      <c r="BCO223" s="18"/>
      <c r="BCP223" s="18"/>
      <c r="BCQ223" s="18"/>
      <c r="BCR223" s="18"/>
      <c r="BCS223" s="18"/>
      <c r="BCT223" s="18"/>
      <c r="BCU223" s="18"/>
      <c r="BCV223" s="18"/>
      <c r="BCW223" s="18"/>
      <c r="BCX223" s="18"/>
      <c r="BCY223" s="18"/>
      <c r="BCZ223" s="18"/>
      <c r="BDA223" s="18"/>
      <c r="BDB223" s="18"/>
      <c r="BDC223" s="18"/>
      <c r="BDD223" s="18"/>
      <c r="BDE223" s="18"/>
      <c r="BDF223" s="18"/>
      <c r="BDG223" s="18"/>
      <c r="BDH223" s="18"/>
      <c r="BDI223" s="18"/>
      <c r="BDJ223" s="18"/>
      <c r="BDK223" s="18"/>
      <c r="BDL223" s="18"/>
      <c r="BDM223" s="18"/>
      <c r="BDN223" s="18"/>
      <c r="BDO223" s="18"/>
      <c r="BDP223" s="18"/>
      <c r="BDQ223" s="18"/>
      <c r="BDR223" s="18"/>
      <c r="BDS223" s="18"/>
      <c r="BDT223" s="18"/>
      <c r="BDU223" s="18"/>
      <c r="BDV223" s="18"/>
      <c r="BDW223" s="18"/>
      <c r="BDX223" s="18"/>
      <c r="BDY223" s="18"/>
      <c r="BDZ223" s="18"/>
      <c r="BEA223" s="18"/>
      <c r="BEB223" s="18"/>
      <c r="BEC223" s="18"/>
      <c r="BED223" s="18"/>
      <c r="BEE223" s="18"/>
      <c r="BEF223" s="18"/>
      <c r="BEG223" s="18"/>
      <c r="BEH223" s="18"/>
      <c r="BEI223" s="18"/>
      <c r="BEJ223" s="18"/>
      <c r="BEK223" s="18"/>
      <c r="BEL223" s="18"/>
      <c r="BEM223" s="18"/>
      <c r="BEN223" s="18"/>
      <c r="BEO223" s="18"/>
      <c r="BEP223" s="18"/>
      <c r="BEQ223" s="18"/>
      <c r="BER223" s="18"/>
      <c r="BES223" s="18"/>
      <c r="BET223" s="18"/>
      <c r="BEU223" s="18"/>
      <c r="BEV223" s="18"/>
      <c r="BEW223" s="18"/>
      <c r="BEX223" s="18"/>
      <c r="BEY223" s="18"/>
      <c r="BEZ223" s="18"/>
      <c r="BFA223" s="18"/>
      <c r="BFB223" s="18"/>
      <c r="BFC223" s="18"/>
      <c r="BFD223" s="18"/>
      <c r="BFE223" s="18"/>
      <c r="BFF223" s="18"/>
      <c r="BFG223" s="18"/>
      <c r="BFH223" s="18"/>
      <c r="BFI223" s="18"/>
      <c r="BFJ223" s="18"/>
      <c r="BFK223" s="18"/>
      <c r="BFL223" s="18"/>
      <c r="BFM223" s="18"/>
      <c r="BFN223" s="18"/>
      <c r="BFO223" s="18"/>
      <c r="BFP223" s="18"/>
      <c r="BFQ223" s="18"/>
      <c r="BFR223" s="18"/>
      <c r="BFS223" s="18"/>
      <c r="BFT223" s="18"/>
      <c r="BFU223" s="18"/>
      <c r="BFV223" s="18"/>
      <c r="BFW223" s="18"/>
      <c r="BFX223" s="18"/>
      <c r="BFY223" s="18"/>
      <c r="BFZ223" s="18"/>
      <c r="BGA223" s="18"/>
      <c r="BGB223" s="18"/>
      <c r="BGC223" s="18"/>
      <c r="BGD223" s="18"/>
      <c r="BGE223" s="18"/>
      <c r="BGF223" s="18"/>
      <c r="BGG223" s="18"/>
      <c r="BGH223" s="18"/>
      <c r="BGI223" s="18"/>
      <c r="BGJ223" s="18"/>
      <c r="BGK223" s="18"/>
      <c r="BGL223" s="18"/>
      <c r="BGM223" s="18"/>
      <c r="BGN223" s="18"/>
      <c r="BGO223" s="18"/>
      <c r="BGP223" s="18"/>
      <c r="BGQ223" s="18"/>
      <c r="BGR223" s="18"/>
      <c r="BGS223" s="18"/>
      <c r="BGT223" s="18"/>
      <c r="BGU223" s="18"/>
      <c r="BGV223" s="18"/>
      <c r="BGW223" s="18"/>
      <c r="BGX223" s="18"/>
      <c r="BGY223" s="18"/>
      <c r="BGZ223" s="18"/>
      <c r="BHA223" s="18"/>
      <c r="BHB223" s="18"/>
      <c r="BHC223" s="18"/>
      <c r="BHD223" s="18"/>
      <c r="BHE223" s="18"/>
      <c r="BHF223" s="18"/>
      <c r="BHG223" s="18"/>
      <c r="BHH223" s="18"/>
      <c r="BHI223" s="18"/>
      <c r="BHJ223" s="18"/>
      <c r="BHK223" s="18"/>
      <c r="BHL223" s="18"/>
      <c r="BHM223" s="18"/>
      <c r="BHN223" s="18"/>
      <c r="BHO223" s="18"/>
      <c r="BHP223" s="18"/>
      <c r="BHQ223" s="18"/>
      <c r="BHR223" s="18"/>
      <c r="BHS223" s="18"/>
      <c r="BHT223" s="18"/>
      <c r="BHU223" s="18"/>
      <c r="BHV223" s="18"/>
      <c r="BHW223" s="18"/>
      <c r="BHX223" s="18"/>
      <c r="BHY223" s="18"/>
      <c r="BHZ223" s="18"/>
      <c r="BIA223" s="18"/>
      <c r="BIB223" s="18"/>
      <c r="BIC223" s="18"/>
      <c r="BID223" s="18"/>
      <c r="BIE223" s="18"/>
      <c r="BIF223" s="18"/>
      <c r="BIG223" s="18"/>
      <c r="BIH223" s="18"/>
      <c r="BII223" s="18"/>
      <c r="BIJ223" s="18"/>
      <c r="BIK223" s="18"/>
      <c r="BIL223" s="18"/>
      <c r="BIM223" s="18"/>
      <c r="BIN223" s="18"/>
      <c r="BIO223" s="18"/>
      <c r="BIP223" s="18"/>
      <c r="BIQ223" s="18"/>
      <c r="BIR223" s="18"/>
      <c r="BIS223" s="18"/>
      <c r="BIT223" s="18"/>
      <c r="BIU223" s="18"/>
      <c r="BIV223" s="18"/>
      <c r="BIW223" s="18"/>
      <c r="BIX223" s="18"/>
      <c r="BIY223" s="18"/>
      <c r="BIZ223" s="18"/>
      <c r="BJA223" s="18"/>
      <c r="BJB223" s="18"/>
      <c r="BJC223" s="18"/>
      <c r="BJD223" s="18"/>
      <c r="BJE223" s="18"/>
      <c r="BJF223" s="18"/>
      <c r="BJG223" s="18"/>
      <c r="BJH223" s="18"/>
      <c r="BJI223" s="18"/>
      <c r="BJJ223" s="18"/>
      <c r="BJK223" s="18"/>
      <c r="BJL223" s="18"/>
      <c r="BJM223" s="18"/>
      <c r="BJN223" s="18"/>
      <c r="BJO223" s="18"/>
      <c r="BJP223" s="18"/>
      <c r="BJQ223" s="18"/>
      <c r="BJR223" s="18"/>
      <c r="BJS223" s="18"/>
      <c r="BJT223" s="18"/>
      <c r="BJU223" s="18"/>
      <c r="BJV223" s="18"/>
      <c r="BJW223" s="18"/>
      <c r="BJX223" s="18"/>
      <c r="BJY223" s="18"/>
      <c r="BJZ223" s="18"/>
      <c r="BKA223" s="18"/>
      <c r="BKB223" s="18"/>
      <c r="BKC223" s="18"/>
      <c r="BKD223" s="18"/>
      <c r="BKE223" s="18"/>
      <c r="BKF223" s="18"/>
      <c r="BKG223" s="18"/>
      <c r="BKH223" s="18"/>
      <c r="BKI223" s="18"/>
      <c r="BKJ223" s="18"/>
      <c r="BKK223" s="18"/>
      <c r="BKL223" s="18"/>
      <c r="BKM223" s="18"/>
      <c r="BKN223" s="18"/>
      <c r="BKO223" s="18"/>
      <c r="BKP223" s="18"/>
      <c r="BKQ223" s="18"/>
      <c r="BKR223" s="18"/>
      <c r="BKS223" s="18"/>
      <c r="BKT223" s="18"/>
      <c r="BKU223" s="18"/>
      <c r="BKV223" s="18"/>
      <c r="BKW223" s="18"/>
      <c r="BKX223" s="18"/>
      <c r="BKY223" s="18"/>
      <c r="BKZ223" s="18"/>
      <c r="BLA223" s="18"/>
      <c r="BLB223" s="18"/>
      <c r="BLC223" s="18"/>
      <c r="BLD223" s="18"/>
      <c r="BLE223" s="18"/>
      <c r="BLF223" s="18"/>
      <c r="BLG223" s="18"/>
      <c r="BLH223" s="18"/>
      <c r="BLI223" s="18"/>
      <c r="BLJ223" s="18"/>
      <c r="BLK223" s="18"/>
      <c r="BLL223" s="18"/>
      <c r="BLM223" s="18"/>
      <c r="BLN223" s="18"/>
      <c r="BLO223" s="18"/>
      <c r="BLP223" s="18"/>
      <c r="BLQ223" s="18"/>
      <c r="BLR223" s="18"/>
      <c r="BLS223" s="18"/>
      <c r="BLT223" s="18"/>
      <c r="BLU223" s="18"/>
      <c r="BLV223" s="18"/>
      <c r="BLW223" s="18"/>
      <c r="BLX223" s="18"/>
      <c r="BLY223" s="18"/>
      <c r="BLZ223" s="18"/>
      <c r="BMA223" s="18"/>
      <c r="BMB223" s="18"/>
      <c r="BMC223" s="18"/>
      <c r="BMD223" s="18"/>
      <c r="BME223" s="18"/>
      <c r="BMF223" s="18"/>
      <c r="BMG223" s="18"/>
      <c r="BMH223" s="18"/>
      <c r="BMI223" s="18"/>
      <c r="BMJ223" s="18"/>
      <c r="BMK223" s="18"/>
      <c r="BML223" s="18"/>
      <c r="BMM223" s="18"/>
      <c r="BMN223" s="18"/>
      <c r="BMO223" s="18"/>
      <c r="BMP223" s="18"/>
      <c r="BMQ223" s="18"/>
      <c r="BMR223" s="18"/>
      <c r="BMS223" s="18"/>
      <c r="BMT223" s="18"/>
      <c r="BMU223" s="18"/>
      <c r="BMV223" s="18"/>
      <c r="BMW223" s="18"/>
      <c r="BMX223" s="18"/>
      <c r="BMY223" s="18"/>
      <c r="BMZ223" s="18"/>
      <c r="BNA223" s="18"/>
      <c r="BNB223" s="18"/>
      <c r="BNC223" s="18"/>
      <c r="BND223" s="18"/>
      <c r="BNE223" s="18"/>
      <c r="BNF223" s="18"/>
      <c r="BNG223" s="18"/>
      <c r="BNH223" s="18"/>
      <c r="BNI223" s="18"/>
      <c r="BNJ223" s="18"/>
      <c r="BNK223" s="18"/>
      <c r="BNL223" s="18"/>
      <c r="BNM223" s="18"/>
      <c r="BNN223" s="18"/>
      <c r="BNO223" s="18"/>
      <c r="BNP223" s="18"/>
      <c r="BNQ223" s="18"/>
      <c r="BNR223" s="18"/>
      <c r="BNS223" s="18"/>
      <c r="BNT223" s="18"/>
      <c r="BNU223" s="18"/>
      <c r="BNV223" s="18"/>
      <c r="BNW223" s="18"/>
      <c r="BNX223" s="18"/>
      <c r="BNY223" s="18"/>
      <c r="BNZ223" s="18"/>
      <c r="BOA223" s="18"/>
      <c r="BOB223" s="18"/>
      <c r="BOC223" s="18"/>
      <c r="BOD223" s="18"/>
      <c r="BOE223" s="18"/>
      <c r="BOF223" s="18"/>
      <c r="BOG223" s="18"/>
      <c r="BOH223" s="18"/>
      <c r="BOI223" s="18"/>
      <c r="BOJ223" s="18"/>
      <c r="BOK223" s="18"/>
      <c r="BOL223" s="18"/>
      <c r="BOM223" s="18"/>
      <c r="BON223" s="18"/>
      <c r="BOO223" s="18"/>
      <c r="BOP223" s="18"/>
      <c r="BOQ223" s="18"/>
      <c r="BOR223" s="18"/>
      <c r="BOS223" s="18"/>
      <c r="BOT223" s="18"/>
      <c r="BOU223" s="18"/>
      <c r="BOV223" s="18"/>
      <c r="BOW223" s="18"/>
      <c r="BOX223" s="18"/>
      <c r="BOY223" s="18"/>
      <c r="BOZ223" s="18"/>
      <c r="BPA223" s="18"/>
      <c r="BPB223" s="18"/>
      <c r="BPC223" s="18"/>
      <c r="BPD223" s="18"/>
      <c r="BPE223" s="18"/>
      <c r="BPF223" s="18"/>
      <c r="BPG223" s="18"/>
      <c r="BPH223" s="18"/>
      <c r="BPI223" s="18"/>
      <c r="BPJ223" s="18"/>
      <c r="BPK223" s="18"/>
      <c r="BPL223" s="18"/>
      <c r="BPM223" s="18"/>
      <c r="BPN223" s="18"/>
      <c r="BPO223" s="18"/>
      <c r="BPP223" s="18"/>
      <c r="BPQ223" s="18"/>
      <c r="BPR223" s="18"/>
      <c r="BPS223" s="18"/>
      <c r="BPT223" s="18"/>
      <c r="BPU223" s="18"/>
      <c r="BPV223" s="18"/>
      <c r="BPW223" s="18"/>
      <c r="BPX223" s="18"/>
      <c r="BPY223" s="18"/>
      <c r="BPZ223" s="18"/>
      <c r="BQA223" s="18"/>
      <c r="BQB223" s="18"/>
      <c r="BQC223" s="18"/>
      <c r="BQD223" s="18"/>
      <c r="BQE223" s="18"/>
      <c r="BQF223" s="18"/>
      <c r="BQG223" s="18"/>
      <c r="BQH223" s="18"/>
      <c r="BQI223" s="18"/>
      <c r="BQJ223" s="18"/>
      <c r="BQK223" s="18"/>
      <c r="BQL223" s="18"/>
      <c r="BQM223" s="18"/>
      <c r="BQN223" s="18"/>
      <c r="BQO223" s="18"/>
      <c r="BQP223" s="18"/>
      <c r="BQQ223" s="18"/>
      <c r="BQR223" s="18"/>
      <c r="BQS223" s="18"/>
      <c r="BQT223" s="18"/>
      <c r="BQU223" s="18"/>
      <c r="BQV223" s="18"/>
      <c r="BQW223" s="18"/>
      <c r="BQX223" s="18"/>
      <c r="BQY223" s="18"/>
      <c r="BQZ223" s="18"/>
      <c r="BRA223" s="18"/>
      <c r="BRB223" s="18"/>
      <c r="BRC223" s="18"/>
      <c r="BRD223" s="18"/>
      <c r="BRE223" s="18"/>
      <c r="BRF223" s="18"/>
      <c r="BRG223" s="18"/>
      <c r="BRH223" s="18"/>
      <c r="BRI223" s="18"/>
      <c r="BRJ223" s="18"/>
      <c r="BRK223" s="18"/>
      <c r="BRL223" s="18"/>
      <c r="BRM223" s="18"/>
      <c r="BRN223" s="18"/>
      <c r="BRO223" s="18"/>
      <c r="BRP223" s="18"/>
      <c r="BRQ223" s="18"/>
      <c r="BRR223" s="18"/>
      <c r="BRS223" s="18"/>
      <c r="BRT223" s="18"/>
      <c r="BRU223" s="18"/>
      <c r="BRV223" s="18"/>
      <c r="BRW223" s="18"/>
      <c r="BRX223" s="18"/>
      <c r="BRY223" s="18"/>
      <c r="BRZ223" s="18"/>
      <c r="BSA223" s="18"/>
      <c r="BSB223" s="18"/>
      <c r="BSC223" s="18"/>
      <c r="BSD223" s="18"/>
      <c r="BSE223" s="18"/>
      <c r="BSF223" s="18"/>
      <c r="BSG223" s="18"/>
      <c r="BSH223" s="18"/>
      <c r="BSI223" s="18"/>
      <c r="BSJ223" s="18"/>
      <c r="BSK223" s="18"/>
      <c r="BSL223" s="18"/>
      <c r="BSM223" s="18"/>
      <c r="BSN223" s="18"/>
      <c r="BSO223" s="18"/>
      <c r="BSP223" s="18"/>
      <c r="BSQ223" s="18"/>
      <c r="BSR223" s="18"/>
      <c r="BSS223" s="18"/>
      <c r="BST223" s="18"/>
      <c r="BSU223" s="18"/>
      <c r="BSV223" s="18"/>
      <c r="BSW223" s="18"/>
      <c r="BSX223" s="18"/>
      <c r="BSY223" s="18"/>
      <c r="BSZ223" s="18"/>
      <c r="BTA223" s="18"/>
      <c r="BTB223" s="18"/>
      <c r="BTC223" s="18"/>
      <c r="BTD223" s="18"/>
      <c r="BTE223" s="18"/>
      <c r="BTF223" s="18"/>
      <c r="BTG223" s="18"/>
      <c r="BTH223" s="18"/>
      <c r="BTI223" s="18"/>
    </row>
    <row r="224" spans="1:1881" s="426" customFormat="1" ht="191.4" customHeight="1" x14ac:dyDescent="0.3">
      <c r="A224" s="100">
        <v>577</v>
      </c>
      <c r="B224" s="427" t="s">
        <v>324</v>
      </c>
      <c r="C224" s="373" t="s">
        <v>296</v>
      </c>
      <c r="D224" s="226" t="s">
        <v>1460</v>
      </c>
      <c r="E224" s="528"/>
      <c r="F224" s="795"/>
      <c r="G224" s="530" t="str">
        <f>IF(F224="Yes","In this cell - Please include the name of the plan, a brief description of the benefit and the population group that received the benefits."," ")</f>
        <v xml:space="preserve"> </v>
      </c>
      <c r="H224" s="17"/>
      <c r="I224" s="17"/>
      <c r="J224" s="424"/>
      <c r="K224"/>
      <c r="L224" s="547"/>
      <c r="M224"/>
      <c r="N224" s="18"/>
      <c r="O224" s="186"/>
      <c r="P224" s="18"/>
      <c r="Q224" s="18"/>
      <c r="R224" s="18"/>
      <c r="S224" s="18"/>
      <c r="T224" s="18"/>
      <c r="U224" s="18"/>
      <c r="V224" s="18"/>
      <c r="W224" s="18"/>
      <c r="X224" s="18"/>
      <c r="Y224" s="18"/>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c r="IS224" s="18"/>
      <c r="IT224" s="18"/>
      <c r="IU224" s="18"/>
      <c r="IV224" s="18"/>
      <c r="IW224" s="18"/>
      <c r="IX224" s="18"/>
      <c r="IY224" s="18"/>
      <c r="IZ224" s="18"/>
      <c r="JA224" s="18"/>
      <c r="JB224" s="18"/>
      <c r="JC224" s="18"/>
      <c r="JD224" s="18"/>
      <c r="JE224" s="18"/>
      <c r="JF224" s="18"/>
      <c r="JG224" s="18"/>
      <c r="JH224" s="18"/>
      <c r="JI224" s="18"/>
      <c r="JJ224" s="18"/>
      <c r="JK224" s="18"/>
      <c r="JL224" s="18"/>
      <c r="JM224" s="18"/>
      <c r="JN224" s="18"/>
      <c r="JO224" s="18"/>
      <c r="JP224" s="18"/>
      <c r="JQ224" s="18"/>
      <c r="JR224" s="18"/>
      <c r="JS224" s="18"/>
      <c r="JT224" s="18"/>
      <c r="JU224" s="18"/>
      <c r="JV224" s="18"/>
      <c r="JW224" s="18"/>
      <c r="JX224" s="18"/>
      <c r="JY224" s="18"/>
      <c r="JZ224" s="18"/>
      <c r="KA224" s="18"/>
      <c r="KB224" s="18"/>
      <c r="KC224" s="18"/>
      <c r="KD224" s="18"/>
      <c r="KE224" s="18"/>
      <c r="KF224" s="18"/>
      <c r="KG224" s="18"/>
      <c r="KH224" s="18"/>
      <c r="KI224" s="18"/>
      <c r="KJ224" s="18"/>
      <c r="KK224" s="18"/>
      <c r="KL224" s="18"/>
      <c r="KM224" s="18"/>
      <c r="KN224" s="18"/>
      <c r="KO224" s="18"/>
      <c r="KP224" s="18"/>
      <c r="KQ224" s="18"/>
      <c r="KR224" s="18"/>
      <c r="KS224" s="18"/>
      <c r="KT224" s="18"/>
      <c r="KU224" s="18"/>
      <c r="KV224" s="18"/>
      <c r="KW224" s="18"/>
      <c r="KX224" s="18"/>
      <c r="KY224" s="18"/>
      <c r="KZ224" s="18"/>
      <c r="LA224" s="18"/>
      <c r="LB224" s="18"/>
      <c r="LC224" s="18"/>
      <c r="LD224" s="18"/>
      <c r="LE224" s="18"/>
      <c r="LF224" s="18"/>
      <c r="LG224" s="18"/>
      <c r="LH224" s="18"/>
      <c r="LI224" s="18"/>
      <c r="LJ224" s="18"/>
      <c r="LK224" s="18"/>
      <c r="LL224" s="18"/>
      <c r="LM224" s="18"/>
      <c r="LN224" s="18"/>
      <c r="LO224" s="18"/>
      <c r="LP224" s="18"/>
      <c r="LQ224" s="18"/>
      <c r="LR224" s="18"/>
      <c r="LS224" s="18"/>
      <c r="LT224" s="18"/>
      <c r="LU224" s="18"/>
      <c r="LV224" s="18"/>
      <c r="LW224" s="18"/>
      <c r="LX224" s="18"/>
      <c r="LY224" s="18"/>
      <c r="LZ224" s="18"/>
      <c r="MA224" s="18"/>
      <c r="MB224" s="18"/>
      <c r="MC224" s="18"/>
      <c r="MD224" s="18"/>
      <c r="ME224" s="18"/>
      <c r="MF224" s="18"/>
      <c r="MG224" s="18"/>
      <c r="MH224" s="18"/>
      <c r="MI224" s="18"/>
      <c r="MJ224" s="18"/>
      <c r="MK224" s="18"/>
      <c r="ML224" s="18"/>
      <c r="MM224" s="18"/>
      <c r="MN224" s="18"/>
      <c r="MO224" s="18"/>
      <c r="MP224" s="18"/>
      <c r="MQ224" s="18"/>
      <c r="MR224" s="18"/>
      <c r="MS224" s="18"/>
      <c r="MT224" s="18"/>
      <c r="MU224" s="18"/>
      <c r="MV224" s="18"/>
      <c r="MW224" s="18"/>
      <c r="MX224" s="18"/>
      <c r="MY224" s="18"/>
      <c r="MZ224" s="18"/>
      <c r="NA224" s="18"/>
      <c r="NB224" s="18"/>
      <c r="NC224" s="18"/>
      <c r="ND224" s="18"/>
      <c r="NE224" s="18"/>
      <c r="NF224" s="18"/>
      <c r="NG224" s="18"/>
      <c r="NH224" s="18"/>
      <c r="NI224" s="18"/>
      <c r="NJ224" s="18"/>
      <c r="NK224" s="18"/>
      <c r="NL224" s="18"/>
      <c r="NM224" s="18"/>
      <c r="NN224" s="18"/>
      <c r="NO224" s="18"/>
      <c r="NP224" s="18"/>
      <c r="NQ224" s="18"/>
      <c r="NR224" s="18"/>
      <c r="NS224" s="18"/>
      <c r="NT224" s="18"/>
      <c r="NU224" s="18"/>
      <c r="NV224" s="18"/>
      <c r="NW224" s="18"/>
      <c r="NX224" s="18"/>
      <c r="NY224" s="18"/>
      <c r="NZ224" s="18"/>
      <c r="OA224" s="18"/>
      <c r="OB224" s="18"/>
      <c r="OC224" s="18"/>
      <c r="OD224" s="18"/>
      <c r="OE224" s="18"/>
      <c r="OF224" s="18"/>
      <c r="OG224" s="18"/>
      <c r="OH224" s="18"/>
      <c r="OI224" s="18"/>
      <c r="OJ224" s="18"/>
      <c r="OK224" s="18"/>
      <c r="OL224" s="18"/>
      <c r="OM224" s="18"/>
      <c r="ON224" s="18"/>
      <c r="OO224" s="18"/>
      <c r="OP224" s="18"/>
      <c r="OQ224" s="18"/>
      <c r="OR224" s="18"/>
      <c r="OS224" s="18"/>
      <c r="OT224" s="18"/>
      <c r="OU224" s="18"/>
      <c r="OV224" s="18"/>
      <c r="OW224" s="18"/>
      <c r="OX224" s="18"/>
      <c r="OY224" s="18"/>
      <c r="OZ224" s="18"/>
      <c r="PA224" s="18"/>
      <c r="PB224" s="18"/>
      <c r="PC224" s="18"/>
      <c r="PD224" s="18"/>
      <c r="PE224" s="18"/>
      <c r="PF224" s="18"/>
      <c r="PG224" s="18"/>
      <c r="PH224" s="18"/>
      <c r="PI224" s="18"/>
      <c r="PJ224" s="18"/>
      <c r="PK224" s="18"/>
      <c r="PL224" s="18"/>
      <c r="PM224" s="18"/>
      <c r="PN224" s="18"/>
      <c r="PO224" s="18"/>
      <c r="PP224" s="18"/>
      <c r="PQ224" s="18"/>
      <c r="PR224" s="18"/>
      <c r="PS224" s="18"/>
      <c r="PT224" s="18"/>
      <c r="PU224" s="18"/>
      <c r="PV224" s="18"/>
      <c r="PW224" s="18"/>
      <c r="PX224" s="18"/>
      <c r="PY224" s="18"/>
      <c r="PZ224" s="18"/>
      <c r="QA224" s="18"/>
      <c r="QB224" s="18"/>
      <c r="QC224" s="18"/>
      <c r="QD224" s="18"/>
      <c r="QE224" s="18"/>
      <c r="QF224" s="18"/>
      <c r="QG224" s="18"/>
      <c r="QH224" s="18"/>
      <c r="QI224" s="18"/>
      <c r="QJ224" s="18"/>
      <c r="QK224" s="18"/>
      <c r="QL224" s="18"/>
      <c r="QM224" s="18"/>
      <c r="QN224" s="18"/>
      <c r="QO224" s="18"/>
      <c r="QP224" s="18"/>
      <c r="QQ224" s="18"/>
      <c r="QR224" s="18"/>
      <c r="QS224" s="18"/>
      <c r="QT224" s="18"/>
      <c r="QU224" s="18"/>
      <c r="QV224" s="18"/>
      <c r="QW224" s="18"/>
      <c r="QX224" s="18"/>
      <c r="QY224" s="18"/>
      <c r="QZ224" s="18"/>
      <c r="RA224" s="18"/>
      <c r="RB224" s="18"/>
      <c r="RC224" s="18"/>
      <c r="RD224" s="18"/>
      <c r="RE224" s="18"/>
      <c r="RF224" s="18"/>
      <c r="RG224" s="18"/>
      <c r="RH224" s="18"/>
      <c r="RI224" s="18"/>
      <c r="RJ224" s="18"/>
      <c r="RK224" s="18"/>
      <c r="RL224" s="18"/>
      <c r="RM224" s="18"/>
      <c r="RN224" s="18"/>
      <c r="RO224" s="18"/>
      <c r="RP224" s="18"/>
      <c r="RQ224" s="18"/>
      <c r="RR224" s="18"/>
      <c r="RS224" s="18"/>
      <c r="RT224" s="18"/>
      <c r="RU224" s="18"/>
      <c r="RV224" s="18"/>
      <c r="RW224" s="18"/>
      <c r="RX224" s="18"/>
      <c r="RY224" s="18"/>
      <c r="RZ224" s="18"/>
      <c r="SA224" s="18"/>
      <c r="SB224" s="18"/>
      <c r="SC224" s="18"/>
      <c r="SD224" s="18"/>
      <c r="SE224" s="18"/>
      <c r="SF224" s="18"/>
      <c r="SG224" s="18"/>
      <c r="SH224" s="18"/>
      <c r="SI224" s="18"/>
      <c r="SJ224" s="18"/>
      <c r="SK224" s="18"/>
      <c r="SL224" s="18"/>
      <c r="SM224" s="18"/>
      <c r="SN224" s="18"/>
      <c r="SO224" s="18"/>
      <c r="SP224" s="18"/>
      <c r="SQ224" s="18"/>
      <c r="SR224" s="18"/>
      <c r="SS224" s="18"/>
      <c r="ST224" s="18"/>
      <c r="SU224" s="18"/>
      <c r="SV224" s="18"/>
      <c r="SW224" s="18"/>
      <c r="SX224" s="18"/>
      <c r="SY224" s="18"/>
      <c r="SZ224" s="18"/>
      <c r="TA224" s="18"/>
      <c r="TB224" s="18"/>
      <c r="TC224" s="18"/>
      <c r="TD224" s="18"/>
      <c r="TE224" s="18"/>
      <c r="TF224" s="18"/>
      <c r="TG224" s="18"/>
      <c r="TH224" s="18"/>
      <c r="TI224" s="18"/>
      <c r="TJ224" s="18"/>
      <c r="TK224" s="18"/>
      <c r="TL224" s="18"/>
      <c r="TM224" s="18"/>
      <c r="TN224" s="18"/>
      <c r="TO224" s="18"/>
      <c r="TP224" s="18"/>
      <c r="TQ224" s="18"/>
      <c r="TR224" s="18"/>
      <c r="TS224" s="18"/>
      <c r="TT224" s="18"/>
      <c r="TU224" s="18"/>
      <c r="TV224" s="18"/>
      <c r="TW224" s="18"/>
      <c r="TX224" s="18"/>
      <c r="TY224" s="18"/>
      <c r="TZ224" s="18"/>
      <c r="UA224" s="18"/>
      <c r="UB224" s="18"/>
      <c r="UC224" s="18"/>
      <c r="UD224" s="18"/>
      <c r="UE224" s="18"/>
      <c r="UF224" s="18"/>
      <c r="UG224" s="18"/>
      <c r="UH224" s="18"/>
      <c r="UI224" s="18"/>
      <c r="UJ224" s="18"/>
      <c r="UK224" s="18"/>
      <c r="UL224" s="18"/>
      <c r="UM224" s="18"/>
      <c r="UN224" s="18"/>
      <c r="UO224" s="18"/>
      <c r="UP224" s="18"/>
      <c r="UQ224" s="18"/>
      <c r="UR224" s="18"/>
      <c r="US224" s="18"/>
      <c r="UT224" s="18"/>
      <c r="UU224" s="18"/>
      <c r="UV224" s="18"/>
      <c r="UW224" s="18"/>
      <c r="UX224" s="18"/>
      <c r="UY224" s="18"/>
      <c r="UZ224" s="18"/>
      <c r="VA224" s="18"/>
      <c r="VB224" s="18"/>
      <c r="VC224" s="18"/>
      <c r="VD224" s="18"/>
      <c r="VE224" s="18"/>
      <c r="VF224" s="18"/>
      <c r="VG224" s="18"/>
      <c r="VH224" s="18"/>
      <c r="VI224" s="18"/>
      <c r="VJ224" s="18"/>
      <c r="VK224" s="18"/>
      <c r="VL224" s="18"/>
      <c r="VM224" s="18"/>
      <c r="VN224" s="18"/>
      <c r="VO224" s="18"/>
      <c r="VP224" s="18"/>
      <c r="VQ224" s="18"/>
      <c r="VR224" s="18"/>
      <c r="VS224" s="18"/>
      <c r="VT224" s="18"/>
      <c r="VU224" s="18"/>
      <c r="VV224" s="18"/>
      <c r="VW224" s="18"/>
      <c r="VX224" s="18"/>
      <c r="VY224" s="18"/>
      <c r="VZ224" s="18"/>
      <c r="WA224" s="18"/>
      <c r="WB224" s="18"/>
      <c r="WC224" s="18"/>
      <c r="WD224" s="18"/>
      <c r="WE224" s="18"/>
      <c r="WF224" s="18"/>
      <c r="WG224" s="18"/>
      <c r="WH224" s="18"/>
      <c r="WI224" s="18"/>
      <c r="WJ224" s="18"/>
      <c r="WK224" s="18"/>
      <c r="WL224" s="18"/>
      <c r="WM224" s="18"/>
      <c r="WN224" s="18"/>
      <c r="WO224" s="18"/>
      <c r="WP224" s="18"/>
      <c r="WQ224" s="18"/>
      <c r="WR224" s="18"/>
      <c r="WS224" s="18"/>
      <c r="WT224" s="18"/>
      <c r="WU224" s="18"/>
      <c r="WV224" s="18"/>
      <c r="WW224" s="18"/>
      <c r="WX224" s="18"/>
      <c r="WY224" s="18"/>
      <c r="WZ224" s="18"/>
      <c r="XA224" s="18"/>
      <c r="XB224" s="18"/>
      <c r="XC224" s="18"/>
      <c r="XD224" s="18"/>
      <c r="XE224" s="18"/>
      <c r="XF224" s="18"/>
      <c r="XG224" s="18"/>
      <c r="XH224" s="18"/>
      <c r="XI224" s="18"/>
      <c r="XJ224" s="18"/>
      <c r="XK224" s="18"/>
      <c r="XL224" s="18"/>
      <c r="XM224" s="18"/>
      <c r="XN224" s="18"/>
      <c r="XO224" s="18"/>
      <c r="XP224" s="18"/>
      <c r="XQ224" s="18"/>
      <c r="XR224" s="18"/>
      <c r="XS224" s="18"/>
      <c r="XT224" s="18"/>
      <c r="XU224" s="18"/>
      <c r="XV224" s="18"/>
      <c r="XW224" s="18"/>
      <c r="XX224" s="18"/>
      <c r="XY224" s="18"/>
      <c r="XZ224" s="18"/>
      <c r="YA224" s="18"/>
      <c r="YB224" s="18"/>
      <c r="YC224" s="18"/>
      <c r="YD224" s="18"/>
      <c r="YE224" s="18"/>
      <c r="YF224" s="18"/>
      <c r="YG224" s="18"/>
      <c r="YH224" s="18"/>
      <c r="YI224" s="18"/>
      <c r="YJ224" s="18"/>
      <c r="YK224" s="18"/>
      <c r="YL224" s="18"/>
      <c r="YM224" s="18"/>
      <c r="YN224" s="18"/>
      <c r="YO224" s="18"/>
      <c r="YP224" s="18"/>
      <c r="YQ224" s="18"/>
      <c r="YR224" s="18"/>
      <c r="YS224" s="18"/>
      <c r="YT224" s="18"/>
      <c r="YU224" s="18"/>
      <c r="YV224" s="18"/>
      <c r="YW224" s="18"/>
      <c r="YX224" s="18"/>
      <c r="YY224" s="18"/>
      <c r="YZ224" s="18"/>
      <c r="ZA224" s="18"/>
      <c r="ZB224" s="18"/>
      <c r="ZC224" s="18"/>
      <c r="ZD224" s="18"/>
      <c r="ZE224" s="18"/>
      <c r="ZF224" s="18"/>
      <c r="ZG224" s="18"/>
      <c r="ZH224" s="18"/>
      <c r="ZI224" s="18"/>
      <c r="ZJ224" s="18"/>
      <c r="ZK224" s="18"/>
      <c r="ZL224" s="18"/>
      <c r="ZM224" s="18"/>
      <c r="ZN224" s="18"/>
      <c r="ZO224" s="18"/>
      <c r="ZP224" s="18"/>
      <c r="ZQ224" s="18"/>
      <c r="ZR224" s="18"/>
      <c r="ZS224" s="18"/>
      <c r="ZT224" s="18"/>
      <c r="ZU224" s="18"/>
      <c r="ZV224" s="18"/>
      <c r="ZW224" s="18"/>
      <c r="ZX224" s="18"/>
      <c r="ZY224" s="18"/>
      <c r="ZZ224" s="18"/>
      <c r="AAA224" s="18"/>
      <c r="AAB224" s="18"/>
      <c r="AAC224" s="18"/>
      <c r="AAD224" s="18"/>
      <c r="AAE224" s="18"/>
      <c r="AAF224" s="18"/>
      <c r="AAG224" s="18"/>
      <c r="AAH224" s="18"/>
      <c r="AAI224" s="18"/>
      <c r="AAJ224" s="18"/>
      <c r="AAK224" s="18"/>
      <c r="AAL224" s="18"/>
      <c r="AAM224" s="18"/>
      <c r="AAN224" s="18"/>
      <c r="AAO224" s="18"/>
      <c r="AAP224" s="18"/>
      <c r="AAQ224" s="18"/>
      <c r="AAR224" s="18"/>
      <c r="AAS224" s="18"/>
      <c r="AAT224" s="18"/>
      <c r="AAU224" s="18"/>
      <c r="AAV224" s="18"/>
      <c r="AAW224" s="18"/>
      <c r="AAX224" s="18"/>
      <c r="AAY224" s="18"/>
      <c r="AAZ224" s="18"/>
      <c r="ABA224" s="18"/>
      <c r="ABB224" s="18"/>
      <c r="ABC224" s="18"/>
      <c r="ABD224" s="18"/>
      <c r="ABE224" s="18"/>
      <c r="ABF224" s="18"/>
      <c r="ABG224" s="18"/>
      <c r="ABH224" s="18"/>
      <c r="ABI224" s="18"/>
      <c r="ABJ224" s="18"/>
      <c r="ABK224" s="18"/>
      <c r="ABL224" s="18"/>
      <c r="ABM224" s="18"/>
      <c r="ABN224" s="18"/>
      <c r="ABO224" s="18"/>
      <c r="ABP224" s="18"/>
      <c r="ABQ224" s="18"/>
      <c r="ABR224" s="18"/>
      <c r="ABS224" s="18"/>
      <c r="ABT224" s="18"/>
      <c r="ABU224" s="18"/>
      <c r="ABV224" s="18"/>
      <c r="ABW224" s="18"/>
      <c r="ABX224" s="18"/>
      <c r="ABY224" s="18"/>
      <c r="ABZ224" s="18"/>
      <c r="ACA224" s="18"/>
      <c r="ACB224" s="18"/>
      <c r="ACC224" s="18"/>
      <c r="ACD224" s="18"/>
      <c r="ACE224" s="18"/>
      <c r="ACF224" s="18"/>
      <c r="ACG224" s="18"/>
      <c r="ACH224" s="18"/>
      <c r="ACI224" s="18"/>
      <c r="ACJ224" s="18"/>
      <c r="ACK224" s="18"/>
      <c r="ACL224" s="18"/>
      <c r="ACM224" s="18"/>
      <c r="ACN224" s="18"/>
      <c r="ACO224" s="18"/>
      <c r="ACP224" s="18"/>
      <c r="ACQ224" s="18"/>
      <c r="ACR224" s="18"/>
      <c r="ACS224" s="18"/>
      <c r="ACT224" s="18"/>
      <c r="ACU224" s="18"/>
      <c r="ACV224" s="18"/>
      <c r="ACW224" s="18"/>
      <c r="ACX224" s="18"/>
      <c r="ACY224" s="18"/>
      <c r="ACZ224" s="18"/>
      <c r="ADA224" s="18"/>
      <c r="ADB224" s="18"/>
      <c r="ADC224" s="18"/>
      <c r="ADD224" s="18"/>
      <c r="ADE224" s="18"/>
      <c r="ADF224" s="18"/>
      <c r="ADG224" s="18"/>
      <c r="ADH224" s="18"/>
      <c r="ADI224" s="18"/>
      <c r="ADJ224" s="18"/>
      <c r="ADK224" s="18"/>
      <c r="ADL224" s="18"/>
      <c r="ADM224" s="18"/>
      <c r="ADN224" s="18"/>
      <c r="ADO224" s="18"/>
      <c r="ADP224" s="18"/>
      <c r="ADQ224" s="18"/>
      <c r="ADR224" s="18"/>
      <c r="ADS224" s="18"/>
      <c r="ADT224" s="18"/>
      <c r="ADU224" s="18"/>
      <c r="ADV224" s="18"/>
      <c r="ADW224" s="18"/>
      <c r="ADX224" s="18"/>
      <c r="ADY224" s="18"/>
      <c r="ADZ224" s="18"/>
      <c r="AEA224" s="18"/>
      <c r="AEB224" s="18"/>
      <c r="AEC224" s="18"/>
      <c r="AED224" s="18"/>
      <c r="AEE224" s="18"/>
      <c r="AEF224" s="18"/>
      <c r="AEG224" s="18"/>
      <c r="AEH224" s="18"/>
      <c r="AEI224" s="18"/>
      <c r="AEJ224" s="18"/>
      <c r="AEK224" s="18"/>
      <c r="AEL224" s="18"/>
      <c r="AEM224" s="18"/>
      <c r="AEN224" s="18"/>
      <c r="AEO224" s="18"/>
      <c r="AEP224" s="18"/>
      <c r="AEQ224" s="18"/>
      <c r="AER224" s="18"/>
      <c r="AES224" s="18"/>
      <c r="AET224" s="18"/>
      <c r="AEU224" s="18"/>
      <c r="AEV224" s="18"/>
      <c r="AEW224" s="18"/>
      <c r="AEX224" s="18"/>
      <c r="AEY224" s="18"/>
      <c r="AEZ224" s="18"/>
      <c r="AFA224" s="18"/>
      <c r="AFB224" s="18"/>
      <c r="AFC224" s="18"/>
      <c r="AFD224" s="18"/>
      <c r="AFE224" s="18"/>
      <c r="AFF224" s="18"/>
      <c r="AFG224" s="18"/>
      <c r="AFH224" s="18"/>
      <c r="AFI224" s="18"/>
      <c r="AFJ224" s="18"/>
      <c r="AFK224" s="18"/>
      <c r="AFL224" s="18"/>
      <c r="AFM224" s="18"/>
      <c r="AFN224" s="18"/>
      <c r="AFO224" s="18"/>
      <c r="AFP224" s="18"/>
      <c r="AFQ224" s="18"/>
      <c r="AFR224" s="18"/>
      <c r="AFS224" s="18"/>
      <c r="AFT224" s="18"/>
      <c r="AFU224" s="18"/>
      <c r="AFV224" s="18"/>
      <c r="AFW224" s="18"/>
      <c r="AFX224" s="18"/>
      <c r="AFY224" s="18"/>
      <c r="AFZ224" s="18"/>
      <c r="AGA224" s="18"/>
      <c r="AGB224" s="18"/>
      <c r="AGC224" s="18"/>
      <c r="AGD224" s="18"/>
      <c r="AGE224" s="18"/>
      <c r="AGF224" s="18"/>
      <c r="AGG224" s="18"/>
      <c r="AGH224" s="18"/>
      <c r="AGI224" s="18"/>
      <c r="AGJ224" s="18"/>
      <c r="AGK224" s="18"/>
      <c r="AGL224" s="18"/>
      <c r="AGM224" s="18"/>
      <c r="AGN224" s="18"/>
      <c r="AGO224" s="18"/>
      <c r="AGP224" s="18"/>
      <c r="AGQ224" s="18"/>
      <c r="AGR224" s="18"/>
      <c r="AGS224" s="18"/>
      <c r="AGT224" s="18"/>
      <c r="AGU224" s="18"/>
      <c r="AGV224" s="18"/>
      <c r="AGW224" s="18"/>
      <c r="AGX224" s="18"/>
      <c r="AGY224" s="18"/>
      <c r="AGZ224" s="18"/>
      <c r="AHA224" s="18"/>
      <c r="AHB224" s="18"/>
      <c r="AHC224" s="18"/>
      <c r="AHD224" s="18"/>
      <c r="AHE224" s="18"/>
      <c r="AHF224" s="18"/>
      <c r="AHG224" s="18"/>
      <c r="AHH224" s="18"/>
      <c r="AHI224" s="18"/>
      <c r="AHJ224" s="18"/>
      <c r="AHK224" s="18"/>
      <c r="AHL224" s="18"/>
      <c r="AHM224" s="18"/>
      <c r="AHN224" s="18"/>
      <c r="AHO224" s="18"/>
      <c r="AHP224" s="18"/>
      <c r="AHQ224" s="18"/>
      <c r="AHR224" s="18"/>
      <c r="AHS224" s="18"/>
      <c r="AHT224" s="18"/>
      <c r="AHU224" s="18"/>
      <c r="AHV224" s="18"/>
      <c r="AHW224" s="18"/>
      <c r="AHX224" s="18"/>
      <c r="AHY224" s="18"/>
      <c r="AHZ224" s="18"/>
      <c r="AIA224" s="18"/>
      <c r="AIB224" s="18"/>
      <c r="AIC224" s="18"/>
      <c r="AID224" s="18"/>
      <c r="AIE224" s="18"/>
      <c r="AIF224" s="18"/>
      <c r="AIG224" s="18"/>
      <c r="AIH224" s="18"/>
      <c r="AII224" s="18"/>
      <c r="AIJ224" s="18"/>
      <c r="AIK224" s="18"/>
      <c r="AIL224" s="18"/>
      <c r="AIM224" s="18"/>
      <c r="AIN224" s="18"/>
      <c r="AIO224" s="18"/>
      <c r="AIP224" s="18"/>
      <c r="AIQ224" s="18"/>
      <c r="AIR224" s="18"/>
      <c r="AIS224" s="18"/>
      <c r="AIT224" s="18"/>
      <c r="AIU224" s="18"/>
      <c r="AIV224" s="18"/>
      <c r="AIW224" s="18"/>
      <c r="AIX224" s="18"/>
      <c r="AIY224" s="18"/>
      <c r="AIZ224" s="18"/>
      <c r="AJA224" s="18"/>
      <c r="AJB224" s="18"/>
      <c r="AJC224" s="18"/>
      <c r="AJD224" s="18"/>
      <c r="AJE224" s="18"/>
      <c r="AJF224" s="18"/>
      <c r="AJG224" s="18"/>
      <c r="AJH224" s="18"/>
      <c r="AJI224" s="18"/>
      <c r="AJJ224" s="18"/>
      <c r="AJK224" s="18"/>
      <c r="AJL224" s="18"/>
      <c r="AJM224" s="18"/>
      <c r="AJN224" s="18"/>
      <c r="AJO224" s="18"/>
      <c r="AJP224" s="18"/>
      <c r="AJQ224" s="18"/>
      <c r="AJR224" s="18"/>
      <c r="AJS224" s="18"/>
      <c r="AJT224" s="18"/>
      <c r="AJU224" s="18"/>
      <c r="AJV224" s="18"/>
      <c r="AJW224" s="18"/>
      <c r="AJX224" s="18"/>
      <c r="AJY224" s="18"/>
      <c r="AJZ224" s="18"/>
      <c r="AKA224" s="18"/>
      <c r="AKB224" s="18"/>
      <c r="AKC224" s="18"/>
      <c r="AKD224" s="18"/>
      <c r="AKE224" s="18"/>
      <c r="AKF224" s="18"/>
      <c r="AKG224" s="18"/>
      <c r="AKH224" s="18"/>
      <c r="AKI224" s="18"/>
      <c r="AKJ224" s="18"/>
      <c r="AKK224" s="18"/>
      <c r="AKL224" s="18"/>
      <c r="AKM224" s="18"/>
      <c r="AKN224" s="18"/>
      <c r="AKO224" s="18"/>
      <c r="AKP224" s="18"/>
      <c r="AKQ224" s="18"/>
      <c r="AKR224" s="18"/>
      <c r="AKS224" s="18"/>
      <c r="AKT224" s="18"/>
      <c r="AKU224" s="18"/>
      <c r="AKV224" s="18"/>
      <c r="AKW224" s="18"/>
      <c r="AKX224" s="18"/>
      <c r="AKY224" s="18"/>
      <c r="AKZ224" s="18"/>
      <c r="ALA224" s="18"/>
      <c r="ALB224" s="18"/>
      <c r="ALC224" s="18"/>
      <c r="ALD224" s="18"/>
      <c r="ALE224" s="18"/>
      <c r="ALF224" s="18"/>
      <c r="ALG224" s="18"/>
      <c r="ALH224" s="18"/>
      <c r="ALI224" s="18"/>
      <c r="ALJ224" s="18"/>
      <c r="ALK224" s="18"/>
      <c r="ALL224" s="18"/>
      <c r="ALM224" s="18"/>
      <c r="ALN224" s="18"/>
      <c r="ALO224" s="18"/>
      <c r="ALP224" s="18"/>
      <c r="ALQ224" s="18"/>
      <c r="ALR224" s="18"/>
      <c r="ALS224" s="18"/>
      <c r="ALT224" s="18"/>
      <c r="ALU224" s="18"/>
      <c r="ALV224" s="18"/>
      <c r="ALW224" s="18"/>
      <c r="ALX224" s="18"/>
      <c r="ALY224" s="18"/>
      <c r="ALZ224" s="18"/>
      <c r="AMA224" s="18"/>
      <c r="AMB224" s="18"/>
      <c r="AMC224" s="18"/>
      <c r="AMD224" s="18"/>
      <c r="AME224" s="18"/>
      <c r="AMF224" s="18"/>
      <c r="AMG224" s="18"/>
      <c r="AMH224" s="18"/>
      <c r="AMI224" s="18"/>
      <c r="AMJ224" s="18"/>
      <c r="AMK224" s="18"/>
      <c r="AML224" s="18"/>
      <c r="AMM224" s="18"/>
      <c r="AMN224" s="18"/>
      <c r="AMO224" s="18"/>
      <c r="AMP224" s="18"/>
      <c r="AMQ224" s="18"/>
      <c r="AMR224" s="18"/>
      <c r="AMS224" s="18"/>
      <c r="AMT224" s="18"/>
      <c r="AMU224" s="18"/>
      <c r="AMV224" s="18"/>
      <c r="AMW224" s="18"/>
      <c r="AMX224" s="18"/>
      <c r="AMY224" s="18"/>
      <c r="AMZ224" s="18"/>
      <c r="ANA224" s="18"/>
      <c r="ANB224" s="18"/>
      <c r="ANC224" s="18"/>
      <c r="AND224" s="18"/>
      <c r="ANE224" s="18"/>
      <c r="ANF224" s="18"/>
      <c r="ANG224" s="18"/>
      <c r="ANH224" s="18"/>
      <c r="ANI224" s="18"/>
      <c r="ANJ224" s="18"/>
      <c r="ANK224" s="18"/>
      <c r="ANL224" s="18"/>
      <c r="ANM224" s="18"/>
      <c r="ANN224" s="18"/>
      <c r="ANO224" s="18"/>
      <c r="ANP224" s="18"/>
      <c r="ANQ224" s="18"/>
      <c r="ANR224" s="18"/>
      <c r="ANS224" s="18"/>
      <c r="ANT224" s="18"/>
      <c r="ANU224" s="18"/>
      <c r="ANV224" s="18"/>
      <c r="ANW224" s="18"/>
      <c r="ANX224" s="18"/>
      <c r="ANY224" s="18"/>
      <c r="ANZ224" s="18"/>
      <c r="AOA224" s="18"/>
      <c r="AOB224" s="18"/>
      <c r="AOC224" s="18"/>
      <c r="AOD224" s="18"/>
      <c r="AOE224" s="18"/>
      <c r="AOF224" s="18"/>
      <c r="AOG224" s="18"/>
      <c r="AOH224" s="18"/>
      <c r="AOI224" s="18"/>
      <c r="AOJ224" s="18"/>
      <c r="AOK224" s="18"/>
      <c r="AOL224" s="18"/>
      <c r="AOM224" s="18"/>
      <c r="AON224" s="18"/>
      <c r="AOO224" s="18"/>
      <c r="AOP224" s="18"/>
      <c r="AOQ224" s="18"/>
      <c r="AOR224" s="18"/>
      <c r="AOS224" s="18"/>
      <c r="AOT224" s="18"/>
      <c r="AOU224" s="18"/>
      <c r="AOV224" s="18"/>
      <c r="AOW224" s="18"/>
      <c r="AOX224" s="18"/>
      <c r="AOY224" s="18"/>
      <c r="AOZ224" s="18"/>
      <c r="APA224" s="18"/>
      <c r="APB224" s="18"/>
      <c r="APC224" s="18"/>
      <c r="APD224" s="18"/>
      <c r="APE224" s="18"/>
      <c r="APF224" s="18"/>
      <c r="APG224" s="18"/>
      <c r="APH224" s="18"/>
      <c r="API224" s="18"/>
      <c r="APJ224" s="18"/>
      <c r="APK224" s="18"/>
      <c r="APL224" s="18"/>
      <c r="APM224" s="18"/>
      <c r="APN224" s="18"/>
      <c r="APO224" s="18"/>
      <c r="APP224" s="18"/>
      <c r="APQ224" s="18"/>
      <c r="APR224" s="18"/>
      <c r="APS224" s="18"/>
      <c r="APT224" s="18"/>
      <c r="APU224" s="18"/>
      <c r="APV224" s="18"/>
      <c r="APW224" s="18"/>
      <c r="APX224" s="18"/>
      <c r="APY224" s="18"/>
      <c r="APZ224" s="18"/>
      <c r="AQA224" s="18"/>
      <c r="AQB224" s="18"/>
      <c r="AQC224" s="18"/>
      <c r="AQD224" s="18"/>
      <c r="AQE224" s="18"/>
      <c r="AQF224" s="18"/>
      <c r="AQG224" s="18"/>
      <c r="AQH224" s="18"/>
      <c r="AQI224" s="18"/>
      <c r="AQJ224" s="18"/>
      <c r="AQK224" s="18"/>
      <c r="AQL224" s="18"/>
      <c r="AQM224" s="18"/>
      <c r="AQN224" s="18"/>
      <c r="AQO224" s="18"/>
      <c r="AQP224" s="18"/>
      <c r="AQQ224" s="18"/>
      <c r="AQR224" s="18"/>
      <c r="AQS224" s="18"/>
      <c r="AQT224" s="18"/>
      <c r="AQU224" s="18"/>
      <c r="AQV224" s="18"/>
      <c r="AQW224" s="18"/>
      <c r="AQX224" s="18"/>
      <c r="AQY224" s="18"/>
      <c r="AQZ224" s="18"/>
      <c r="ARA224" s="18"/>
      <c r="ARB224" s="18"/>
      <c r="ARC224" s="18"/>
      <c r="ARD224" s="18"/>
      <c r="ARE224" s="18"/>
      <c r="ARF224" s="18"/>
      <c r="ARG224" s="18"/>
      <c r="ARH224" s="18"/>
      <c r="ARI224" s="18"/>
      <c r="ARJ224" s="18"/>
      <c r="ARK224" s="18"/>
      <c r="ARL224" s="18"/>
      <c r="ARM224" s="18"/>
      <c r="ARN224" s="18"/>
      <c r="ARO224" s="18"/>
      <c r="ARP224" s="18"/>
      <c r="ARQ224" s="18"/>
      <c r="ARR224" s="18"/>
      <c r="ARS224" s="18"/>
      <c r="ART224" s="18"/>
      <c r="ARU224" s="18"/>
      <c r="ARV224" s="18"/>
      <c r="ARW224" s="18"/>
      <c r="ARX224" s="18"/>
      <c r="ARY224" s="18"/>
      <c r="ARZ224" s="18"/>
      <c r="ASA224" s="18"/>
      <c r="ASB224" s="18"/>
      <c r="ASC224" s="18"/>
      <c r="ASD224" s="18"/>
      <c r="ASE224" s="18"/>
      <c r="ASF224" s="18"/>
      <c r="ASG224" s="18"/>
      <c r="ASH224" s="18"/>
      <c r="ASI224" s="18"/>
      <c r="ASJ224" s="18"/>
      <c r="ASK224" s="18"/>
      <c r="ASL224" s="18"/>
      <c r="ASM224" s="18"/>
      <c r="ASN224" s="18"/>
      <c r="ASO224" s="18"/>
      <c r="ASP224" s="18"/>
      <c r="ASQ224" s="18"/>
      <c r="ASR224" s="18"/>
      <c r="ASS224" s="18"/>
      <c r="AST224" s="18"/>
      <c r="ASU224" s="18"/>
      <c r="ASV224" s="18"/>
      <c r="ASW224" s="18"/>
      <c r="ASX224" s="18"/>
      <c r="ASY224" s="18"/>
      <c r="ASZ224" s="18"/>
      <c r="ATA224" s="18"/>
      <c r="ATB224" s="18"/>
      <c r="ATC224" s="18"/>
      <c r="ATD224" s="18"/>
      <c r="ATE224" s="18"/>
      <c r="ATF224" s="18"/>
      <c r="ATG224" s="18"/>
      <c r="ATH224" s="18"/>
      <c r="ATI224" s="18"/>
      <c r="ATJ224" s="18"/>
      <c r="ATK224" s="18"/>
      <c r="ATL224" s="18"/>
      <c r="ATM224" s="18"/>
      <c r="ATN224" s="18"/>
      <c r="ATO224" s="18"/>
      <c r="ATP224" s="18"/>
      <c r="ATQ224" s="18"/>
      <c r="ATR224" s="18"/>
      <c r="ATS224" s="18"/>
      <c r="ATT224" s="18"/>
      <c r="ATU224" s="18"/>
      <c r="ATV224" s="18"/>
      <c r="ATW224" s="18"/>
      <c r="ATX224" s="18"/>
      <c r="ATY224" s="18"/>
      <c r="ATZ224" s="18"/>
      <c r="AUA224" s="18"/>
      <c r="AUB224" s="18"/>
      <c r="AUC224" s="18"/>
      <c r="AUD224" s="18"/>
      <c r="AUE224" s="18"/>
      <c r="AUF224" s="18"/>
      <c r="AUG224" s="18"/>
      <c r="AUH224" s="18"/>
      <c r="AUI224" s="18"/>
      <c r="AUJ224" s="18"/>
      <c r="AUK224" s="18"/>
      <c r="AUL224" s="18"/>
      <c r="AUM224" s="18"/>
      <c r="AUN224" s="18"/>
      <c r="AUO224" s="18"/>
      <c r="AUP224" s="18"/>
      <c r="AUQ224" s="18"/>
      <c r="AUR224" s="18"/>
      <c r="AUS224" s="18"/>
      <c r="AUT224" s="18"/>
      <c r="AUU224" s="18"/>
      <c r="AUV224" s="18"/>
      <c r="AUW224" s="18"/>
      <c r="AUX224" s="18"/>
      <c r="AUY224" s="18"/>
      <c r="AUZ224" s="18"/>
      <c r="AVA224" s="18"/>
      <c r="AVB224" s="18"/>
      <c r="AVC224" s="18"/>
      <c r="AVD224" s="18"/>
      <c r="AVE224" s="18"/>
      <c r="AVF224" s="18"/>
      <c r="AVG224" s="18"/>
      <c r="AVH224" s="18"/>
      <c r="AVI224" s="18"/>
      <c r="AVJ224" s="18"/>
      <c r="AVK224" s="18"/>
      <c r="AVL224" s="18"/>
      <c r="AVM224" s="18"/>
      <c r="AVN224" s="18"/>
      <c r="AVO224" s="18"/>
      <c r="AVP224" s="18"/>
      <c r="AVQ224" s="18"/>
      <c r="AVR224" s="18"/>
      <c r="AVS224" s="18"/>
      <c r="AVT224" s="18"/>
      <c r="AVU224" s="18"/>
      <c r="AVV224" s="18"/>
      <c r="AVW224" s="18"/>
      <c r="AVX224" s="18"/>
      <c r="AVY224" s="18"/>
      <c r="AVZ224" s="18"/>
      <c r="AWA224" s="18"/>
      <c r="AWB224" s="18"/>
      <c r="AWC224" s="18"/>
      <c r="AWD224" s="18"/>
      <c r="AWE224" s="18"/>
      <c r="AWF224" s="18"/>
      <c r="AWG224" s="18"/>
      <c r="AWH224" s="18"/>
      <c r="AWI224" s="18"/>
      <c r="AWJ224" s="18"/>
      <c r="AWK224" s="18"/>
      <c r="AWL224" s="18"/>
      <c r="AWM224" s="18"/>
      <c r="AWN224" s="18"/>
      <c r="AWO224" s="18"/>
      <c r="AWP224" s="18"/>
      <c r="AWQ224" s="18"/>
      <c r="AWR224" s="18"/>
      <c r="AWS224" s="18"/>
      <c r="AWT224" s="18"/>
      <c r="AWU224" s="18"/>
      <c r="AWV224" s="18"/>
      <c r="AWW224" s="18"/>
      <c r="AWX224" s="18"/>
      <c r="AWY224" s="18"/>
      <c r="AWZ224" s="18"/>
      <c r="AXA224" s="18"/>
      <c r="AXB224" s="18"/>
      <c r="AXC224" s="18"/>
      <c r="AXD224" s="18"/>
      <c r="AXE224" s="18"/>
      <c r="AXF224" s="18"/>
      <c r="AXG224" s="18"/>
      <c r="AXH224" s="18"/>
      <c r="AXI224" s="18"/>
      <c r="AXJ224" s="18"/>
      <c r="AXK224" s="18"/>
      <c r="AXL224" s="18"/>
      <c r="AXM224" s="18"/>
      <c r="AXN224" s="18"/>
      <c r="AXO224" s="18"/>
      <c r="AXP224" s="18"/>
      <c r="AXQ224" s="18"/>
      <c r="AXR224" s="18"/>
      <c r="AXS224" s="18"/>
      <c r="AXT224" s="18"/>
      <c r="AXU224" s="18"/>
      <c r="AXV224" s="18"/>
      <c r="AXW224" s="18"/>
      <c r="AXX224" s="18"/>
      <c r="AXY224" s="18"/>
      <c r="AXZ224" s="18"/>
      <c r="AYA224" s="18"/>
      <c r="AYB224" s="18"/>
      <c r="AYC224" s="18"/>
      <c r="AYD224" s="18"/>
      <c r="AYE224" s="18"/>
      <c r="AYF224" s="18"/>
      <c r="AYG224" s="18"/>
      <c r="AYH224" s="18"/>
      <c r="AYI224" s="18"/>
      <c r="AYJ224" s="18"/>
      <c r="AYK224" s="18"/>
      <c r="AYL224" s="18"/>
      <c r="AYM224" s="18"/>
      <c r="AYN224" s="18"/>
      <c r="AYO224" s="18"/>
      <c r="AYP224" s="18"/>
      <c r="AYQ224" s="18"/>
      <c r="AYR224" s="18"/>
      <c r="AYS224" s="18"/>
      <c r="AYT224" s="18"/>
      <c r="AYU224" s="18"/>
      <c r="AYV224" s="18"/>
      <c r="AYW224" s="18"/>
      <c r="AYX224" s="18"/>
      <c r="AYY224" s="18"/>
      <c r="AYZ224" s="18"/>
      <c r="AZA224" s="18"/>
      <c r="AZB224" s="18"/>
      <c r="AZC224" s="18"/>
      <c r="AZD224" s="18"/>
      <c r="AZE224" s="18"/>
      <c r="AZF224" s="18"/>
      <c r="AZG224" s="18"/>
      <c r="AZH224" s="18"/>
      <c r="AZI224" s="18"/>
      <c r="AZJ224" s="18"/>
      <c r="AZK224" s="18"/>
      <c r="AZL224" s="18"/>
      <c r="AZM224" s="18"/>
      <c r="AZN224" s="18"/>
      <c r="AZO224" s="18"/>
      <c r="AZP224" s="18"/>
      <c r="AZQ224" s="18"/>
      <c r="AZR224" s="18"/>
      <c r="AZS224" s="18"/>
      <c r="AZT224" s="18"/>
      <c r="AZU224" s="18"/>
      <c r="AZV224" s="18"/>
      <c r="AZW224" s="18"/>
      <c r="AZX224" s="18"/>
      <c r="AZY224" s="18"/>
      <c r="AZZ224" s="18"/>
      <c r="BAA224" s="18"/>
      <c r="BAB224" s="18"/>
      <c r="BAC224" s="18"/>
      <c r="BAD224" s="18"/>
      <c r="BAE224" s="18"/>
      <c r="BAF224" s="18"/>
      <c r="BAG224" s="18"/>
      <c r="BAH224" s="18"/>
      <c r="BAI224" s="18"/>
      <c r="BAJ224" s="18"/>
      <c r="BAK224" s="18"/>
      <c r="BAL224" s="18"/>
      <c r="BAM224" s="18"/>
      <c r="BAN224" s="18"/>
      <c r="BAO224" s="18"/>
      <c r="BAP224" s="18"/>
      <c r="BAQ224" s="18"/>
      <c r="BAR224" s="18"/>
      <c r="BAS224" s="18"/>
      <c r="BAT224" s="18"/>
      <c r="BAU224" s="18"/>
      <c r="BAV224" s="18"/>
      <c r="BAW224" s="18"/>
      <c r="BAX224" s="18"/>
      <c r="BAY224" s="18"/>
      <c r="BAZ224" s="18"/>
      <c r="BBA224" s="18"/>
      <c r="BBB224" s="18"/>
      <c r="BBC224" s="18"/>
      <c r="BBD224" s="18"/>
      <c r="BBE224" s="18"/>
      <c r="BBF224" s="18"/>
      <c r="BBG224" s="18"/>
      <c r="BBH224" s="18"/>
      <c r="BBI224" s="18"/>
      <c r="BBJ224" s="18"/>
      <c r="BBK224" s="18"/>
      <c r="BBL224" s="18"/>
      <c r="BBM224" s="18"/>
      <c r="BBN224" s="18"/>
      <c r="BBO224" s="18"/>
      <c r="BBP224" s="18"/>
      <c r="BBQ224" s="18"/>
      <c r="BBR224" s="18"/>
      <c r="BBS224" s="18"/>
      <c r="BBT224" s="18"/>
      <c r="BBU224" s="18"/>
      <c r="BBV224" s="18"/>
      <c r="BBW224" s="18"/>
      <c r="BBX224" s="18"/>
      <c r="BBY224" s="18"/>
      <c r="BBZ224" s="18"/>
      <c r="BCA224" s="18"/>
      <c r="BCB224" s="18"/>
      <c r="BCC224" s="18"/>
      <c r="BCD224" s="18"/>
      <c r="BCE224" s="18"/>
      <c r="BCF224" s="18"/>
      <c r="BCG224" s="18"/>
      <c r="BCH224" s="18"/>
      <c r="BCI224" s="18"/>
      <c r="BCJ224" s="18"/>
      <c r="BCK224" s="18"/>
      <c r="BCL224" s="18"/>
      <c r="BCM224" s="18"/>
      <c r="BCN224" s="18"/>
      <c r="BCO224" s="18"/>
      <c r="BCP224" s="18"/>
      <c r="BCQ224" s="18"/>
      <c r="BCR224" s="18"/>
      <c r="BCS224" s="18"/>
      <c r="BCT224" s="18"/>
      <c r="BCU224" s="18"/>
      <c r="BCV224" s="18"/>
      <c r="BCW224" s="18"/>
      <c r="BCX224" s="18"/>
      <c r="BCY224" s="18"/>
      <c r="BCZ224" s="18"/>
      <c r="BDA224" s="18"/>
      <c r="BDB224" s="18"/>
      <c r="BDC224" s="18"/>
      <c r="BDD224" s="18"/>
      <c r="BDE224" s="18"/>
      <c r="BDF224" s="18"/>
      <c r="BDG224" s="18"/>
      <c r="BDH224" s="18"/>
      <c r="BDI224" s="18"/>
      <c r="BDJ224" s="18"/>
      <c r="BDK224" s="18"/>
      <c r="BDL224" s="18"/>
      <c r="BDM224" s="18"/>
      <c r="BDN224" s="18"/>
      <c r="BDO224" s="18"/>
      <c r="BDP224" s="18"/>
      <c r="BDQ224" s="18"/>
      <c r="BDR224" s="18"/>
      <c r="BDS224" s="18"/>
      <c r="BDT224" s="18"/>
      <c r="BDU224" s="18"/>
      <c r="BDV224" s="18"/>
      <c r="BDW224" s="18"/>
      <c r="BDX224" s="18"/>
      <c r="BDY224" s="18"/>
      <c r="BDZ224" s="18"/>
      <c r="BEA224" s="18"/>
      <c r="BEB224" s="18"/>
      <c r="BEC224" s="18"/>
      <c r="BED224" s="18"/>
      <c r="BEE224" s="18"/>
      <c r="BEF224" s="18"/>
      <c r="BEG224" s="18"/>
      <c r="BEH224" s="18"/>
      <c r="BEI224" s="18"/>
      <c r="BEJ224" s="18"/>
      <c r="BEK224" s="18"/>
      <c r="BEL224" s="18"/>
      <c r="BEM224" s="18"/>
      <c r="BEN224" s="18"/>
      <c r="BEO224" s="18"/>
      <c r="BEP224" s="18"/>
      <c r="BEQ224" s="18"/>
      <c r="BER224" s="18"/>
      <c r="BES224" s="18"/>
      <c r="BET224" s="18"/>
      <c r="BEU224" s="18"/>
      <c r="BEV224" s="18"/>
      <c r="BEW224" s="18"/>
      <c r="BEX224" s="18"/>
      <c r="BEY224" s="18"/>
      <c r="BEZ224" s="18"/>
      <c r="BFA224" s="18"/>
      <c r="BFB224" s="18"/>
      <c r="BFC224" s="18"/>
      <c r="BFD224" s="18"/>
      <c r="BFE224" s="18"/>
      <c r="BFF224" s="18"/>
      <c r="BFG224" s="18"/>
      <c r="BFH224" s="18"/>
      <c r="BFI224" s="18"/>
      <c r="BFJ224" s="18"/>
      <c r="BFK224" s="18"/>
      <c r="BFL224" s="18"/>
      <c r="BFM224" s="18"/>
      <c r="BFN224" s="18"/>
      <c r="BFO224" s="18"/>
      <c r="BFP224" s="18"/>
      <c r="BFQ224" s="18"/>
      <c r="BFR224" s="18"/>
      <c r="BFS224" s="18"/>
      <c r="BFT224" s="18"/>
      <c r="BFU224" s="18"/>
      <c r="BFV224" s="18"/>
      <c r="BFW224" s="18"/>
      <c r="BFX224" s="18"/>
      <c r="BFY224" s="18"/>
      <c r="BFZ224" s="18"/>
      <c r="BGA224" s="18"/>
      <c r="BGB224" s="18"/>
      <c r="BGC224" s="18"/>
      <c r="BGD224" s="18"/>
      <c r="BGE224" s="18"/>
      <c r="BGF224" s="18"/>
      <c r="BGG224" s="18"/>
      <c r="BGH224" s="18"/>
      <c r="BGI224" s="18"/>
      <c r="BGJ224" s="18"/>
      <c r="BGK224" s="18"/>
      <c r="BGL224" s="18"/>
      <c r="BGM224" s="18"/>
      <c r="BGN224" s="18"/>
      <c r="BGO224" s="18"/>
      <c r="BGP224" s="18"/>
      <c r="BGQ224" s="18"/>
      <c r="BGR224" s="18"/>
      <c r="BGS224" s="18"/>
      <c r="BGT224" s="18"/>
      <c r="BGU224" s="18"/>
      <c r="BGV224" s="18"/>
      <c r="BGW224" s="18"/>
      <c r="BGX224" s="18"/>
      <c r="BGY224" s="18"/>
      <c r="BGZ224" s="18"/>
      <c r="BHA224" s="18"/>
      <c r="BHB224" s="18"/>
      <c r="BHC224" s="18"/>
      <c r="BHD224" s="18"/>
      <c r="BHE224" s="18"/>
      <c r="BHF224" s="18"/>
      <c r="BHG224" s="18"/>
      <c r="BHH224" s="18"/>
      <c r="BHI224" s="18"/>
      <c r="BHJ224" s="18"/>
      <c r="BHK224" s="18"/>
      <c r="BHL224" s="18"/>
      <c r="BHM224" s="18"/>
      <c r="BHN224" s="18"/>
      <c r="BHO224" s="18"/>
      <c r="BHP224" s="18"/>
      <c r="BHQ224" s="18"/>
      <c r="BHR224" s="18"/>
      <c r="BHS224" s="18"/>
      <c r="BHT224" s="18"/>
      <c r="BHU224" s="18"/>
      <c r="BHV224" s="18"/>
      <c r="BHW224" s="18"/>
      <c r="BHX224" s="18"/>
      <c r="BHY224" s="18"/>
      <c r="BHZ224" s="18"/>
      <c r="BIA224" s="18"/>
      <c r="BIB224" s="18"/>
      <c r="BIC224" s="18"/>
      <c r="BID224" s="18"/>
      <c r="BIE224" s="18"/>
      <c r="BIF224" s="18"/>
      <c r="BIG224" s="18"/>
      <c r="BIH224" s="18"/>
      <c r="BII224" s="18"/>
      <c r="BIJ224" s="18"/>
      <c r="BIK224" s="18"/>
      <c r="BIL224" s="18"/>
      <c r="BIM224" s="18"/>
      <c r="BIN224" s="18"/>
      <c r="BIO224" s="18"/>
      <c r="BIP224" s="18"/>
      <c r="BIQ224" s="18"/>
      <c r="BIR224" s="18"/>
      <c r="BIS224" s="18"/>
      <c r="BIT224" s="18"/>
      <c r="BIU224" s="18"/>
      <c r="BIV224" s="18"/>
      <c r="BIW224" s="18"/>
      <c r="BIX224" s="18"/>
      <c r="BIY224" s="18"/>
      <c r="BIZ224" s="18"/>
      <c r="BJA224" s="18"/>
      <c r="BJB224" s="18"/>
      <c r="BJC224" s="18"/>
      <c r="BJD224" s="18"/>
      <c r="BJE224" s="18"/>
      <c r="BJF224" s="18"/>
      <c r="BJG224" s="18"/>
      <c r="BJH224" s="18"/>
      <c r="BJI224" s="18"/>
      <c r="BJJ224" s="18"/>
      <c r="BJK224" s="18"/>
      <c r="BJL224" s="18"/>
      <c r="BJM224" s="18"/>
      <c r="BJN224" s="18"/>
      <c r="BJO224" s="18"/>
      <c r="BJP224" s="18"/>
      <c r="BJQ224" s="18"/>
      <c r="BJR224" s="18"/>
      <c r="BJS224" s="18"/>
      <c r="BJT224" s="18"/>
      <c r="BJU224" s="18"/>
      <c r="BJV224" s="18"/>
      <c r="BJW224" s="18"/>
      <c r="BJX224" s="18"/>
      <c r="BJY224" s="18"/>
      <c r="BJZ224" s="18"/>
      <c r="BKA224" s="18"/>
      <c r="BKB224" s="18"/>
      <c r="BKC224" s="18"/>
      <c r="BKD224" s="18"/>
      <c r="BKE224" s="18"/>
      <c r="BKF224" s="18"/>
      <c r="BKG224" s="18"/>
      <c r="BKH224" s="18"/>
      <c r="BKI224" s="18"/>
      <c r="BKJ224" s="18"/>
      <c r="BKK224" s="18"/>
      <c r="BKL224" s="18"/>
      <c r="BKM224" s="18"/>
      <c r="BKN224" s="18"/>
      <c r="BKO224" s="18"/>
      <c r="BKP224" s="18"/>
      <c r="BKQ224" s="18"/>
      <c r="BKR224" s="18"/>
      <c r="BKS224" s="18"/>
      <c r="BKT224" s="18"/>
      <c r="BKU224" s="18"/>
      <c r="BKV224" s="18"/>
      <c r="BKW224" s="18"/>
      <c r="BKX224" s="18"/>
      <c r="BKY224" s="18"/>
      <c r="BKZ224" s="18"/>
      <c r="BLA224" s="18"/>
      <c r="BLB224" s="18"/>
      <c r="BLC224" s="18"/>
      <c r="BLD224" s="18"/>
      <c r="BLE224" s="18"/>
      <c r="BLF224" s="18"/>
      <c r="BLG224" s="18"/>
      <c r="BLH224" s="18"/>
      <c r="BLI224" s="18"/>
      <c r="BLJ224" s="18"/>
      <c r="BLK224" s="18"/>
      <c r="BLL224" s="18"/>
      <c r="BLM224" s="18"/>
      <c r="BLN224" s="18"/>
      <c r="BLO224" s="18"/>
      <c r="BLP224" s="18"/>
      <c r="BLQ224" s="18"/>
      <c r="BLR224" s="18"/>
      <c r="BLS224" s="18"/>
      <c r="BLT224" s="18"/>
      <c r="BLU224" s="18"/>
      <c r="BLV224" s="18"/>
      <c r="BLW224" s="18"/>
      <c r="BLX224" s="18"/>
      <c r="BLY224" s="18"/>
      <c r="BLZ224" s="18"/>
      <c r="BMA224" s="18"/>
      <c r="BMB224" s="18"/>
      <c r="BMC224" s="18"/>
      <c r="BMD224" s="18"/>
      <c r="BME224" s="18"/>
      <c r="BMF224" s="18"/>
      <c r="BMG224" s="18"/>
      <c r="BMH224" s="18"/>
      <c r="BMI224" s="18"/>
      <c r="BMJ224" s="18"/>
      <c r="BMK224" s="18"/>
      <c r="BML224" s="18"/>
      <c r="BMM224" s="18"/>
      <c r="BMN224" s="18"/>
      <c r="BMO224" s="18"/>
      <c r="BMP224" s="18"/>
      <c r="BMQ224" s="18"/>
      <c r="BMR224" s="18"/>
      <c r="BMS224" s="18"/>
      <c r="BMT224" s="18"/>
      <c r="BMU224" s="18"/>
      <c r="BMV224" s="18"/>
      <c r="BMW224" s="18"/>
      <c r="BMX224" s="18"/>
      <c r="BMY224" s="18"/>
      <c r="BMZ224" s="18"/>
      <c r="BNA224" s="18"/>
      <c r="BNB224" s="18"/>
      <c r="BNC224" s="18"/>
      <c r="BND224" s="18"/>
      <c r="BNE224" s="18"/>
      <c r="BNF224" s="18"/>
      <c r="BNG224" s="18"/>
      <c r="BNH224" s="18"/>
      <c r="BNI224" s="18"/>
      <c r="BNJ224" s="18"/>
      <c r="BNK224" s="18"/>
      <c r="BNL224" s="18"/>
      <c r="BNM224" s="18"/>
      <c r="BNN224" s="18"/>
      <c r="BNO224" s="18"/>
      <c r="BNP224" s="18"/>
      <c r="BNQ224" s="18"/>
      <c r="BNR224" s="18"/>
      <c r="BNS224" s="18"/>
      <c r="BNT224" s="18"/>
      <c r="BNU224" s="18"/>
      <c r="BNV224" s="18"/>
      <c r="BNW224" s="18"/>
      <c r="BNX224" s="18"/>
      <c r="BNY224" s="18"/>
      <c r="BNZ224" s="18"/>
      <c r="BOA224" s="18"/>
      <c r="BOB224" s="18"/>
      <c r="BOC224" s="18"/>
      <c r="BOD224" s="18"/>
      <c r="BOE224" s="18"/>
      <c r="BOF224" s="18"/>
      <c r="BOG224" s="18"/>
      <c r="BOH224" s="18"/>
      <c r="BOI224" s="18"/>
      <c r="BOJ224" s="18"/>
      <c r="BOK224" s="18"/>
      <c r="BOL224" s="18"/>
      <c r="BOM224" s="18"/>
      <c r="BON224" s="18"/>
      <c r="BOO224" s="18"/>
      <c r="BOP224" s="18"/>
      <c r="BOQ224" s="18"/>
      <c r="BOR224" s="18"/>
      <c r="BOS224" s="18"/>
      <c r="BOT224" s="18"/>
      <c r="BOU224" s="18"/>
      <c r="BOV224" s="18"/>
      <c r="BOW224" s="18"/>
      <c r="BOX224" s="18"/>
      <c r="BOY224" s="18"/>
      <c r="BOZ224" s="18"/>
      <c r="BPA224" s="18"/>
      <c r="BPB224" s="18"/>
      <c r="BPC224" s="18"/>
      <c r="BPD224" s="18"/>
      <c r="BPE224" s="18"/>
      <c r="BPF224" s="18"/>
      <c r="BPG224" s="18"/>
      <c r="BPH224" s="18"/>
      <c r="BPI224" s="18"/>
      <c r="BPJ224" s="18"/>
      <c r="BPK224" s="18"/>
      <c r="BPL224" s="18"/>
      <c r="BPM224" s="18"/>
      <c r="BPN224" s="18"/>
      <c r="BPO224" s="18"/>
      <c r="BPP224" s="18"/>
      <c r="BPQ224" s="18"/>
      <c r="BPR224" s="18"/>
      <c r="BPS224" s="18"/>
      <c r="BPT224" s="18"/>
      <c r="BPU224" s="18"/>
      <c r="BPV224" s="18"/>
      <c r="BPW224" s="18"/>
      <c r="BPX224" s="18"/>
      <c r="BPY224" s="18"/>
      <c r="BPZ224" s="18"/>
      <c r="BQA224" s="18"/>
      <c r="BQB224" s="18"/>
      <c r="BQC224" s="18"/>
      <c r="BQD224" s="18"/>
      <c r="BQE224" s="18"/>
      <c r="BQF224" s="18"/>
      <c r="BQG224" s="18"/>
      <c r="BQH224" s="18"/>
      <c r="BQI224" s="18"/>
      <c r="BQJ224" s="18"/>
      <c r="BQK224" s="18"/>
      <c r="BQL224" s="18"/>
      <c r="BQM224" s="18"/>
      <c r="BQN224" s="18"/>
      <c r="BQO224" s="18"/>
      <c r="BQP224" s="18"/>
      <c r="BQQ224" s="18"/>
      <c r="BQR224" s="18"/>
      <c r="BQS224" s="18"/>
      <c r="BQT224" s="18"/>
      <c r="BQU224" s="18"/>
      <c r="BQV224" s="18"/>
      <c r="BQW224" s="18"/>
      <c r="BQX224" s="18"/>
      <c r="BQY224" s="18"/>
      <c r="BQZ224" s="18"/>
      <c r="BRA224" s="18"/>
      <c r="BRB224" s="18"/>
      <c r="BRC224" s="18"/>
      <c r="BRD224" s="18"/>
      <c r="BRE224" s="18"/>
      <c r="BRF224" s="18"/>
      <c r="BRG224" s="18"/>
      <c r="BRH224" s="18"/>
      <c r="BRI224" s="18"/>
      <c r="BRJ224" s="18"/>
      <c r="BRK224" s="18"/>
      <c r="BRL224" s="18"/>
      <c r="BRM224" s="18"/>
      <c r="BRN224" s="18"/>
      <c r="BRO224" s="18"/>
      <c r="BRP224" s="18"/>
      <c r="BRQ224" s="18"/>
      <c r="BRR224" s="18"/>
      <c r="BRS224" s="18"/>
      <c r="BRT224" s="18"/>
      <c r="BRU224" s="18"/>
      <c r="BRV224" s="18"/>
      <c r="BRW224" s="18"/>
      <c r="BRX224" s="18"/>
      <c r="BRY224" s="18"/>
      <c r="BRZ224" s="18"/>
      <c r="BSA224" s="18"/>
      <c r="BSB224" s="18"/>
      <c r="BSC224" s="18"/>
      <c r="BSD224" s="18"/>
      <c r="BSE224" s="18"/>
      <c r="BSF224" s="18"/>
      <c r="BSG224" s="18"/>
      <c r="BSH224" s="18"/>
      <c r="BSI224" s="18"/>
      <c r="BSJ224" s="18"/>
      <c r="BSK224" s="18"/>
      <c r="BSL224" s="18"/>
      <c r="BSM224" s="18"/>
      <c r="BSN224" s="18"/>
      <c r="BSO224" s="18"/>
      <c r="BSP224" s="18"/>
      <c r="BSQ224" s="18"/>
      <c r="BSR224" s="18"/>
      <c r="BSS224" s="18"/>
      <c r="BST224" s="18"/>
      <c r="BSU224" s="18"/>
      <c r="BSV224" s="18"/>
      <c r="BSW224" s="18"/>
      <c r="BSX224" s="18"/>
      <c r="BSY224" s="18"/>
      <c r="BSZ224" s="18"/>
      <c r="BTA224" s="18"/>
      <c r="BTB224" s="18"/>
      <c r="BTC224" s="18"/>
      <c r="BTD224" s="18"/>
      <c r="BTE224" s="18"/>
      <c r="BTF224" s="18"/>
      <c r="BTG224" s="18"/>
      <c r="BTH224" s="18"/>
      <c r="BTI224" s="18"/>
    </row>
    <row r="225" spans="1:1881" s="426" customFormat="1" ht="30.75" customHeight="1" x14ac:dyDescent="0.3">
      <c r="A225" s="100"/>
      <c r="B225" s="739" t="s">
        <v>284</v>
      </c>
      <c r="C225" s="712"/>
      <c r="D225" s="89"/>
      <c r="E225" s="425"/>
      <c r="F225" s="428"/>
      <c r="G225" s="400"/>
      <c r="H225" s="17"/>
      <c r="I225" s="17"/>
      <c r="J225" s="72"/>
      <c r="K225"/>
      <c r="L225" s="547"/>
      <c r="M225"/>
      <c r="N225" s="18"/>
      <c r="O225" s="186"/>
      <c r="P225" s="18"/>
      <c r="Q225" s="18"/>
      <c r="R225" s="18"/>
      <c r="S225" s="18"/>
      <c r="T225" s="18"/>
      <c r="U225" s="18"/>
      <c r="V225" s="18"/>
      <c r="W225" s="18"/>
      <c r="X225" s="18"/>
      <c r="Y225" s="18"/>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c r="IS225" s="18"/>
      <c r="IT225" s="18"/>
      <c r="IU225" s="18"/>
      <c r="IV225" s="18"/>
      <c r="IW225" s="18"/>
      <c r="IX225" s="18"/>
      <c r="IY225" s="18"/>
      <c r="IZ225" s="18"/>
      <c r="JA225" s="18"/>
      <c r="JB225" s="18"/>
      <c r="JC225" s="18"/>
      <c r="JD225" s="18"/>
      <c r="JE225" s="18"/>
      <c r="JF225" s="18"/>
      <c r="JG225" s="18"/>
      <c r="JH225" s="18"/>
      <c r="JI225" s="18"/>
      <c r="JJ225" s="18"/>
      <c r="JK225" s="18"/>
      <c r="JL225" s="18"/>
      <c r="JM225" s="18"/>
      <c r="JN225" s="18"/>
      <c r="JO225" s="18"/>
      <c r="JP225" s="18"/>
      <c r="JQ225" s="18"/>
      <c r="JR225" s="18"/>
      <c r="JS225" s="18"/>
      <c r="JT225" s="18"/>
      <c r="JU225" s="18"/>
      <c r="JV225" s="18"/>
      <c r="JW225" s="18"/>
      <c r="JX225" s="18"/>
      <c r="JY225" s="18"/>
      <c r="JZ225" s="18"/>
      <c r="KA225" s="18"/>
      <c r="KB225" s="18"/>
      <c r="KC225" s="18"/>
      <c r="KD225" s="18"/>
      <c r="KE225" s="18"/>
      <c r="KF225" s="18"/>
      <c r="KG225" s="18"/>
      <c r="KH225" s="18"/>
      <c r="KI225" s="18"/>
      <c r="KJ225" s="18"/>
      <c r="KK225" s="18"/>
      <c r="KL225" s="18"/>
      <c r="KM225" s="18"/>
      <c r="KN225" s="18"/>
      <c r="KO225" s="18"/>
      <c r="KP225" s="18"/>
      <c r="KQ225" s="18"/>
      <c r="KR225" s="18"/>
      <c r="KS225" s="18"/>
      <c r="KT225" s="18"/>
      <c r="KU225" s="18"/>
      <c r="KV225" s="18"/>
      <c r="KW225" s="18"/>
      <c r="KX225" s="18"/>
      <c r="KY225" s="18"/>
      <c r="KZ225" s="18"/>
      <c r="LA225" s="18"/>
      <c r="LB225" s="18"/>
      <c r="LC225" s="18"/>
      <c r="LD225" s="18"/>
      <c r="LE225" s="18"/>
      <c r="LF225" s="18"/>
      <c r="LG225" s="18"/>
      <c r="LH225" s="18"/>
      <c r="LI225" s="18"/>
      <c r="LJ225" s="18"/>
      <c r="LK225" s="18"/>
      <c r="LL225" s="18"/>
      <c r="LM225" s="18"/>
      <c r="LN225" s="18"/>
      <c r="LO225" s="18"/>
      <c r="LP225" s="18"/>
      <c r="LQ225" s="18"/>
      <c r="LR225" s="18"/>
      <c r="LS225" s="18"/>
      <c r="LT225" s="18"/>
      <c r="LU225" s="18"/>
      <c r="LV225" s="18"/>
      <c r="LW225" s="18"/>
      <c r="LX225" s="18"/>
      <c r="LY225" s="18"/>
      <c r="LZ225" s="18"/>
      <c r="MA225" s="18"/>
      <c r="MB225" s="18"/>
      <c r="MC225" s="18"/>
      <c r="MD225" s="18"/>
      <c r="ME225" s="18"/>
      <c r="MF225" s="18"/>
      <c r="MG225" s="18"/>
      <c r="MH225" s="18"/>
      <c r="MI225" s="18"/>
      <c r="MJ225" s="18"/>
      <c r="MK225" s="18"/>
      <c r="ML225" s="18"/>
      <c r="MM225" s="18"/>
      <c r="MN225" s="18"/>
      <c r="MO225" s="18"/>
      <c r="MP225" s="18"/>
      <c r="MQ225" s="18"/>
      <c r="MR225" s="18"/>
      <c r="MS225" s="18"/>
      <c r="MT225" s="18"/>
      <c r="MU225" s="18"/>
      <c r="MV225" s="18"/>
      <c r="MW225" s="18"/>
      <c r="MX225" s="18"/>
      <c r="MY225" s="18"/>
      <c r="MZ225" s="18"/>
      <c r="NA225" s="18"/>
      <c r="NB225" s="18"/>
      <c r="NC225" s="18"/>
      <c r="ND225" s="18"/>
      <c r="NE225" s="18"/>
      <c r="NF225" s="18"/>
      <c r="NG225" s="18"/>
      <c r="NH225" s="18"/>
      <c r="NI225" s="18"/>
      <c r="NJ225" s="18"/>
      <c r="NK225" s="18"/>
      <c r="NL225" s="18"/>
      <c r="NM225" s="18"/>
      <c r="NN225" s="18"/>
      <c r="NO225" s="18"/>
      <c r="NP225" s="18"/>
      <c r="NQ225" s="18"/>
      <c r="NR225" s="18"/>
      <c r="NS225" s="18"/>
      <c r="NT225" s="18"/>
      <c r="NU225" s="18"/>
      <c r="NV225" s="18"/>
      <c r="NW225" s="18"/>
      <c r="NX225" s="18"/>
      <c r="NY225" s="18"/>
      <c r="NZ225" s="18"/>
      <c r="OA225" s="18"/>
      <c r="OB225" s="18"/>
      <c r="OC225" s="18"/>
      <c r="OD225" s="18"/>
      <c r="OE225" s="18"/>
      <c r="OF225" s="18"/>
      <c r="OG225" s="18"/>
      <c r="OH225" s="18"/>
      <c r="OI225" s="18"/>
      <c r="OJ225" s="18"/>
      <c r="OK225" s="18"/>
      <c r="OL225" s="18"/>
      <c r="OM225" s="18"/>
      <c r="ON225" s="18"/>
      <c r="OO225" s="18"/>
      <c r="OP225" s="18"/>
      <c r="OQ225" s="18"/>
      <c r="OR225" s="18"/>
      <c r="OS225" s="18"/>
      <c r="OT225" s="18"/>
      <c r="OU225" s="18"/>
      <c r="OV225" s="18"/>
      <c r="OW225" s="18"/>
      <c r="OX225" s="18"/>
      <c r="OY225" s="18"/>
      <c r="OZ225" s="18"/>
      <c r="PA225" s="18"/>
      <c r="PB225" s="18"/>
      <c r="PC225" s="18"/>
      <c r="PD225" s="18"/>
      <c r="PE225" s="18"/>
      <c r="PF225" s="18"/>
      <c r="PG225" s="18"/>
      <c r="PH225" s="18"/>
      <c r="PI225" s="18"/>
      <c r="PJ225" s="18"/>
      <c r="PK225" s="18"/>
      <c r="PL225" s="18"/>
      <c r="PM225" s="18"/>
      <c r="PN225" s="18"/>
      <c r="PO225" s="18"/>
      <c r="PP225" s="18"/>
      <c r="PQ225" s="18"/>
      <c r="PR225" s="18"/>
      <c r="PS225" s="18"/>
      <c r="PT225" s="18"/>
      <c r="PU225" s="18"/>
      <c r="PV225" s="18"/>
      <c r="PW225" s="18"/>
      <c r="PX225" s="18"/>
      <c r="PY225" s="18"/>
      <c r="PZ225" s="18"/>
      <c r="QA225" s="18"/>
      <c r="QB225" s="18"/>
      <c r="QC225" s="18"/>
      <c r="QD225" s="18"/>
      <c r="QE225" s="18"/>
      <c r="QF225" s="18"/>
      <c r="QG225" s="18"/>
      <c r="QH225" s="18"/>
      <c r="QI225" s="18"/>
      <c r="QJ225" s="18"/>
      <c r="QK225" s="18"/>
      <c r="QL225" s="18"/>
      <c r="QM225" s="18"/>
      <c r="QN225" s="18"/>
      <c r="QO225" s="18"/>
      <c r="QP225" s="18"/>
      <c r="QQ225" s="18"/>
      <c r="QR225" s="18"/>
      <c r="QS225" s="18"/>
      <c r="QT225" s="18"/>
      <c r="QU225" s="18"/>
      <c r="QV225" s="18"/>
      <c r="QW225" s="18"/>
      <c r="QX225" s="18"/>
      <c r="QY225" s="18"/>
      <c r="QZ225" s="18"/>
      <c r="RA225" s="18"/>
      <c r="RB225" s="18"/>
      <c r="RC225" s="18"/>
      <c r="RD225" s="18"/>
      <c r="RE225" s="18"/>
      <c r="RF225" s="18"/>
      <c r="RG225" s="18"/>
      <c r="RH225" s="18"/>
      <c r="RI225" s="18"/>
      <c r="RJ225" s="18"/>
      <c r="RK225" s="18"/>
      <c r="RL225" s="18"/>
      <c r="RM225" s="18"/>
      <c r="RN225" s="18"/>
      <c r="RO225" s="18"/>
      <c r="RP225" s="18"/>
      <c r="RQ225" s="18"/>
      <c r="RR225" s="18"/>
      <c r="RS225" s="18"/>
      <c r="RT225" s="18"/>
      <c r="RU225" s="18"/>
      <c r="RV225" s="18"/>
      <c r="RW225" s="18"/>
      <c r="RX225" s="18"/>
      <c r="RY225" s="18"/>
      <c r="RZ225" s="18"/>
      <c r="SA225" s="18"/>
      <c r="SB225" s="18"/>
      <c r="SC225" s="18"/>
      <c r="SD225" s="18"/>
      <c r="SE225" s="18"/>
      <c r="SF225" s="18"/>
      <c r="SG225" s="18"/>
      <c r="SH225" s="18"/>
      <c r="SI225" s="18"/>
      <c r="SJ225" s="18"/>
      <c r="SK225" s="18"/>
      <c r="SL225" s="18"/>
      <c r="SM225" s="18"/>
      <c r="SN225" s="18"/>
      <c r="SO225" s="18"/>
      <c r="SP225" s="18"/>
      <c r="SQ225" s="18"/>
      <c r="SR225" s="18"/>
      <c r="SS225" s="18"/>
      <c r="ST225" s="18"/>
      <c r="SU225" s="18"/>
      <c r="SV225" s="18"/>
      <c r="SW225" s="18"/>
      <c r="SX225" s="18"/>
      <c r="SY225" s="18"/>
      <c r="SZ225" s="18"/>
      <c r="TA225" s="18"/>
      <c r="TB225" s="18"/>
      <c r="TC225" s="18"/>
      <c r="TD225" s="18"/>
      <c r="TE225" s="18"/>
      <c r="TF225" s="18"/>
      <c r="TG225" s="18"/>
      <c r="TH225" s="18"/>
      <c r="TI225" s="18"/>
      <c r="TJ225" s="18"/>
      <c r="TK225" s="18"/>
      <c r="TL225" s="18"/>
      <c r="TM225" s="18"/>
      <c r="TN225" s="18"/>
      <c r="TO225" s="18"/>
      <c r="TP225" s="18"/>
      <c r="TQ225" s="18"/>
      <c r="TR225" s="18"/>
      <c r="TS225" s="18"/>
      <c r="TT225" s="18"/>
      <c r="TU225" s="18"/>
      <c r="TV225" s="18"/>
      <c r="TW225" s="18"/>
      <c r="TX225" s="18"/>
      <c r="TY225" s="18"/>
      <c r="TZ225" s="18"/>
      <c r="UA225" s="18"/>
      <c r="UB225" s="18"/>
      <c r="UC225" s="18"/>
      <c r="UD225" s="18"/>
      <c r="UE225" s="18"/>
      <c r="UF225" s="18"/>
      <c r="UG225" s="18"/>
      <c r="UH225" s="18"/>
      <c r="UI225" s="18"/>
      <c r="UJ225" s="18"/>
      <c r="UK225" s="18"/>
      <c r="UL225" s="18"/>
      <c r="UM225" s="18"/>
      <c r="UN225" s="18"/>
      <c r="UO225" s="18"/>
      <c r="UP225" s="18"/>
      <c r="UQ225" s="18"/>
      <c r="UR225" s="18"/>
      <c r="US225" s="18"/>
      <c r="UT225" s="18"/>
      <c r="UU225" s="18"/>
      <c r="UV225" s="18"/>
      <c r="UW225" s="18"/>
      <c r="UX225" s="18"/>
      <c r="UY225" s="18"/>
      <c r="UZ225" s="18"/>
      <c r="VA225" s="18"/>
      <c r="VB225" s="18"/>
      <c r="VC225" s="18"/>
      <c r="VD225" s="18"/>
      <c r="VE225" s="18"/>
      <c r="VF225" s="18"/>
      <c r="VG225" s="18"/>
      <c r="VH225" s="18"/>
      <c r="VI225" s="18"/>
      <c r="VJ225" s="18"/>
      <c r="VK225" s="18"/>
      <c r="VL225" s="18"/>
      <c r="VM225" s="18"/>
      <c r="VN225" s="18"/>
      <c r="VO225" s="18"/>
      <c r="VP225" s="18"/>
      <c r="VQ225" s="18"/>
      <c r="VR225" s="18"/>
      <c r="VS225" s="18"/>
      <c r="VT225" s="18"/>
      <c r="VU225" s="18"/>
      <c r="VV225" s="18"/>
      <c r="VW225" s="18"/>
      <c r="VX225" s="18"/>
      <c r="VY225" s="18"/>
      <c r="VZ225" s="18"/>
      <c r="WA225" s="18"/>
      <c r="WB225" s="18"/>
      <c r="WC225" s="18"/>
      <c r="WD225" s="18"/>
      <c r="WE225" s="18"/>
      <c r="WF225" s="18"/>
      <c r="WG225" s="18"/>
      <c r="WH225" s="18"/>
      <c r="WI225" s="18"/>
      <c r="WJ225" s="18"/>
      <c r="WK225" s="18"/>
      <c r="WL225" s="18"/>
      <c r="WM225" s="18"/>
      <c r="WN225" s="18"/>
      <c r="WO225" s="18"/>
      <c r="WP225" s="18"/>
      <c r="WQ225" s="18"/>
      <c r="WR225" s="18"/>
      <c r="WS225" s="18"/>
      <c r="WT225" s="18"/>
      <c r="WU225" s="18"/>
      <c r="WV225" s="18"/>
      <c r="WW225" s="18"/>
      <c r="WX225" s="18"/>
      <c r="WY225" s="18"/>
      <c r="WZ225" s="18"/>
      <c r="XA225" s="18"/>
      <c r="XB225" s="18"/>
      <c r="XC225" s="18"/>
      <c r="XD225" s="18"/>
      <c r="XE225" s="18"/>
      <c r="XF225" s="18"/>
      <c r="XG225" s="18"/>
      <c r="XH225" s="18"/>
      <c r="XI225" s="18"/>
      <c r="XJ225" s="18"/>
      <c r="XK225" s="18"/>
      <c r="XL225" s="18"/>
      <c r="XM225" s="18"/>
      <c r="XN225" s="18"/>
      <c r="XO225" s="18"/>
      <c r="XP225" s="18"/>
      <c r="XQ225" s="18"/>
      <c r="XR225" s="18"/>
      <c r="XS225" s="18"/>
      <c r="XT225" s="18"/>
      <c r="XU225" s="18"/>
      <c r="XV225" s="18"/>
      <c r="XW225" s="18"/>
      <c r="XX225" s="18"/>
      <c r="XY225" s="18"/>
      <c r="XZ225" s="18"/>
      <c r="YA225" s="18"/>
      <c r="YB225" s="18"/>
      <c r="YC225" s="18"/>
      <c r="YD225" s="18"/>
      <c r="YE225" s="18"/>
      <c r="YF225" s="18"/>
      <c r="YG225" s="18"/>
      <c r="YH225" s="18"/>
      <c r="YI225" s="18"/>
      <c r="YJ225" s="18"/>
      <c r="YK225" s="18"/>
      <c r="YL225" s="18"/>
      <c r="YM225" s="18"/>
      <c r="YN225" s="18"/>
      <c r="YO225" s="18"/>
      <c r="YP225" s="18"/>
      <c r="YQ225" s="18"/>
      <c r="YR225" s="18"/>
      <c r="YS225" s="18"/>
      <c r="YT225" s="18"/>
      <c r="YU225" s="18"/>
      <c r="YV225" s="18"/>
      <c r="YW225" s="18"/>
      <c r="YX225" s="18"/>
      <c r="YY225" s="18"/>
      <c r="YZ225" s="18"/>
      <c r="ZA225" s="18"/>
      <c r="ZB225" s="18"/>
      <c r="ZC225" s="18"/>
      <c r="ZD225" s="18"/>
      <c r="ZE225" s="18"/>
      <c r="ZF225" s="18"/>
      <c r="ZG225" s="18"/>
      <c r="ZH225" s="18"/>
      <c r="ZI225" s="18"/>
      <c r="ZJ225" s="18"/>
      <c r="ZK225" s="18"/>
      <c r="ZL225" s="18"/>
      <c r="ZM225" s="18"/>
      <c r="ZN225" s="18"/>
      <c r="ZO225" s="18"/>
      <c r="ZP225" s="18"/>
      <c r="ZQ225" s="18"/>
      <c r="ZR225" s="18"/>
      <c r="ZS225" s="18"/>
      <c r="ZT225" s="18"/>
      <c r="ZU225" s="18"/>
      <c r="ZV225" s="18"/>
      <c r="ZW225" s="18"/>
      <c r="ZX225" s="18"/>
      <c r="ZY225" s="18"/>
      <c r="ZZ225" s="18"/>
      <c r="AAA225" s="18"/>
      <c r="AAB225" s="18"/>
      <c r="AAC225" s="18"/>
      <c r="AAD225" s="18"/>
      <c r="AAE225" s="18"/>
      <c r="AAF225" s="18"/>
      <c r="AAG225" s="18"/>
      <c r="AAH225" s="18"/>
      <c r="AAI225" s="18"/>
      <c r="AAJ225" s="18"/>
      <c r="AAK225" s="18"/>
      <c r="AAL225" s="18"/>
      <c r="AAM225" s="18"/>
      <c r="AAN225" s="18"/>
      <c r="AAO225" s="18"/>
      <c r="AAP225" s="18"/>
      <c r="AAQ225" s="18"/>
      <c r="AAR225" s="18"/>
      <c r="AAS225" s="18"/>
      <c r="AAT225" s="18"/>
      <c r="AAU225" s="18"/>
      <c r="AAV225" s="18"/>
      <c r="AAW225" s="18"/>
      <c r="AAX225" s="18"/>
      <c r="AAY225" s="18"/>
      <c r="AAZ225" s="18"/>
      <c r="ABA225" s="18"/>
      <c r="ABB225" s="18"/>
      <c r="ABC225" s="18"/>
      <c r="ABD225" s="18"/>
      <c r="ABE225" s="18"/>
      <c r="ABF225" s="18"/>
      <c r="ABG225" s="18"/>
      <c r="ABH225" s="18"/>
      <c r="ABI225" s="18"/>
      <c r="ABJ225" s="18"/>
      <c r="ABK225" s="18"/>
      <c r="ABL225" s="18"/>
      <c r="ABM225" s="18"/>
      <c r="ABN225" s="18"/>
      <c r="ABO225" s="18"/>
      <c r="ABP225" s="18"/>
      <c r="ABQ225" s="18"/>
      <c r="ABR225" s="18"/>
      <c r="ABS225" s="18"/>
      <c r="ABT225" s="18"/>
      <c r="ABU225" s="18"/>
      <c r="ABV225" s="18"/>
      <c r="ABW225" s="18"/>
      <c r="ABX225" s="18"/>
      <c r="ABY225" s="18"/>
      <c r="ABZ225" s="18"/>
      <c r="ACA225" s="18"/>
      <c r="ACB225" s="18"/>
      <c r="ACC225" s="18"/>
      <c r="ACD225" s="18"/>
      <c r="ACE225" s="18"/>
      <c r="ACF225" s="18"/>
      <c r="ACG225" s="18"/>
      <c r="ACH225" s="18"/>
      <c r="ACI225" s="18"/>
      <c r="ACJ225" s="18"/>
      <c r="ACK225" s="18"/>
      <c r="ACL225" s="18"/>
      <c r="ACM225" s="18"/>
      <c r="ACN225" s="18"/>
      <c r="ACO225" s="18"/>
      <c r="ACP225" s="18"/>
      <c r="ACQ225" s="18"/>
      <c r="ACR225" s="18"/>
      <c r="ACS225" s="18"/>
      <c r="ACT225" s="18"/>
      <c r="ACU225" s="18"/>
      <c r="ACV225" s="18"/>
      <c r="ACW225" s="18"/>
      <c r="ACX225" s="18"/>
      <c r="ACY225" s="18"/>
      <c r="ACZ225" s="18"/>
      <c r="ADA225" s="18"/>
      <c r="ADB225" s="18"/>
      <c r="ADC225" s="18"/>
      <c r="ADD225" s="18"/>
      <c r="ADE225" s="18"/>
      <c r="ADF225" s="18"/>
      <c r="ADG225" s="18"/>
      <c r="ADH225" s="18"/>
      <c r="ADI225" s="18"/>
      <c r="ADJ225" s="18"/>
      <c r="ADK225" s="18"/>
      <c r="ADL225" s="18"/>
      <c r="ADM225" s="18"/>
      <c r="ADN225" s="18"/>
      <c r="ADO225" s="18"/>
      <c r="ADP225" s="18"/>
      <c r="ADQ225" s="18"/>
      <c r="ADR225" s="18"/>
      <c r="ADS225" s="18"/>
      <c r="ADT225" s="18"/>
      <c r="ADU225" s="18"/>
      <c r="ADV225" s="18"/>
      <c r="ADW225" s="18"/>
      <c r="ADX225" s="18"/>
      <c r="ADY225" s="18"/>
      <c r="ADZ225" s="18"/>
      <c r="AEA225" s="18"/>
      <c r="AEB225" s="18"/>
      <c r="AEC225" s="18"/>
      <c r="AED225" s="18"/>
      <c r="AEE225" s="18"/>
      <c r="AEF225" s="18"/>
      <c r="AEG225" s="18"/>
      <c r="AEH225" s="18"/>
      <c r="AEI225" s="18"/>
      <c r="AEJ225" s="18"/>
      <c r="AEK225" s="18"/>
      <c r="AEL225" s="18"/>
      <c r="AEM225" s="18"/>
      <c r="AEN225" s="18"/>
      <c r="AEO225" s="18"/>
      <c r="AEP225" s="18"/>
      <c r="AEQ225" s="18"/>
      <c r="AER225" s="18"/>
      <c r="AES225" s="18"/>
      <c r="AET225" s="18"/>
      <c r="AEU225" s="18"/>
      <c r="AEV225" s="18"/>
      <c r="AEW225" s="18"/>
      <c r="AEX225" s="18"/>
      <c r="AEY225" s="18"/>
      <c r="AEZ225" s="18"/>
      <c r="AFA225" s="18"/>
      <c r="AFB225" s="18"/>
      <c r="AFC225" s="18"/>
      <c r="AFD225" s="18"/>
      <c r="AFE225" s="18"/>
      <c r="AFF225" s="18"/>
      <c r="AFG225" s="18"/>
      <c r="AFH225" s="18"/>
      <c r="AFI225" s="18"/>
      <c r="AFJ225" s="18"/>
      <c r="AFK225" s="18"/>
      <c r="AFL225" s="18"/>
      <c r="AFM225" s="18"/>
      <c r="AFN225" s="18"/>
      <c r="AFO225" s="18"/>
      <c r="AFP225" s="18"/>
      <c r="AFQ225" s="18"/>
      <c r="AFR225" s="18"/>
      <c r="AFS225" s="18"/>
      <c r="AFT225" s="18"/>
      <c r="AFU225" s="18"/>
      <c r="AFV225" s="18"/>
      <c r="AFW225" s="18"/>
      <c r="AFX225" s="18"/>
      <c r="AFY225" s="18"/>
      <c r="AFZ225" s="18"/>
      <c r="AGA225" s="18"/>
      <c r="AGB225" s="18"/>
      <c r="AGC225" s="18"/>
      <c r="AGD225" s="18"/>
      <c r="AGE225" s="18"/>
      <c r="AGF225" s="18"/>
      <c r="AGG225" s="18"/>
      <c r="AGH225" s="18"/>
      <c r="AGI225" s="18"/>
      <c r="AGJ225" s="18"/>
      <c r="AGK225" s="18"/>
      <c r="AGL225" s="18"/>
      <c r="AGM225" s="18"/>
      <c r="AGN225" s="18"/>
      <c r="AGO225" s="18"/>
      <c r="AGP225" s="18"/>
      <c r="AGQ225" s="18"/>
      <c r="AGR225" s="18"/>
      <c r="AGS225" s="18"/>
      <c r="AGT225" s="18"/>
      <c r="AGU225" s="18"/>
      <c r="AGV225" s="18"/>
      <c r="AGW225" s="18"/>
      <c r="AGX225" s="18"/>
      <c r="AGY225" s="18"/>
      <c r="AGZ225" s="18"/>
      <c r="AHA225" s="18"/>
      <c r="AHB225" s="18"/>
      <c r="AHC225" s="18"/>
      <c r="AHD225" s="18"/>
      <c r="AHE225" s="18"/>
      <c r="AHF225" s="18"/>
      <c r="AHG225" s="18"/>
      <c r="AHH225" s="18"/>
      <c r="AHI225" s="18"/>
      <c r="AHJ225" s="18"/>
      <c r="AHK225" s="18"/>
      <c r="AHL225" s="18"/>
      <c r="AHM225" s="18"/>
      <c r="AHN225" s="18"/>
      <c r="AHO225" s="18"/>
      <c r="AHP225" s="18"/>
      <c r="AHQ225" s="18"/>
      <c r="AHR225" s="18"/>
      <c r="AHS225" s="18"/>
      <c r="AHT225" s="18"/>
      <c r="AHU225" s="18"/>
      <c r="AHV225" s="18"/>
      <c r="AHW225" s="18"/>
      <c r="AHX225" s="18"/>
      <c r="AHY225" s="18"/>
      <c r="AHZ225" s="18"/>
      <c r="AIA225" s="18"/>
      <c r="AIB225" s="18"/>
      <c r="AIC225" s="18"/>
      <c r="AID225" s="18"/>
      <c r="AIE225" s="18"/>
      <c r="AIF225" s="18"/>
      <c r="AIG225" s="18"/>
      <c r="AIH225" s="18"/>
      <c r="AII225" s="18"/>
      <c r="AIJ225" s="18"/>
      <c r="AIK225" s="18"/>
      <c r="AIL225" s="18"/>
      <c r="AIM225" s="18"/>
      <c r="AIN225" s="18"/>
      <c r="AIO225" s="18"/>
      <c r="AIP225" s="18"/>
      <c r="AIQ225" s="18"/>
      <c r="AIR225" s="18"/>
      <c r="AIS225" s="18"/>
      <c r="AIT225" s="18"/>
      <c r="AIU225" s="18"/>
      <c r="AIV225" s="18"/>
      <c r="AIW225" s="18"/>
      <c r="AIX225" s="18"/>
      <c r="AIY225" s="18"/>
      <c r="AIZ225" s="18"/>
      <c r="AJA225" s="18"/>
      <c r="AJB225" s="18"/>
      <c r="AJC225" s="18"/>
      <c r="AJD225" s="18"/>
      <c r="AJE225" s="18"/>
      <c r="AJF225" s="18"/>
      <c r="AJG225" s="18"/>
      <c r="AJH225" s="18"/>
      <c r="AJI225" s="18"/>
      <c r="AJJ225" s="18"/>
      <c r="AJK225" s="18"/>
      <c r="AJL225" s="18"/>
      <c r="AJM225" s="18"/>
      <c r="AJN225" s="18"/>
      <c r="AJO225" s="18"/>
      <c r="AJP225" s="18"/>
      <c r="AJQ225" s="18"/>
      <c r="AJR225" s="18"/>
      <c r="AJS225" s="18"/>
      <c r="AJT225" s="18"/>
      <c r="AJU225" s="18"/>
      <c r="AJV225" s="18"/>
      <c r="AJW225" s="18"/>
      <c r="AJX225" s="18"/>
      <c r="AJY225" s="18"/>
      <c r="AJZ225" s="18"/>
      <c r="AKA225" s="18"/>
      <c r="AKB225" s="18"/>
      <c r="AKC225" s="18"/>
      <c r="AKD225" s="18"/>
      <c r="AKE225" s="18"/>
      <c r="AKF225" s="18"/>
      <c r="AKG225" s="18"/>
      <c r="AKH225" s="18"/>
      <c r="AKI225" s="18"/>
      <c r="AKJ225" s="18"/>
      <c r="AKK225" s="18"/>
      <c r="AKL225" s="18"/>
      <c r="AKM225" s="18"/>
      <c r="AKN225" s="18"/>
      <c r="AKO225" s="18"/>
      <c r="AKP225" s="18"/>
      <c r="AKQ225" s="18"/>
      <c r="AKR225" s="18"/>
      <c r="AKS225" s="18"/>
      <c r="AKT225" s="18"/>
      <c r="AKU225" s="18"/>
      <c r="AKV225" s="18"/>
      <c r="AKW225" s="18"/>
      <c r="AKX225" s="18"/>
      <c r="AKY225" s="18"/>
      <c r="AKZ225" s="18"/>
      <c r="ALA225" s="18"/>
      <c r="ALB225" s="18"/>
      <c r="ALC225" s="18"/>
      <c r="ALD225" s="18"/>
      <c r="ALE225" s="18"/>
      <c r="ALF225" s="18"/>
      <c r="ALG225" s="18"/>
      <c r="ALH225" s="18"/>
      <c r="ALI225" s="18"/>
      <c r="ALJ225" s="18"/>
      <c r="ALK225" s="18"/>
      <c r="ALL225" s="18"/>
      <c r="ALM225" s="18"/>
      <c r="ALN225" s="18"/>
      <c r="ALO225" s="18"/>
      <c r="ALP225" s="18"/>
      <c r="ALQ225" s="18"/>
      <c r="ALR225" s="18"/>
      <c r="ALS225" s="18"/>
      <c r="ALT225" s="18"/>
      <c r="ALU225" s="18"/>
      <c r="ALV225" s="18"/>
      <c r="ALW225" s="18"/>
      <c r="ALX225" s="18"/>
      <c r="ALY225" s="18"/>
      <c r="ALZ225" s="18"/>
      <c r="AMA225" s="18"/>
      <c r="AMB225" s="18"/>
      <c r="AMC225" s="18"/>
      <c r="AMD225" s="18"/>
      <c r="AME225" s="18"/>
      <c r="AMF225" s="18"/>
      <c r="AMG225" s="18"/>
      <c r="AMH225" s="18"/>
      <c r="AMI225" s="18"/>
      <c r="AMJ225" s="18"/>
      <c r="AMK225" s="18"/>
      <c r="AML225" s="18"/>
      <c r="AMM225" s="18"/>
      <c r="AMN225" s="18"/>
      <c r="AMO225" s="18"/>
      <c r="AMP225" s="18"/>
      <c r="AMQ225" s="18"/>
      <c r="AMR225" s="18"/>
      <c r="AMS225" s="18"/>
      <c r="AMT225" s="18"/>
      <c r="AMU225" s="18"/>
      <c r="AMV225" s="18"/>
      <c r="AMW225" s="18"/>
      <c r="AMX225" s="18"/>
      <c r="AMY225" s="18"/>
      <c r="AMZ225" s="18"/>
      <c r="ANA225" s="18"/>
      <c r="ANB225" s="18"/>
      <c r="ANC225" s="18"/>
      <c r="AND225" s="18"/>
      <c r="ANE225" s="18"/>
      <c r="ANF225" s="18"/>
      <c r="ANG225" s="18"/>
      <c r="ANH225" s="18"/>
      <c r="ANI225" s="18"/>
      <c r="ANJ225" s="18"/>
      <c r="ANK225" s="18"/>
      <c r="ANL225" s="18"/>
      <c r="ANM225" s="18"/>
      <c r="ANN225" s="18"/>
      <c r="ANO225" s="18"/>
      <c r="ANP225" s="18"/>
      <c r="ANQ225" s="18"/>
      <c r="ANR225" s="18"/>
      <c r="ANS225" s="18"/>
      <c r="ANT225" s="18"/>
      <c r="ANU225" s="18"/>
      <c r="ANV225" s="18"/>
      <c r="ANW225" s="18"/>
      <c r="ANX225" s="18"/>
      <c r="ANY225" s="18"/>
      <c r="ANZ225" s="18"/>
      <c r="AOA225" s="18"/>
      <c r="AOB225" s="18"/>
      <c r="AOC225" s="18"/>
      <c r="AOD225" s="18"/>
      <c r="AOE225" s="18"/>
      <c r="AOF225" s="18"/>
      <c r="AOG225" s="18"/>
      <c r="AOH225" s="18"/>
      <c r="AOI225" s="18"/>
      <c r="AOJ225" s="18"/>
      <c r="AOK225" s="18"/>
      <c r="AOL225" s="18"/>
      <c r="AOM225" s="18"/>
      <c r="AON225" s="18"/>
      <c r="AOO225" s="18"/>
      <c r="AOP225" s="18"/>
      <c r="AOQ225" s="18"/>
      <c r="AOR225" s="18"/>
      <c r="AOS225" s="18"/>
      <c r="AOT225" s="18"/>
      <c r="AOU225" s="18"/>
      <c r="AOV225" s="18"/>
      <c r="AOW225" s="18"/>
      <c r="AOX225" s="18"/>
      <c r="AOY225" s="18"/>
      <c r="AOZ225" s="18"/>
      <c r="APA225" s="18"/>
      <c r="APB225" s="18"/>
      <c r="APC225" s="18"/>
      <c r="APD225" s="18"/>
      <c r="APE225" s="18"/>
      <c r="APF225" s="18"/>
      <c r="APG225" s="18"/>
      <c r="APH225" s="18"/>
      <c r="API225" s="18"/>
      <c r="APJ225" s="18"/>
      <c r="APK225" s="18"/>
      <c r="APL225" s="18"/>
      <c r="APM225" s="18"/>
      <c r="APN225" s="18"/>
      <c r="APO225" s="18"/>
      <c r="APP225" s="18"/>
      <c r="APQ225" s="18"/>
      <c r="APR225" s="18"/>
      <c r="APS225" s="18"/>
      <c r="APT225" s="18"/>
      <c r="APU225" s="18"/>
      <c r="APV225" s="18"/>
      <c r="APW225" s="18"/>
      <c r="APX225" s="18"/>
      <c r="APY225" s="18"/>
      <c r="APZ225" s="18"/>
      <c r="AQA225" s="18"/>
      <c r="AQB225" s="18"/>
      <c r="AQC225" s="18"/>
      <c r="AQD225" s="18"/>
      <c r="AQE225" s="18"/>
      <c r="AQF225" s="18"/>
      <c r="AQG225" s="18"/>
      <c r="AQH225" s="18"/>
      <c r="AQI225" s="18"/>
      <c r="AQJ225" s="18"/>
      <c r="AQK225" s="18"/>
      <c r="AQL225" s="18"/>
      <c r="AQM225" s="18"/>
      <c r="AQN225" s="18"/>
      <c r="AQO225" s="18"/>
      <c r="AQP225" s="18"/>
      <c r="AQQ225" s="18"/>
      <c r="AQR225" s="18"/>
      <c r="AQS225" s="18"/>
      <c r="AQT225" s="18"/>
      <c r="AQU225" s="18"/>
      <c r="AQV225" s="18"/>
      <c r="AQW225" s="18"/>
      <c r="AQX225" s="18"/>
      <c r="AQY225" s="18"/>
      <c r="AQZ225" s="18"/>
      <c r="ARA225" s="18"/>
      <c r="ARB225" s="18"/>
      <c r="ARC225" s="18"/>
      <c r="ARD225" s="18"/>
      <c r="ARE225" s="18"/>
      <c r="ARF225" s="18"/>
      <c r="ARG225" s="18"/>
      <c r="ARH225" s="18"/>
      <c r="ARI225" s="18"/>
      <c r="ARJ225" s="18"/>
      <c r="ARK225" s="18"/>
      <c r="ARL225" s="18"/>
      <c r="ARM225" s="18"/>
      <c r="ARN225" s="18"/>
      <c r="ARO225" s="18"/>
      <c r="ARP225" s="18"/>
      <c r="ARQ225" s="18"/>
      <c r="ARR225" s="18"/>
      <c r="ARS225" s="18"/>
      <c r="ART225" s="18"/>
      <c r="ARU225" s="18"/>
      <c r="ARV225" s="18"/>
      <c r="ARW225" s="18"/>
      <c r="ARX225" s="18"/>
      <c r="ARY225" s="18"/>
      <c r="ARZ225" s="18"/>
      <c r="ASA225" s="18"/>
      <c r="ASB225" s="18"/>
      <c r="ASC225" s="18"/>
      <c r="ASD225" s="18"/>
      <c r="ASE225" s="18"/>
      <c r="ASF225" s="18"/>
      <c r="ASG225" s="18"/>
      <c r="ASH225" s="18"/>
      <c r="ASI225" s="18"/>
      <c r="ASJ225" s="18"/>
      <c r="ASK225" s="18"/>
      <c r="ASL225" s="18"/>
      <c r="ASM225" s="18"/>
      <c r="ASN225" s="18"/>
      <c r="ASO225" s="18"/>
      <c r="ASP225" s="18"/>
      <c r="ASQ225" s="18"/>
      <c r="ASR225" s="18"/>
      <c r="ASS225" s="18"/>
      <c r="AST225" s="18"/>
      <c r="ASU225" s="18"/>
      <c r="ASV225" s="18"/>
      <c r="ASW225" s="18"/>
      <c r="ASX225" s="18"/>
      <c r="ASY225" s="18"/>
      <c r="ASZ225" s="18"/>
      <c r="ATA225" s="18"/>
      <c r="ATB225" s="18"/>
      <c r="ATC225" s="18"/>
      <c r="ATD225" s="18"/>
      <c r="ATE225" s="18"/>
      <c r="ATF225" s="18"/>
      <c r="ATG225" s="18"/>
      <c r="ATH225" s="18"/>
      <c r="ATI225" s="18"/>
      <c r="ATJ225" s="18"/>
      <c r="ATK225" s="18"/>
      <c r="ATL225" s="18"/>
      <c r="ATM225" s="18"/>
      <c r="ATN225" s="18"/>
      <c r="ATO225" s="18"/>
      <c r="ATP225" s="18"/>
      <c r="ATQ225" s="18"/>
      <c r="ATR225" s="18"/>
      <c r="ATS225" s="18"/>
      <c r="ATT225" s="18"/>
      <c r="ATU225" s="18"/>
      <c r="ATV225" s="18"/>
      <c r="ATW225" s="18"/>
      <c r="ATX225" s="18"/>
      <c r="ATY225" s="18"/>
      <c r="ATZ225" s="18"/>
      <c r="AUA225" s="18"/>
      <c r="AUB225" s="18"/>
      <c r="AUC225" s="18"/>
      <c r="AUD225" s="18"/>
      <c r="AUE225" s="18"/>
      <c r="AUF225" s="18"/>
      <c r="AUG225" s="18"/>
      <c r="AUH225" s="18"/>
      <c r="AUI225" s="18"/>
      <c r="AUJ225" s="18"/>
      <c r="AUK225" s="18"/>
      <c r="AUL225" s="18"/>
      <c r="AUM225" s="18"/>
      <c r="AUN225" s="18"/>
      <c r="AUO225" s="18"/>
      <c r="AUP225" s="18"/>
      <c r="AUQ225" s="18"/>
      <c r="AUR225" s="18"/>
      <c r="AUS225" s="18"/>
      <c r="AUT225" s="18"/>
      <c r="AUU225" s="18"/>
      <c r="AUV225" s="18"/>
      <c r="AUW225" s="18"/>
      <c r="AUX225" s="18"/>
      <c r="AUY225" s="18"/>
      <c r="AUZ225" s="18"/>
      <c r="AVA225" s="18"/>
      <c r="AVB225" s="18"/>
      <c r="AVC225" s="18"/>
      <c r="AVD225" s="18"/>
      <c r="AVE225" s="18"/>
      <c r="AVF225" s="18"/>
      <c r="AVG225" s="18"/>
      <c r="AVH225" s="18"/>
      <c r="AVI225" s="18"/>
      <c r="AVJ225" s="18"/>
      <c r="AVK225" s="18"/>
      <c r="AVL225" s="18"/>
      <c r="AVM225" s="18"/>
      <c r="AVN225" s="18"/>
      <c r="AVO225" s="18"/>
      <c r="AVP225" s="18"/>
      <c r="AVQ225" s="18"/>
      <c r="AVR225" s="18"/>
      <c r="AVS225" s="18"/>
      <c r="AVT225" s="18"/>
      <c r="AVU225" s="18"/>
      <c r="AVV225" s="18"/>
      <c r="AVW225" s="18"/>
      <c r="AVX225" s="18"/>
      <c r="AVY225" s="18"/>
      <c r="AVZ225" s="18"/>
      <c r="AWA225" s="18"/>
      <c r="AWB225" s="18"/>
      <c r="AWC225" s="18"/>
      <c r="AWD225" s="18"/>
      <c r="AWE225" s="18"/>
      <c r="AWF225" s="18"/>
      <c r="AWG225" s="18"/>
      <c r="AWH225" s="18"/>
      <c r="AWI225" s="18"/>
      <c r="AWJ225" s="18"/>
      <c r="AWK225" s="18"/>
      <c r="AWL225" s="18"/>
      <c r="AWM225" s="18"/>
      <c r="AWN225" s="18"/>
      <c r="AWO225" s="18"/>
      <c r="AWP225" s="18"/>
      <c r="AWQ225" s="18"/>
      <c r="AWR225" s="18"/>
      <c r="AWS225" s="18"/>
      <c r="AWT225" s="18"/>
      <c r="AWU225" s="18"/>
      <c r="AWV225" s="18"/>
      <c r="AWW225" s="18"/>
      <c r="AWX225" s="18"/>
      <c r="AWY225" s="18"/>
      <c r="AWZ225" s="18"/>
      <c r="AXA225" s="18"/>
      <c r="AXB225" s="18"/>
      <c r="AXC225" s="18"/>
      <c r="AXD225" s="18"/>
      <c r="AXE225" s="18"/>
      <c r="AXF225" s="18"/>
      <c r="AXG225" s="18"/>
      <c r="AXH225" s="18"/>
      <c r="AXI225" s="18"/>
      <c r="AXJ225" s="18"/>
      <c r="AXK225" s="18"/>
      <c r="AXL225" s="18"/>
      <c r="AXM225" s="18"/>
      <c r="AXN225" s="18"/>
      <c r="AXO225" s="18"/>
      <c r="AXP225" s="18"/>
      <c r="AXQ225" s="18"/>
      <c r="AXR225" s="18"/>
      <c r="AXS225" s="18"/>
      <c r="AXT225" s="18"/>
      <c r="AXU225" s="18"/>
      <c r="AXV225" s="18"/>
      <c r="AXW225" s="18"/>
      <c r="AXX225" s="18"/>
      <c r="AXY225" s="18"/>
      <c r="AXZ225" s="18"/>
      <c r="AYA225" s="18"/>
      <c r="AYB225" s="18"/>
      <c r="AYC225" s="18"/>
      <c r="AYD225" s="18"/>
      <c r="AYE225" s="18"/>
      <c r="AYF225" s="18"/>
      <c r="AYG225" s="18"/>
      <c r="AYH225" s="18"/>
      <c r="AYI225" s="18"/>
      <c r="AYJ225" s="18"/>
      <c r="AYK225" s="18"/>
      <c r="AYL225" s="18"/>
      <c r="AYM225" s="18"/>
      <c r="AYN225" s="18"/>
      <c r="AYO225" s="18"/>
      <c r="AYP225" s="18"/>
      <c r="AYQ225" s="18"/>
      <c r="AYR225" s="18"/>
      <c r="AYS225" s="18"/>
      <c r="AYT225" s="18"/>
      <c r="AYU225" s="18"/>
      <c r="AYV225" s="18"/>
      <c r="AYW225" s="18"/>
      <c r="AYX225" s="18"/>
      <c r="AYY225" s="18"/>
      <c r="AYZ225" s="18"/>
      <c r="AZA225" s="18"/>
      <c r="AZB225" s="18"/>
      <c r="AZC225" s="18"/>
      <c r="AZD225" s="18"/>
      <c r="AZE225" s="18"/>
      <c r="AZF225" s="18"/>
      <c r="AZG225" s="18"/>
      <c r="AZH225" s="18"/>
      <c r="AZI225" s="18"/>
      <c r="AZJ225" s="18"/>
      <c r="AZK225" s="18"/>
      <c r="AZL225" s="18"/>
      <c r="AZM225" s="18"/>
      <c r="AZN225" s="18"/>
      <c r="AZO225" s="18"/>
      <c r="AZP225" s="18"/>
      <c r="AZQ225" s="18"/>
      <c r="AZR225" s="18"/>
      <c r="AZS225" s="18"/>
      <c r="AZT225" s="18"/>
      <c r="AZU225" s="18"/>
      <c r="AZV225" s="18"/>
      <c r="AZW225" s="18"/>
      <c r="AZX225" s="18"/>
      <c r="AZY225" s="18"/>
      <c r="AZZ225" s="18"/>
      <c r="BAA225" s="18"/>
      <c r="BAB225" s="18"/>
      <c r="BAC225" s="18"/>
      <c r="BAD225" s="18"/>
      <c r="BAE225" s="18"/>
      <c r="BAF225" s="18"/>
      <c r="BAG225" s="18"/>
      <c r="BAH225" s="18"/>
      <c r="BAI225" s="18"/>
      <c r="BAJ225" s="18"/>
      <c r="BAK225" s="18"/>
      <c r="BAL225" s="18"/>
      <c r="BAM225" s="18"/>
      <c r="BAN225" s="18"/>
      <c r="BAO225" s="18"/>
      <c r="BAP225" s="18"/>
      <c r="BAQ225" s="18"/>
      <c r="BAR225" s="18"/>
      <c r="BAS225" s="18"/>
      <c r="BAT225" s="18"/>
      <c r="BAU225" s="18"/>
      <c r="BAV225" s="18"/>
      <c r="BAW225" s="18"/>
      <c r="BAX225" s="18"/>
      <c r="BAY225" s="18"/>
      <c r="BAZ225" s="18"/>
      <c r="BBA225" s="18"/>
      <c r="BBB225" s="18"/>
      <c r="BBC225" s="18"/>
      <c r="BBD225" s="18"/>
      <c r="BBE225" s="18"/>
      <c r="BBF225" s="18"/>
      <c r="BBG225" s="18"/>
      <c r="BBH225" s="18"/>
      <c r="BBI225" s="18"/>
      <c r="BBJ225" s="18"/>
      <c r="BBK225" s="18"/>
      <c r="BBL225" s="18"/>
      <c r="BBM225" s="18"/>
      <c r="BBN225" s="18"/>
      <c r="BBO225" s="18"/>
      <c r="BBP225" s="18"/>
      <c r="BBQ225" s="18"/>
      <c r="BBR225" s="18"/>
      <c r="BBS225" s="18"/>
      <c r="BBT225" s="18"/>
      <c r="BBU225" s="18"/>
      <c r="BBV225" s="18"/>
      <c r="BBW225" s="18"/>
      <c r="BBX225" s="18"/>
      <c r="BBY225" s="18"/>
      <c r="BBZ225" s="18"/>
      <c r="BCA225" s="18"/>
      <c r="BCB225" s="18"/>
      <c r="BCC225" s="18"/>
      <c r="BCD225" s="18"/>
      <c r="BCE225" s="18"/>
      <c r="BCF225" s="18"/>
      <c r="BCG225" s="18"/>
      <c r="BCH225" s="18"/>
      <c r="BCI225" s="18"/>
      <c r="BCJ225" s="18"/>
      <c r="BCK225" s="18"/>
      <c r="BCL225" s="18"/>
      <c r="BCM225" s="18"/>
      <c r="BCN225" s="18"/>
      <c r="BCO225" s="18"/>
      <c r="BCP225" s="18"/>
      <c r="BCQ225" s="18"/>
      <c r="BCR225" s="18"/>
      <c r="BCS225" s="18"/>
      <c r="BCT225" s="18"/>
      <c r="BCU225" s="18"/>
      <c r="BCV225" s="18"/>
      <c r="BCW225" s="18"/>
      <c r="BCX225" s="18"/>
      <c r="BCY225" s="18"/>
      <c r="BCZ225" s="18"/>
      <c r="BDA225" s="18"/>
      <c r="BDB225" s="18"/>
      <c r="BDC225" s="18"/>
      <c r="BDD225" s="18"/>
      <c r="BDE225" s="18"/>
      <c r="BDF225" s="18"/>
      <c r="BDG225" s="18"/>
      <c r="BDH225" s="18"/>
      <c r="BDI225" s="18"/>
      <c r="BDJ225" s="18"/>
      <c r="BDK225" s="18"/>
      <c r="BDL225" s="18"/>
      <c r="BDM225" s="18"/>
      <c r="BDN225" s="18"/>
      <c r="BDO225" s="18"/>
      <c r="BDP225" s="18"/>
      <c r="BDQ225" s="18"/>
      <c r="BDR225" s="18"/>
      <c r="BDS225" s="18"/>
      <c r="BDT225" s="18"/>
      <c r="BDU225" s="18"/>
      <c r="BDV225" s="18"/>
      <c r="BDW225" s="18"/>
      <c r="BDX225" s="18"/>
      <c r="BDY225" s="18"/>
      <c r="BDZ225" s="18"/>
      <c r="BEA225" s="18"/>
      <c r="BEB225" s="18"/>
      <c r="BEC225" s="18"/>
      <c r="BED225" s="18"/>
      <c r="BEE225" s="18"/>
      <c r="BEF225" s="18"/>
      <c r="BEG225" s="18"/>
      <c r="BEH225" s="18"/>
      <c r="BEI225" s="18"/>
      <c r="BEJ225" s="18"/>
      <c r="BEK225" s="18"/>
      <c r="BEL225" s="18"/>
      <c r="BEM225" s="18"/>
      <c r="BEN225" s="18"/>
      <c r="BEO225" s="18"/>
      <c r="BEP225" s="18"/>
      <c r="BEQ225" s="18"/>
      <c r="BER225" s="18"/>
      <c r="BES225" s="18"/>
      <c r="BET225" s="18"/>
      <c r="BEU225" s="18"/>
      <c r="BEV225" s="18"/>
      <c r="BEW225" s="18"/>
      <c r="BEX225" s="18"/>
      <c r="BEY225" s="18"/>
      <c r="BEZ225" s="18"/>
      <c r="BFA225" s="18"/>
      <c r="BFB225" s="18"/>
      <c r="BFC225" s="18"/>
      <c r="BFD225" s="18"/>
      <c r="BFE225" s="18"/>
      <c r="BFF225" s="18"/>
      <c r="BFG225" s="18"/>
      <c r="BFH225" s="18"/>
      <c r="BFI225" s="18"/>
      <c r="BFJ225" s="18"/>
      <c r="BFK225" s="18"/>
      <c r="BFL225" s="18"/>
      <c r="BFM225" s="18"/>
      <c r="BFN225" s="18"/>
      <c r="BFO225" s="18"/>
      <c r="BFP225" s="18"/>
      <c r="BFQ225" s="18"/>
      <c r="BFR225" s="18"/>
      <c r="BFS225" s="18"/>
      <c r="BFT225" s="18"/>
      <c r="BFU225" s="18"/>
      <c r="BFV225" s="18"/>
      <c r="BFW225" s="18"/>
      <c r="BFX225" s="18"/>
      <c r="BFY225" s="18"/>
      <c r="BFZ225" s="18"/>
      <c r="BGA225" s="18"/>
      <c r="BGB225" s="18"/>
      <c r="BGC225" s="18"/>
      <c r="BGD225" s="18"/>
      <c r="BGE225" s="18"/>
      <c r="BGF225" s="18"/>
      <c r="BGG225" s="18"/>
      <c r="BGH225" s="18"/>
      <c r="BGI225" s="18"/>
      <c r="BGJ225" s="18"/>
      <c r="BGK225" s="18"/>
      <c r="BGL225" s="18"/>
      <c r="BGM225" s="18"/>
      <c r="BGN225" s="18"/>
      <c r="BGO225" s="18"/>
      <c r="BGP225" s="18"/>
      <c r="BGQ225" s="18"/>
      <c r="BGR225" s="18"/>
      <c r="BGS225" s="18"/>
      <c r="BGT225" s="18"/>
      <c r="BGU225" s="18"/>
      <c r="BGV225" s="18"/>
      <c r="BGW225" s="18"/>
      <c r="BGX225" s="18"/>
      <c r="BGY225" s="18"/>
      <c r="BGZ225" s="18"/>
      <c r="BHA225" s="18"/>
      <c r="BHB225" s="18"/>
      <c r="BHC225" s="18"/>
      <c r="BHD225" s="18"/>
      <c r="BHE225" s="18"/>
      <c r="BHF225" s="18"/>
      <c r="BHG225" s="18"/>
      <c r="BHH225" s="18"/>
      <c r="BHI225" s="18"/>
      <c r="BHJ225" s="18"/>
      <c r="BHK225" s="18"/>
      <c r="BHL225" s="18"/>
      <c r="BHM225" s="18"/>
      <c r="BHN225" s="18"/>
      <c r="BHO225" s="18"/>
      <c r="BHP225" s="18"/>
      <c r="BHQ225" s="18"/>
      <c r="BHR225" s="18"/>
      <c r="BHS225" s="18"/>
      <c r="BHT225" s="18"/>
      <c r="BHU225" s="18"/>
      <c r="BHV225" s="18"/>
      <c r="BHW225" s="18"/>
      <c r="BHX225" s="18"/>
      <c r="BHY225" s="18"/>
      <c r="BHZ225" s="18"/>
      <c r="BIA225" s="18"/>
      <c r="BIB225" s="18"/>
      <c r="BIC225" s="18"/>
      <c r="BID225" s="18"/>
      <c r="BIE225" s="18"/>
      <c r="BIF225" s="18"/>
      <c r="BIG225" s="18"/>
      <c r="BIH225" s="18"/>
      <c r="BII225" s="18"/>
      <c r="BIJ225" s="18"/>
      <c r="BIK225" s="18"/>
      <c r="BIL225" s="18"/>
      <c r="BIM225" s="18"/>
      <c r="BIN225" s="18"/>
      <c r="BIO225" s="18"/>
      <c r="BIP225" s="18"/>
      <c r="BIQ225" s="18"/>
      <c r="BIR225" s="18"/>
      <c r="BIS225" s="18"/>
      <c r="BIT225" s="18"/>
      <c r="BIU225" s="18"/>
      <c r="BIV225" s="18"/>
      <c r="BIW225" s="18"/>
      <c r="BIX225" s="18"/>
      <c r="BIY225" s="18"/>
      <c r="BIZ225" s="18"/>
      <c r="BJA225" s="18"/>
      <c r="BJB225" s="18"/>
      <c r="BJC225" s="18"/>
      <c r="BJD225" s="18"/>
      <c r="BJE225" s="18"/>
      <c r="BJF225" s="18"/>
      <c r="BJG225" s="18"/>
      <c r="BJH225" s="18"/>
      <c r="BJI225" s="18"/>
      <c r="BJJ225" s="18"/>
      <c r="BJK225" s="18"/>
      <c r="BJL225" s="18"/>
      <c r="BJM225" s="18"/>
      <c r="BJN225" s="18"/>
      <c r="BJO225" s="18"/>
      <c r="BJP225" s="18"/>
      <c r="BJQ225" s="18"/>
      <c r="BJR225" s="18"/>
      <c r="BJS225" s="18"/>
      <c r="BJT225" s="18"/>
      <c r="BJU225" s="18"/>
      <c r="BJV225" s="18"/>
      <c r="BJW225" s="18"/>
      <c r="BJX225" s="18"/>
      <c r="BJY225" s="18"/>
      <c r="BJZ225" s="18"/>
      <c r="BKA225" s="18"/>
      <c r="BKB225" s="18"/>
      <c r="BKC225" s="18"/>
      <c r="BKD225" s="18"/>
      <c r="BKE225" s="18"/>
      <c r="BKF225" s="18"/>
      <c r="BKG225" s="18"/>
      <c r="BKH225" s="18"/>
      <c r="BKI225" s="18"/>
      <c r="BKJ225" s="18"/>
      <c r="BKK225" s="18"/>
      <c r="BKL225" s="18"/>
      <c r="BKM225" s="18"/>
      <c r="BKN225" s="18"/>
      <c r="BKO225" s="18"/>
      <c r="BKP225" s="18"/>
      <c r="BKQ225" s="18"/>
      <c r="BKR225" s="18"/>
      <c r="BKS225" s="18"/>
      <c r="BKT225" s="18"/>
      <c r="BKU225" s="18"/>
      <c r="BKV225" s="18"/>
      <c r="BKW225" s="18"/>
      <c r="BKX225" s="18"/>
      <c r="BKY225" s="18"/>
      <c r="BKZ225" s="18"/>
      <c r="BLA225" s="18"/>
      <c r="BLB225" s="18"/>
      <c r="BLC225" s="18"/>
      <c r="BLD225" s="18"/>
      <c r="BLE225" s="18"/>
      <c r="BLF225" s="18"/>
      <c r="BLG225" s="18"/>
      <c r="BLH225" s="18"/>
      <c r="BLI225" s="18"/>
      <c r="BLJ225" s="18"/>
      <c r="BLK225" s="18"/>
      <c r="BLL225" s="18"/>
      <c r="BLM225" s="18"/>
      <c r="BLN225" s="18"/>
      <c r="BLO225" s="18"/>
      <c r="BLP225" s="18"/>
      <c r="BLQ225" s="18"/>
      <c r="BLR225" s="18"/>
      <c r="BLS225" s="18"/>
      <c r="BLT225" s="18"/>
      <c r="BLU225" s="18"/>
      <c r="BLV225" s="18"/>
      <c r="BLW225" s="18"/>
      <c r="BLX225" s="18"/>
      <c r="BLY225" s="18"/>
      <c r="BLZ225" s="18"/>
      <c r="BMA225" s="18"/>
      <c r="BMB225" s="18"/>
      <c r="BMC225" s="18"/>
      <c r="BMD225" s="18"/>
      <c r="BME225" s="18"/>
      <c r="BMF225" s="18"/>
      <c r="BMG225" s="18"/>
      <c r="BMH225" s="18"/>
      <c r="BMI225" s="18"/>
      <c r="BMJ225" s="18"/>
      <c r="BMK225" s="18"/>
      <c r="BML225" s="18"/>
      <c r="BMM225" s="18"/>
      <c r="BMN225" s="18"/>
      <c r="BMO225" s="18"/>
      <c r="BMP225" s="18"/>
      <c r="BMQ225" s="18"/>
      <c r="BMR225" s="18"/>
      <c r="BMS225" s="18"/>
      <c r="BMT225" s="18"/>
      <c r="BMU225" s="18"/>
      <c r="BMV225" s="18"/>
      <c r="BMW225" s="18"/>
      <c r="BMX225" s="18"/>
      <c r="BMY225" s="18"/>
      <c r="BMZ225" s="18"/>
      <c r="BNA225" s="18"/>
      <c r="BNB225" s="18"/>
      <c r="BNC225" s="18"/>
      <c r="BND225" s="18"/>
      <c r="BNE225" s="18"/>
      <c r="BNF225" s="18"/>
      <c r="BNG225" s="18"/>
      <c r="BNH225" s="18"/>
      <c r="BNI225" s="18"/>
      <c r="BNJ225" s="18"/>
      <c r="BNK225" s="18"/>
      <c r="BNL225" s="18"/>
      <c r="BNM225" s="18"/>
      <c r="BNN225" s="18"/>
      <c r="BNO225" s="18"/>
      <c r="BNP225" s="18"/>
      <c r="BNQ225" s="18"/>
      <c r="BNR225" s="18"/>
      <c r="BNS225" s="18"/>
      <c r="BNT225" s="18"/>
      <c r="BNU225" s="18"/>
      <c r="BNV225" s="18"/>
      <c r="BNW225" s="18"/>
      <c r="BNX225" s="18"/>
      <c r="BNY225" s="18"/>
      <c r="BNZ225" s="18"/>
      <c r="BOA225" s="18"/>
      <c r="BOB225" s="18"/>
      <c r="BOC225" s="18"/>
      <c r="BOD225" s="18"/>
      <c r="BOE225" s="18"/>
      <c r="BOF225" s="18"/>
      <c r="BOG225" s="18"/>
      <c r="BOH225" s="18"/>
      <c r="BOI225" s="18"/>
      <c r="BOJ225" s="18"/>
      <c r="BOK225" s="18"/>
      <c r="BOL225" s="18"/>
      <c r="BOM225" s="18"/>
      <c r="BON225" s="18"/>
      <c r="BOO225" s="18"/>
      <c r="BOP225" s="18"/>
      <c r="BOQ225" s="18"/>
      <c r="BOR225" s="18"/>
      <c r="BOS225" s="18"/>
      <c r="BOT225" s="18"/>
      <c r="BOU225" s="18"/>
      <c r="BOV225" s="18"/>
      <c r="BOW225" s="18"/>
      <c r="BOX225" s="18"/>
      <c r="BOY225" s="18"/>
      <c r="BOZ225" s="18"/>
      <c r="BPA225" s="18"/>
      <c r="BPB225" s="18"/>
      <c r="BPC225" s="18"/>
      <c r="BPD225" s="18"/>
      <c r="BPE225" s="18"/>
      <c r="BPF225" s="18"/>
      <c r="BPG225" s="18"/>
      <c r="BPH225" s="18"/>
      <c r="BPI225" s="18"/>
      <c r="BPJ225" s="18"/>
      <c r="BPK225" s="18"/>
      <c r="BPL225" s="18"/>
      <c r="BPM225" s="18"/>
      <c r="BPN225" s="18"/>
      <c r="BPO225" s="18"/>
      <c r="BPP225" s="18"/>
      <c r="BPQ225" s="18"/>
      <c r="BPR225" s="18"/>
      <c r="BPS225" s="18"/>
      <c r="BPT225" s="18"/>
      <c r="BPU225" s="18"/>
      <c r="BPV225" s="18"/>
      <c r="BPW225" s="18"/>
      <c r="BPX225" s="18"/>
      <c r="BPY225" s="18"/>
      <c r="BPZ225" s="18"/>
      <c r="BQA225" s="18"/>
      <c r="BQB225" s="18"/>
      <c r="BQC225" s="18"/>
      <c r="BQD225" s="18"/>
      <c r="BQE225" s="18"/>
      <c r="BQF225" s="18"/>
      <c r="BQG225" s="18"/>
      <c r="BQH225" s="18"/>
      <c r="BQI225" s="18"/>
      <c r="BQJ225" s="18"/>
      <c r="BQK225" s="18"/>
      <c r="BQL225" s="18"/>
      <c r="BQM225" s="18"/>
      <c r="BQN225" s="18"/>
      <c r="BQO225" s="18"/>
      <c r="BQP225" s="18"/>
      <c r="BQQ225" s="18"/>
      <c r="BQR225" s="18"/>
      <c r="BQS225" s="18"/>
      <c r="BQT225" s="18"/>
      <c r="BQU225" s="18"/>
      <c r="BQV225" s="18"/>
      <c r="BQW225" s="18"/>
      <c r="BQX225" s="18"/>
      <c r="BQY225" s="18"/>
      <c r="BQZ225" s="18"/>
      <c r="BRA225" s="18"/>
      <c r="BRB225" s="18"/>
      <c r="BRC225" s="18"/>
      <c r="BRD225" s="18"/>
      <c r="BRE225" s="18"/>
      <c r="BRF225" s="18"/>
      <c r="BRG225" s="18"/>
      <c r="BRH225" s="18"/>
      <c r="BRI225" s="18"/>
      <c r="BRJ225" s="18"/>
      <c r="BRK225" s="18"/>
      <c r="BRL225" s="18"/>
      <c r="BRM225" s="18"/>
      <c r="BRN225" s="18"/>
      <c r="BRO225" s="18"/>
      <c r="BRP225" s="18"/>
      <c r="BRQ225" s="18"/>
      <c r="BRR225" s="18"/>
      <c r="BRS225" s="18"/>
      <c r="BRT225" s="18"/>
      <c r="BRU225" s="18"/>
      <c r="BRV225" s="18"/>
      <c r="BRW225" s="18"/>
      <c r="BRX225" s="18"/>
      <c r="BRY225" s="18"/>
      <c r="BRZ225" s="18"/>
      <c r="BSA225" s="18"/>
      <c r="BSB225" s="18"/>
      <c r="BSC225" s="18"/>
      <c r="BSD225" s="18"/>
      <c r="BSE225" s="18"/>
      <c r="BSF225" s="18"/>
      <c r="BSG225" s="18"/>
      <c r="BSH225" s="18"/>
      <c r="BSI225" s="18"/>
      <c r="BSJ225" s="18"/>
      <c r="BSK225" s="18"/>
      <c r="BSL225" s="18"/>
      <c r="BSM225" s="18"/>
      <c r="BSN225" s="18"/>
      <c r="BSO225" s="18"/>
      <c r="BSP225" s="18"/>
      <c r="BSQ225" s="18"/>
      <c r="BSR225" s="18"/>
      <c r="BSS225" s="18"/>
      <c r="BST225" s="18"/>
      <c r="BSU225" s="18"/>
      <c r="BSV225" s="18"/>
      <c r="BSW225" s="18"/>
      <c r="BSX225" s="18"/>
      <c r="BSY225" s="18"/>
      <c r="BSZ225" s="18"/>
      <c r="BTA225" s="18"/>
      <c r="BTB225" s="18"/>
      <c r="BTC225" s="18"/>
      <c r="BTD225" s="18"/>
      <c r="BTE225" s="18"/>
      <c r="BTF225" s="18"/>
      <c r="BTG225" s="18"/>
      <c r="BTH225" s="18"/>
      <c r="BTI225" s="18"/>
    </row>
    <row r="226" spans="1:1881" s="426" customFormat="1" ht="81.75" customHeight="1" x14ac:dyDescent="0.3">
      <c r="A226" s="100">
        <v>598</v>
      </c>
      <c r="B226" s="373" t="s">
        <v>58</v>
      </c>
      <c r="C226" s="373" t="s">
        <v>285</v>
      </c>
      <c r="D226" s="383" t="s">
        <v>338</v>
      </c>
      <c r="E226" s="371" t="e">
        <f>INDEX('PY1 Data(H)'!$A$1:$CZ$265,MATCH('Unit Data from Audit Worksheet'!$A226,'PY1 Data(H)'!$A$1:$A$258,0),MATCH('Unit Data from Audit Worksheet'!$D$2,'PY1 Data(H)'!$A$1:$CZ$1,0))</f>
        <v>#N/A</v>
      </c>
      <c r="F226" s="795">
        <v>0</v>
      </c>
      <c r="G226" s="401">
        <f>IF(F226&lt;0,"Error: Enter as positive.",)</f>
        <v>0</v>
      </c>
      <c r="H226" s="401"/>
      <c r="I226" s="17"/>
      <c r="J226" s="424"/>
      <c r="K226"/>
      <c r="L226" s="547"/>
      <c r="M226"/>
      <c r="N226" s="18"/>
      <c r="O226" s="186"/>
      <c r="P226" s="18"/>
      <c r="Q226" s="18"/>
      <c r="R226" s="18"/>
      <c r="S226" s="18"/>
      <c r="T226" s="18"/>
      <c r="U226" s="18"/>
      <c r="V226" s="18"/>
      <c r="W226" s="18"/>
      <c r="X226" s="18"/>
      <c r="Y226" s="18"/>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c r="IS226" s="18"/>
      <c r="IT226" s="18"/>
      <c r="IU226" s="18"/>
      <c r="IV226" s="18"/>
      <c r="IW226" s="18"/>
      <c r="IX226" s="18"/>
      <c r="IY226" s="18"/>
      <c r="IZ226" s="18"/>
      <c r="JA226" s="18"/>
      <c r="JB226" s="18"/>
      <c r="JC226" s="18"/>
      <c r="JD226" s="18"/>
      <c r="JE226" s="18"/>
      <c r="JF226" s="18"/>
      <c r="JG226" s="18"/>
      <c r="JH226" s="18"/>
      <c r="JI226" s="18"/>
      <c r="JJ226" s="18"/>
      <c r="JK226" s="18"/>
      <c r="JL226" s="18"/>
      <c r="JM226" s="18"/>
      <c r="JN226" s="18"/>
      <c r="JO226" s="18"/>
      <c r="JP226" s="18"/>
      <c r="JQ226" s="18"/>
      <c r="JR226" s="18"/>
      <c r="JS226" s="18"/>
      <c r="JT226" s="18"/>
      <c r="JU226" s="18"/>
      <c r="JV226" s="18"/>
      <c r="JW226" s="18"/>
      <c r="JX226" s="18"/>
      <c r="JY226" s="18"/>
      <c r="JZ226" s="18"/>
      <c r="KA226" s="18"/>
      <c r="KB226" s="18"/>
      <c r="KC226" s="18"/>
      <c r="KD226" s="18"/>
      <c r="KE226" s="18"/>
      <c r="KF226" s="18"/>
      <c r="KG226" s="18"/>
      <c r="KH226" s="18"/>
      <c r="KI226" s="18"/>
      <c r="KJ226" s="18"/>
      <c r="KK226" s="18"/>
      <c r="KL226" s="18"/>
      <c r="KM226" s="18"/>
      <c r="KN226" s="18"/>
      <c r="KO226" s="18"/>
      <c r="KP226" s="18"/>
      <c r="KQ226" s="18"/>
      <c r="KR226" s="18"/>
      <c r="KS226" s="18"/>
      <c r="KT226" s="18"/>
      <c r="KU226" s="18"/>
      <c r="KV226" s="18"/>
      <c r="KW226" s="18"/>
      <c r="KX226" s="18"/>
      <c r="KY226" s="18"/>
      <c r="KZ226" s="18"/>
      <c r="LA226" s="18"/>
      <c r="LB226" s="18"/>
      <c r="LC226" s="18"/>
      <c r="LD226" s="18"/>
      <c r="LE226" s="18"/>
      <c r="LF226" s="18"/>
      <c r="LG226" s="18"/>
      <c r="LH226" s="18"/>
      <c r="LI226" s="18"/>
      <c r="LJ226" s="18"/>
      <c r="LK226" s="18"/>
      <c r="LL226" s="18"/>
      <c r="LM226" s="18"/>
      <c r="LN226" s="18"/>
      <c r="LO226" s="18"/>
      <c r="LP226" s="18"/>
      <c r="LQ226" s="18"/>
      <c r="LR226" s="18"/>
      <c r="LS226" s="18"/>
      <c r="LT226" s="18"/>
      <c r="LU226" s="18"/>
      <c r="LV226" s="18"/>
      <c r="LW226" s="18"/>
      <c r="LX226" s="18"/>
      <c r="LY226" s="18"/>
      <c r="LZ226" s="18"/>
      <c r="MA226" s="18"/>
      <c r="MB226" s="18"/>
      <c r="MC226" s="18"/>
      <c r="MD226" s="18"/>
      <c r="ME226" s="18"/>
      <c r="MF226" s="18"/>
      <c r="MG226" s="18"/>
      <c r="MH226" s="18"/>
      <c r="MI226" s="18"/>
      <c r="MJ226" s="18"/>
      <c r="MK226" s="18"/>
      <c r="ML226" s="18"/>
      <c r="MM226" s="18"/>
      <c r="MN226" s="18"/>
      <c r="MO226" s="18"/>
      <c r="MP226" s="18"/>
      <c r="MQ226" s="18"/>
      <c r="MR226" s="18"/>
      <c r="MS226" s="18"/>
      <c r="MT226" s="18"/>
      <c r="MU226" s="18"/>
      <c r="MV226" s="18"/>
      <c r="MW226" s="18"/>
      <c r="MX226" s="18"/>
      <c r="MY226" s="18"/>
      <c r="MZ226" s="18"/>
      <c r="NA226" s="18"/>
      <c r="NB226" s="18"/>
      <c r="NC226" s="18"/>
      <c r="ND226" s="18"/>
      <c r="NE226" s="18"/>
      <c r="NF226" s="18"/>
      <c r="NG226" s="18"/>
      <c r="NH226" s="18"/>
      <c r="NI226" s="18"/>
      <c r="NJ226" s="18"/>
      <c r="NK226" s="18"/>
      <c r="NL226" s="18"/>
      <c r="NM226" s="18"/>
      <c r="NN226" s="18"/>
      <c r="NO226" s="18"/>
      <c r="NP226" s="18"/>
      <c r="NQ226" s="18"/>
      <c r="NR226" s="18"/>
      <c r="NS226" s="18"/>
      <c r="NT226" s="18"/>
      <c r="NU226" s="18"/>
      <c r="NV226" s="18"/>
      <c r="NW226" s="18"/>
      <c r="NX226" s="18"/>
      <c r="NY226" s="18"/>
      <c r="NZ226" s="18"/>
      <c r="OA226" s="18"/>
      <c r="OB226" s="18"/>
      <c r="OC226" s="18"/>
      <c r="OD226" s="18"/>
      <c r="OE226" s="18"/>
      <c r="OF226" s="18"/>
      <c r="OG226" s="18"/>
      <c r="OH226" s="18"/>
      <c r="OI226" s="18"/>
      <c r="OJ226" s="18"/>
      <c r="OK226" s="18"/>
      <c r="OL226" s="18"/>
      <c r="OM226" s="18"/>
      <c r="ON226" s="18"/>
      <c r="OO226" s="18"/>
      <c r="OP226" s="18"/>
      <c r="OQ226" s="18"/>
      <c r="OR226" s="18"/>
      <c r="OS226" s="18"/>
      <c r="OT226" s="18"/>
      <c r="OU226" s="18"/>
      <c r="OV226" s="18"/>
      <c r="OW226" s="18"/>
      <c r="OX226" s="18"/>
      <c r="OY226" s="18"/>
      <c r="OZ226" s="18"/>
      <c r="PA226" s="18"/>
      <c r="PB226" s="18"/>
      <c r="PC226" s="18"/>
      <c r="PD226" s="18"/>
      <c r="PE226" s="18"/>
      <c r="PF226" s="18"/>
      <c r="PG226" s="18"/>
      <c r="PH226" s="18"/>
      <c r="PI226" s="18"/>
      <c r="PJ226" s="18"/>
      <c r="PK226" s="18"/>
      <c r="PL226" s="18"/>
      <c r="PM226" s="18"/>
      <c r="PN226" s="18"/>
      <c r="PO226" s="18"/>
      <c r="PP226" s="18"/>
      <c r="PQ226" s="18"/>
      <c r="PR226" s="18"/>
      <c r="PS226" s="18"/>
      <c r="PT226" s="18"/>
      <c r="PU226" s="18"/>
      <c r="PV226" s="18"/>
      <c r="PW226" s="18"/>
      <c r="PX226" s="18"/>
      <c r="PY226" s="18"/>
      <c r="PZ226" s="18"/>
      <c r="QA226" s="18"/>
      <c r="QB226" s="18"/>
      <c r="QC226" s="18"/>
      <c r="QD226" s="18"/>
      <c r="QE226" s="18"/>
      <c r="QF226" s="18"/>
      <c r="QG226" s="18"/>
      <c r="QH226" s="18"/>
      <c r="QI226" s="18"/>
      <c r="QJ226" s="18"/>
      <c r="QK226" s="18"/>
      <c r="QL226" s="18"/>
      <c r="QM226" s="18"/>
      <c r="QN226" s="18"/>
      <c r="QO226" s="18"/>
      <c r="QP226" s="18"/>
      <c r="QQ226" s="18"/>
      <c r="QR226" s="18"/>
      <c r="QS226" s="18"/>
      <c r="QT226" s="18"/>
      <c r="QU226" s="18"/>
      <c r="QV226" s="18"/>
      <c r="QW226" s="18"/>
      <c r="QX226" s="18"/>
      <c r="QY226" s="18"/>
      <c r="QZ226" s="18"/>
      <c r="RA226" s="18"/>
      <c r="RB226" s="18"/>
      <c r="RC226" s="18"/>
      <c r="RD226" s="18"/>
      <c r="RE226" s="18"/>
      <c r="RF226" s="18"/>
      <c r="RG226" s="18"/>
      <c r="RH226" s="18"/>
      <c r="RI226" s="18"/>
      <c r="RJ226" s="18"/>
      <c r="RK226" s="18"/>
      <c r="RL226" s="18"/>
      <c r="RM226" s="18"/>
      <c r="RN226" s="18"/>
      <c r="RO226" s="18"/>
      <c r="RP226" s="18"/>
      <c r="RQ226" s="18"/>
      <c r="RR226" s="18"/>
      <c r="RS226" s="18"/>
      <c r="RT226" s="18"/>
      <c r="RU226" s="18"/>
      <c r="RV226" s="18"/>
      <c r="RW226" s="18"/>
      <c r="RX226" s="18"/>
      <c r="RY226" s="18"/>
      <c r="RZ226" s="18"/>
      <c r="SA226" s="18"/>
      <c r="SB226" s="18"/>
      <c r="SC226" s="18"/>
      <c r="SD226" s="18"/>
      <c r="SE226" s="18"/>
      <c r="SF226" s="18"/>
      <c r="SG226" s="18"/>
      <c r="SH226" s="18"/>
      <c r="SI226" s="18"/>
      <c r="SJ226" s="18"/>
      <c r="SK226" s="18"/>
      <c r="SL226" s="18"/>
      <c r="SM226" s="18"/>
      <c r="SN226" s="18"/>
      <c r="SO226" s="18"/>
      <c r="SP226" s="18"/>
      <c r="SQ226" s="18"/>
      <c r="SR226" s="18"/>
      <c r="SS226" s="18"/>
      <c r="ST226" s="18"/>
      <c r="SU226" s="18"/>
      <c r="SV226" s="18"/>
      <c r="SW226" s="18"/>
      <c r="SX226" s="18"/>
      <c r="SY226" s="18"/>
      <c r="SZ226" s="18"/>
      <c r="TA226" s="18"/>
      <c r="TB226" s="18"/>
      <c r="TC226" s="18"/>
      <c r="TD226" s="18"/>
      <c r="TE226" s="18"/>
      <c r="TF226" s="18"/>
      <c r="TG226" s="18"/>
      <c r="TH226" s="18"/>
      <c r="TI226" s="18"/>
      <c r="TJ226" s="18"/>
      <c r="TK226" s="18"/>
      <c r="TL226" s="18"/>
      <c r="TM226" s="18"/>
      <c r="TN226" s="18"/>
      <c r="TO226" s="18"/>
      <c r="TP226" s="18"/>
      <c r="TQ226" s="18"/>
      <c r="TR226" s="18"/>
      <c r="TS226" s="18"/>
      <c r="TT226" s="18"/>
      <c r="TU226" s="18"/>
      <c r="TV226" s="18"/>
      <c r="TW226" s="18"/>
      <c r="TX226" s="18"/>
      <c r="TY226" s="18"/>
      <c r="TZ226" s="18"/>
      <c r="UA226" s="18"/>
      <c r="UB226" s="18"/>
      <c r="UC226" s="18"/>
      <c r="UD226" s="18"/>
      <c r="UE226" s="18"/>
      <c r="UF226" s="18"/>
      <c r="UG226" s="18"/>
      <c r="UH226" s="18"/>
      <c r="UI226" s="18"/>
      <c r="UJ226" s="18"/>
      <c r="UK226" s="18"/>
      <c r="UL226" s="18"/>
      <c r="UM226" s="18"/>
      <c r="UN226" s="18"/>
      <c r="UO226" s="18"/>
      <c r="UP226" s="18"/>
      <c r="UQ226" s="18"/>
      <c r="UR226" s="18"/>
      <c r="US226" s="18"/>
      <c r="UT226" s="18"/>
      <c r="UU226" s="18"/>
      <c r="UV226" s="18"/>
      <c r="UW226" s="18"/>
      <c r="UX226" s="18"/>
      <c r="UY226" s="18"/>
      <c r="UZ226" s="18"/>
      <c r="VA226" s="18"/>
      <c r="VB226" s="18"/>
      <c r="VC226" s="18"/>
      <c r="VD226" s="18"/>
      <c r="VE226" s="18"/>
      <c r="VF226" s="18"/>
      <c r="VG226" s="18"/>
      <c r="VH226" s="18"/>
      <c r="VI226" s="18"/>
      <c r="VJ226" s="18"/>
      <c r="VK226" s="18"/>
      <c r="VL226" s="18"/>
      <c r="VM226" s="18"/>
      <c r="VN226" s="18"/>
      <c r="VO226" s="18"/>
      <c r="VP226" s="18"/>
      <c r="VQ226" s="18"/>
      <c r="VR226" s="18"/>
      <c r="VS226" s="18"/>
      <c r="VT226" s="18"/>
      <c r="VU226" s="18"/>
      <c r="VV226" s="18"/>
      <c r="VW226" s="18"/>
      <c r="VX226" s="18"/>
      <c r="VY226" s="18"/>
      <c r="VZ226" s="18"/>
      <c r="WA226" s="18"/>
      <c r="WB226" s="18"/>
      <c r="WC226" s="18"/>
      <c r="WD226" s="18"/>
      <c r="WE226" s="18"/>
      <c r="WF226" s="18"/>
      <c r="WG226" s="18"/>
      <c r="WH226" s="18"/>
      <c r="WI226" s="18"/>
      <c r="WJ226" s="18"/>
      <c r="WK226" s="18"/>
      <c r="WL226" s="18"/>
      <c r="WM226" s="18"/>
      <c r="WN226" s="18"/>
      <c r="WO226" s="18"/>
      <c r="WP226" s="18"/>
      <c r="WQ226" s="18"/>
      <c r="WR226" s="18"/>
      <c r="WS226" s="18"/>
      <c r="WT226" s="18"/>
      <c r="WU226" s="18"/>
      <c r="WV226" s="18"/>
      <c r="WW226" s="18"/>
      <c r="WX226" s="18"/>
      <c r="WY226" s="18"/>
      <c r="WZ226" s="18"/>
      <c r="XA226" s="18"/>
      <c r="XB226" s="18"/>
      <c r="XC226" s="18"/>
      <c r="XD226" s="18"/>
      <c r="XE226" s="18"/>
      <c r="XF226" s="18"/>
      <c r="XG226" s="18"/>
      <c r="XH226" s="18"/>
      <c r="XI226" s="18"/>
      <c r="XJ226" s="18"/>
      <c r="XK226" s="18"/>
      <c r="XL226" s="18"/>
      <c r="XM226" s="18"/>
      <c r="XN226" s="18"/>
      <c r="XO226" s="18"/>
      <c r="XP226" s="18"/>
      <c r="XQ226" s="18"/>
      <c r="XR226" s="18"/>
      <c r="XS226" s="18"/>
      <c r="XT226" s="18"/>
      <c r="XU226" s="18"/>
      <c r="XV226" s="18"/>
      <c r="XW226" s="18"/>
      <c r="XX226" s="18"/>
      <c r="XY226" s="18"/>
      <c r="XZ226" s="18"/>
      <c r="YA226" s="18"/>
      <c r="YB226" s="18"/>
      <c r="YC226" s="18"/>
      <c r="YD226" s="18"/>
      <c r="YE226" s="18"/>
      <c r="YF226" s="18"/>
      <c r="YG226" s="18"/>
      <c r="YH226" s="18"/>
      <c r="YI226" s="18"/>
      <c r="YJ226" s="18"/>
      <c r="YK226" s="18"/>
      <c r="YL226" s="18"/>
      <c r="YM226" s="18"/>
      <c r="YN226" s="18"/>
      <c r="YO226" s="18"/>
      <c r="YP226" s="18"/>
      <c r="YQ226" s="18"/>
      <c r="YR226" s="18"/>
      <c r="YS226" s="18"/>
      <c r="YT226" s="18"/>
      <c r="YU226" s="18"/>
      <c r="YV226" s="18"/>
      <c r="YW226" s="18"/>
      <c r="YX226" s="18"/>
      <c r="YY226" s="18"/>
      <c r="YZ226" s="18"/>
      <c r="ZA226" s="18"/>
      <c r="ZB226" s="18"/>
      <c r="ZC226" s="18"/>
      <c r="ZD226" s="18"/>
      <c r="ZE226" s="18"/>
      <c r="ZF226" s="18"/>
      <c r="ZG226" s="18"/>
      <c r="ZH226" s="18"/>
      <c r="ZI226" s="18"/>
      <c r="ZJ226" s="18"/>
      <c r="ZK226" s="18"/>
      <c r="ZL226" s="18"/>
      <c r="ZM226" s="18"/>
      <c r="ZN226" s="18"/>
      <c r="ZO226" s="18"/>
      <c r="ZP226" s="18"/>
      <c r="ZQ226" s="18"/>
      <c r="ZR226" s="18"/>
      <c r="ZS226" s="18"/>
      <c r="ZT226" s="18"/>
      <c r="ZU226" s="18"/>
      <c r="ZV226" s="18"/>
      <c r="ZW226" s="18"/>
      <c r="ZX226" s="18"/>
      <c r="ZY226" s="18"/>
      <c r="ZZ226" s="18"/>
      <c r="AAA226" s="18"/>
      <c r="AAB226" s="18"/>
      <c r="AAC226" s="18"/>
      <c r="AAD226" s="18"/>
      <c r="AAE226" s="18"/>
      <c r="AAF226" s="18"/>
      <c r="AAG226" s="18"/>
      <c r="AAH226" s="18"/>
      <c r="AAI226" s="18"/>
      <c r="AAJ226" s="18"/>
      <c r="AAK226" s="18"/>
      <c r="AAL226" s="18"/>
      <c r="AAM226" s="18"/>
      <c r="AAN226" s="18"/>
      <c r="AAO226" s="18"/>
      <c r="AAP226" s="18"/>
      <c r="AAQ226" s="18"/>
      <c r="AAR226" s="18"/>
      <c r="AAS226" s="18"/>
      <c r="AAT226" s="18"/>
      <c r="AAU226" s="18"/>
      <c r="AAV226" s="18"/>
      <c r="AAW226" s="18"/>
      <c r="AAX226" s="18"/>
      <c r="AAY226" s="18"/>
      <c r="AAZ226" s="18"/>
      <c r="ABA226" s="18"/>
      <c r="ABB226" s="18"/>
      <c r="ABC226" s="18"/>
      <c r="ABD226" s="18"/>
      <c r="ABE226" s="18"/>
      <c r="ABF226" s="18"/>
      <c r="ABG226" s="18"/>
      <c r="ABH226" s="18"/>
      <c r="ABI226" s="18"/>
      <c r="ABJ226" s="18"/>
      <c r="ABK226" s="18"/>
      <c r="ABL226" s="18"/>
      <c r="ABM226" s="18"/>
      <c r="ABN226" s="18"/>
      <c r="ABO226" s="18"/>
      <c r="ABP226" s="18"/>
      <c r="ABQ226" s="18"/>
      <c r="ABR226" s="18"/>
      <c r="ABS226" s="18"/>
      <c r="ABT226" s="18"/>
      <c r="ABU226" s="18"/>
      <c r="ABV226" s="18"/>
      <c r="ABW226" s="18"/>
      <c r="ABX226" s="18"/>
      <c r="ABY226" s="18"/>
      <c r="ABZ226" s="18"/>
      <c r="ACA226" s="18"/>
      <c r="ACB226" s="18"/>
      <c r="ACC226" s="18"/>
      <c r="ACD226" s="18"/>
      <c r="ACE226" s="18"/>
      <c r="ACF226" s="18"/>
      <c r="ACG226" s="18"/>
      <c r="ACH226" s="18"/>
      <c r="ACI226" s="18"/>
      <c r="ACJ226" s="18"/>
      <c r="ACK226" s="18"/>
      <c r="ACL226" s="18"/>
      <c r="ACM226" s="18"/>
      <c r="ACN226" s="18"/>
      <c r="ACO226" s="18"/>
      <c r="ACP226" s="18"/>
      <c r="ACQ226" s="18"/>
      <c r="ACR226" s="18"/>
      <c r="ACS226" s="18"/>
      <c r="ACT226" s="18"/>
      <c r="ACU226" s="18"/>
      <c r="ACV226" s="18"/>
      <c r="ACW226" s="18"/>
      <c r="ACX226" s="18"/>
      <c r="ACY226" s="18"/>
      <c r="ACZ226" s="18"/>
      <c r="ADA226" s="18"/>
      <c r="ADB226" s="18"/>
      <c r="ADC226" s="18"/>
      <c r="ADD226" s="18"/>
      <c r="ADE226" s="18"/>
      <c r="ADF226" s="18"/>
      <c r="ADG226" s="18"/>
      <c r="ADH226" s="18"/>
      <c r="ADI226" s="18"/>
      <c r="ADJ226" s="18"/>
      <c r="ADK226" s="18"/>
      <c r="ADL226" s="18"/>
      <c r="ADM226" s="18"/>
      <c r="ADN226" s="18"/>
      <c r="ADO226" s="18"/>
      <c r="ADP226" s="18"/>
      <c r="ADQ226" s="18"/>
      <c r="ADR226" s="18"/>
      <c r="ADS226" s="18"/>
      <c r="ADT226" s="18"/>
      <c r="ADU226" s="18"/>
      <c r="ADV226" s="18"/>
      <c r="ADW226" s="18"/>
      <c r="ADX226" s="18"/>
      <c r="ADY226" s="18"/>
      <c r="ADZ226" s="18"/>
      <c r="AEA226" s="18"/>
      <c r="AEB226" s="18"/>
      <c r="AEC226" s="18"/>
      <c r="AED226" s="18"/>
      <c r="AEE226" s="18"/>
      <c r="AEF226" s="18"/>
      <c r="AEG226" s="18"/>
      <c r="AEH226" s="18"/>
      <c r="AEI226" s="18"/>
      <c r="AEJ226" s="18"/>
      <c r="AEK226" s="18"/>
      <c r="AEL226" s="18"/>
      <c r="AEM226" s="18"/>
      <c r="AEN226" s="18"/>
      <c r="AEO226" s="18"/>
      <c r="AEP226" s="18"/>
      <c r="AEQ226" s="18"/>
      <c r="AER226" s="18"/>
      <c r="AES226" s="18"/>
      <c r="AET226" s="18"/>
      <c r="AEU226" s="18"/>
      <c r="AEV226" s="18"/>
      <c r="AEW226" s="18"/>
      <c r="AEX226" s="18"/>
      <c r="AEY226" s="18"/>
      <c r="AEZ226" s="18"/>
      <c r="AFA226" s="18"/>
      <c r="AFB226" s="18"/>
      <c r="AFC226" s="18"/>
      <c r="AFD226" s="18"/>
      <c r="AFE226" s="18"/>
      <c r="AFF226" s="18"/>
      <c r="AFG226" s="18"/>
      <c r="AFH226" s="18"/>
      <c r="AFI226" s="18"/>
      <c r="AFJ226" s="18"/>
      <c r="AFK226" s="18"/>
      <c r="AFL226" s="18"/>
      <c r="AFM226" s="18"/>
      <c r="AFN226" s="18"/>
      <c r="AFO226" s="18"/>
      <c r="AFP226" s="18"/>
      <c r="AFQ226" s="18"/>
      <c r="AFR226" s="18"/>
      <c r="AFS226" s="18"/>
      <c r="AFT226" s="18"/>
      <c r="AFU226" s="18"/>
      <c r="AFV226" s="18"/>
      <c r="AFW226" s="18"/>
      <c r="AFX226" s="18"/>
      <c r="AFY226" s="18"/>
      <c r="AFZ226" s="18"/>
      <c r="AGA226" s="18"/>
      <c r="AGB226" s="18"/>
      <c r="AGC226" s="18"/>
      <c r="AGD226" s="18"/>
      <c r="AGE226" s="18"/>
      <c r="AGF226" s="18"/>
      <c r="AGG226" s="18"/>
      <c r="AGH226" s="18"/>
      <c r="AGI226" s="18"/>
      <c r="AGJ226" s="18"/>
      <c r="AGK226" s="18"/>
      <c r="AGL226" s="18"/>
      <c r="AGM226" s="18"/>
      <c r="AGN226" s="18"/>
      <c r="AGO226" s="18"/>
      <c r="AGP226" s="18"/>
      <c r="AGQ226" s="18"/>
      <c r="AGR226" s="18"/>
      <c r="AGS226" s="18"/>
      <c r="AGT226" s="18"/>
      <c r="AGU226" s="18"/>
      <c r="AGV226" s="18"/>
      <c r="AGW226" s="18"/>
      <c r="AGX226" s="18"/>
      <c r="AGY226" s="18"/>
      <c r="AGZ226" s="18"/>
      <c r="AHA226" s="18"/>
      <c r="AHB226" s="18"/>
      <c r="AHC226" s="18"/>
      <c r="AHD226" s="18"/>
      <c r="AHE226" s="18"/>
      <c r="AHF226" s="18"/>
      <c r="AHG226" s="18"/>
      <c r="AHH226" s="18"/>
      <c r="AHI226" s="18"/>
      <c r="AHJ226" s="18"/>
      <c r="AHK226" s="18"/>
      <c r="AHL226" s="18"/>
      <c r="AHM226" s="18"/>
      <c r="AHN226" s="18"/>
      <c r="AHO226" s="18"/>
      <c r="AHP226" s="18"/>
      <c r="AHQ226" s="18"/>
      <c r="AHR226" s="18"/>
      <c r="AHS226" s="18"/>
      <c r="AHT226" s="18"/>
      <c r="AHU226" s="18"/>
      <c r="AHV226" s="18"/>
      <c r="AHW226" s="18"/>
      <c r="AHX226" s="18"/>
      <c r="AHY226" s="18"/>
      <c r="AHZ226" s="18"/>
      <c r="AIA226" s="18"/>
      <c r="AIB226" s="18"/>
      <c r="AIC226" s="18"/>
      <c r="AID226" s="18"/>
      <c r="AIE226" s="18"/>
      <c r="AIF226" s="18"/>
      <c r="AIG226" s="18"/>
      <c r="AIH226" s="18"/>
      <c r="AII226" s="18"/>
      <c r="AIJ226" s="18"/>
      <c r="AIK226" s="18"/>
      <c r="AIL226" s="18"/>
      <c r="AIM226" s="18"/>
      <c r="AIN226" s="18"/>
      <c r="AIO226" s="18"/>
      <c r="AIP226" s="18"/>
      <c r="AIQ226" s="18"/>
      <c r="AIR226" s="18"/>
      <c r="AIS226" s="18"/>
      <c r="AIT226" s="18"/>
      <c r="AIU226" s="18"/>
      <c r="AIV226" s="18"/>
      <c r="AIW226" s="18"/>
      <c r="AIX226" s="18"/>
      <c r="AIY226" s="18"/>
      <c r="AIZ226" s="18"/>
      <c r="AJA226" s="18"/>
      <c r="AJB226" s="18"/>
      <c r="AJC226" s="18"/>
      <c r="AJD226" s="18"/>
      <c r="AJE226" s="18"/>
      <c r="AJF226" s="18"/>
      <c r="AJG226" s="18"/>
      <c r="AJH226" s="18"/>
      <c r="AJI226" s="18"/>
      <c r="AJJ226" s="18"/>
      <c r="AJK226" s="18"/>
      <c r="AJL226" s="18"/>
      <c r="AJM226" s="18"/>
      <c r="AJN226" s="18"/>
      <c r="AJO226" s="18"/>
      <c r="AJP226" s="18"/>
      <c r="AJQ226" s="18"/>
      <c r="AJR226" s="18"/>
      <c r="AJS226" s="18"/>
      <c r="AJT226" s="18"/>
      <c r="AJU226" s="18"/>
      <c r="AJV226" s="18"/>
      <c r="AJW226" s="18"/>
      <c r="AJX226" s="18"/>
      <c r="AJY226" s="18"/>
      <c r="AJZ226" s="18"/>
      <c r="AKA226" s="18"/>
      <c r="AKB226" s="18"/>
      <c r="AKC226" s="18"/>
      <c r="AKD226" s="18"/>
      <c r="AKE226" s="18"/>
      <c r="AKF226" s="18"/>
      <c r="AKG226" s="18"/>
      <c r="AKH226" s="18"/>
      <c r="AKI226" s="18"/>
      <c r="AKJ226" s="18"/>
      <c r="AKK226" s="18"/>
      <c r="AKL226" s="18"/>
      <c r="AKM226" s="18"/>
      <c r="AKN226" s="18"/>
      <c r="AKO226" s="18"/>
      <c r="AKP226" s="18"/>
      <c r="AKQ226" s="18"/>
      <c r="AKR226" s="18"/>
      <c r="AKS226" s="18"/>
      <c r="AKT226" s="18"/>
      <c r="AKU226" s="18"/>
      <c r="AKV226" s="18"/>
      <c r="AKW226" s="18"/>
      <c r="AKX226" s="18"/>
      <c r="AKY226" s="18"/>
      <c r="AKZ226" s="18"/>
      <c r="ALA226" s="18"/>
      <c r="ALB226" s="18"/>
      <c r="ALC226" s="18"/>
      <c r="ALD226" s="18"/>
      <c r="ALE226" s="18"/>
      <c r="ALF226" s="18"/>
      <c r="ALG226" s="18"/>
      <c r="ALH226" s="18"/>
      <c r="ALI226" s="18"/>
      <c r="ALJ226" s="18"/>
      <c r="ALK226" s="18"/>
      <c r="ALL226" s="18"/>
      <c r="ALM226" s="18"/>
      <c r="ALN226" s="18"/>
      <c r="ALO226" s="18"/>
      <c r="ALP226" s="18"/>
      <c r="ALQ226" s="18"/>
      <c r="ALR226" s="18"/>
      <c r="ALS226" s="18"/>
      <c r="ALT226" s="18"/>
      <c r="ALU226" s="18"/>
      <c r="ALV226" s="18"/>
      <c r="ALW226" s="18"/>
      <c r="ALX226" s="18"/>
      <c r="ALY226" s="18"/>
      <c r="ALZ226" s="18"/>
      <c r="AMA226" s="18"/>
      <c r="AMB226" s="18"/>
      <c r="AMC226" s="18"/>
      <c r="AMD226" s="18"/>
      <c r="AME226" s="18"/>
      <c r="AMF226" s="18"/>
      <c r="AMG226" s="18"/>
      <c r="AMH226" s="18"/>
      <c r="AMI226" s="18"/>
      <c r="AMJ226" s="18"/>
      <c r="AMK226" s="18"/>
      <c r="AML226" s="18"/>
      <c r="AMM226" s="18"/>
      <c r="AMN226" s="18"/>
      <c r="AMO226" s="18"/>
      <c r="AMP226" s="18"/>
      <c r="AMQ226" s="18"/>
      <c r="AMR226" s="18"/>
      <c r="AMS226" s="18"/>
      <c r="AMT226" s="18"/>
      <c r="AMU226" s="18"/>
      <c r="AMV226" s="18"/>
      <c r="AMW226" s="18"/>
      <c r="AMX226" s="18"/>
      <c r="AMY226" s="18"/>
      <c r="AMZ226" s="18"/>
      <c r="ANA226" s="18"/>
      <c r="ANB226" s="18"/>
      <c r="ANC226" s="18"/>
      <c r="AND226" s="18"/>
      <c r="ANE226" s="18"/>
      <c r="ANF226" s="18"/>
      <c r="ANG226" s="18"/>
      <c r="ANH226" s="18"/>
      <c r="ANI226" s="18"/>
      <c r="ANJ226" s="18"/>
      <c r="ANK226" s="18"/>
      <c r="ANL226" s="18"/>
      <c r="ANM226" s="18"/>
      <c r="ANN226" s="18"/>
      <c r="ANO226" s="18"/>
      <c r="ANP226" s="18"/>
      <c r="ANQ226" s="18"/>
      <c r="ANR226" s="18"/>
      <c r="ANS226" s="18"/>
      <c r="ANT226" s="18"/>
      <c r="ANU226" s="18"/>
      <c r="ANV226" s="18"/>
      <c r="ANW226" s="18"/>
      <c r="ANX226" s="18"/>
      <c r="ANY226" s="18"/>
      <c r="ANZ226" s="18"/>
      <c r="AOA226" s="18"/>
      <c r="AOB226" s="18"/>
      <c r="AOC226" s="18"/>
      <c r="AOD226" s="18"/>
      <c r="AOE226" s="18"/>
      <c r="AOF226" s="18"/>
      <c r="AOG226" s="18"/>
      <c r="AOH226" s="18"/>
      <c r="AOI226" s="18"/>
      <c r="AOJ226" s="18"/>
      <c r="AOK226" s="18"/>
      <c r="AOL226" s="18"/>
      <c r="AOM226" s="18"/>
      <c r="AON226" s="18"/>
      <c r="AOO226" s="18"/>
      <c r="AOP226" s="18"/>
      <c r="AOQ226" s="18"/>
      <c r="AOR226" s="18"/>
      <c r="AOS226" s="18"/>
      <c r="AOT226" s="18"/>
      <c r="AOU226" s="18"/>
      <c r="AOV226" s="18"/>
      <c r="AOW226" s="18"/>
      <c r="AOX226" s="18"/>
      <c r="AOY226" s="18"/>
      <c r="AOZ226" s="18"/>
      <c r="APA226" s="18"/>
      <c r="APB226" s="18"/>
      <c r="APC226" s="18"/>
      <c r="APD226" s="18"/>
      <c r="APE226" s="18"/>
      <c r="APF226" s="18"/>
      <c r="APG226" s="18"/>
      <c r="APH226" s="18"/>
      <c r="API226" s="18"/>
      <c r="APJ226" s="18"/>
      <c r="APK226" s="18"/>
      <c r="APL226" s="18"/>
      <c r="APM226" s="18"/>
      <c r="APN226" s="18"/>
      <c r="APO226" s="18"/>
      <c r="APP226" s="18"/>
      <c r="APQ226" s="18"/>
      <c r="APR226" s="18"/>
      <c r="APS226" s="18"/>
      <c r="APT226" s="18"/>
      <c r="APU226" s="18"/>
      <c r="APV226" s="18"/>
      <c r="APW226" s="18"/>
      <c r="APX226" s="18"/>
      <c r="APY226" s="18"/>
      <c r="APZ226" s="18"/>
      <c r="AQA226" s="18"/>
      <c r="AQB226" s="18"/>
      <c r="AQC226" s="18"/>
      <c r="AQD226" s="18"/>
      <c r="AQE226" s="18"/>
      <c r="AQF226" s="18"/>
      <c r="AQG226" s="18"/>
      <c r="AQH226" s="18"/>
      <c r="AQI226" s="18"/>
      <c r="AQJ226" s="18"/>
      <c r="AQK226" s="18"/>
      <c r="AQL226" s="18"/>
      <c r="AQM226" s="18"/>
      <c r="AQN226" s="18"/>
      <c r="AQO226" s="18"/>
      <c r="AQP226" s="18"/>
      <c r="AQQ226" s="18"/>
      <c r="AQR226" s="18"/>
      <c r="AQS226" s="18"/>
      <c r="AQT226" s="18"/>
      <c r="AQU226" s="18"/>
      <c r="AQV226" s="18"/>
      <c r="AQW226" s="18"/>
      <c r="AQX226" s="18"/>
      <c r="AQY226" s="18"/>
      <c r="AQZ226" s="18"/>
      <c r="ARA226" s="18"/>
      <c r="ARB226" s="18"/>
      <c r="ARC226" s="18"/>
      <c r="ARD226" s="18"/>
      <c r="ARE226" s="18"/>
      <c r="ARF226" s="18"/>
      <c r="ARG226" s="18"/>
      <c r="ARH226" s="18"/>
      <c r="ARI226" s="18"/>
      <c r="ARJ226" s="18"/>
      <c r="ARK226" s="18"/>
      <c r="ARL226" s="18"/>
      <c r="ARM226" s="18"/>
      <c r="ARN226" s="18"/>
      <c r="ARO226" s="18"/>
      <c r="ARP226" s="18"/>
      <c r="ARQ226" s="18"/>
      <c r="ARR226" s="18"/>
      <c r="ARS226" s="18"/>
      <c r="ART226" s="18"/>
      <c r="ARU226" s="18"/>
      <c r="ARV226" s="18"/>
      <c r="ARW226" s="18"/>
      <c r="ARX226" s="18"/>
      <c r="ARY226" s="18"/>
      <c r="ARZ226" s="18"/>
      <c r="ASA226" s="18"/>
      <c r="ASB226" s="18"/>
      <c r="ASC226" s="18"/>
      <c r="ASD226" s="18"/>
      <c r="ASE226" s="18"/>
      <c r="ASF226" s="18"/>
      <c r="ASG226" s="18"/>
      <c r="ASH226" s="18"/>
      <c r="ASI226" s="18"/>
      <c r="ASJ226" s="18"/>
      <c r="ASK226" s="18"/>
      <c r="ASL226" s="18"/>
      <c r="ASM226" s="18"/>
      <c r="ASN226" s="18"/>
      <c r="ASO226" s="18"/>
      <c r="ASP226" s="18"/>
      <c r="ASQ226" s="18"/>
      <c r="ASR226" s="18"/>
      <c r="ASS226" s="18"/>
      <c r="AST226" s="18"/>
      <c r="ASU226" s="18"/>
      <c r="ASV226" s="18"/>
      <c r="ASW226" s="18"/>
      <c r="ASX226" s="18"/>
      <c r="ASY226" s="18"/>
      <c r="ASZ226" s="18"/>
      <c r="ATA226" s="18"/>
      <c r="ATB226" s="18"/>
      <c r="ATC226" s="18"/>
      <c r="ATD226" s="18"/>
      <c r="ATE226" s="18"/>
      <c r="ATF226" s="18"/>
      <c r="ATG226" s="18"/>
      <c r="ATH226" s="18"/>
      <c r="ATI226" s="18"/>
      <c r="ATJ226" s="18"/>
      <c r="ATK226" s="18"/>
      <c r="ATL226" s="18"/>
      <c r="ATM226" s="18"/>
      <c r="ATN226" s="18"/>
      <c r="ATO226" s="18"/>
      <c r="ATP226" s="18"/>
      <c r="ATQ226" s="18"/>
      <c r="ATR226" s="18"/>
      <c r="ATS226" s="18"/>
      <c r="ATT226" s="18"/>
      <c r="ATU226" s="18"/>
      <c r="ATV226" s="18"/>
      <c r="ATW226" s="18"/>
      <c r="ATX226" s="18"/>
      <c r="ATY226" s="18"/>
      <c r="ATZ226" s="18"/>
      <c r="AUA226" s="18"/>
      <c r="AUB226" s="18"/>
      <c r="AUC226" s="18"/>
      <c r="AUD226" s="18"/>
      <c r="AUE226" s="18"/>
      <c r="AUF226" s="18"/>
      <c r="AUG226" s="18"/>
      <c r="AUH226" s="18"/>
      <c r="AUI226" s="18"/>
      <c r="AUJ226" s="18"/>
      <c r="AUK226" s="18"/>
      <c r="AUL226" s="18"/>
      <c r="AUM226" s="18"/>
      <c r="AUN226" s="18"/>
      <c r="AUO226" s="18"/>
      <c r="AUP226" s="18"/>
      <c r="AUQ226" s="18"/>
      <c r="AUR226" s="18"/>
      <c r="AUS226" s="18"/>
      <c r="AUT226" s="18"/>
      <c r="AUU226" s="18"/>
      <c r="AUV226" s="18"/>
      <c r="AUW226" s="18"/>
      <c r="AUX226" s="18"/>
      <c r="AUY226" s="18"/>
      <c r="AUZ226" s="18"/>
      <c r="AVA226" s="18"/>
      <c r="AVB226" s="18"/>
      <c r="AVC226" s="18"/>
      <c r="AVD226" s="18"/>
      <c r="AVE226" s="18"/>
      <c r="AVF226" s="18"/>
      <c r="AVG226" s="18"/>
      <c r="AVH226" s="18"/>
      <c r="AVI226" s="18"/>
      <c r="AVJ226" s="18"/>
      <c r="AVK226" s="18"/>
      <c r="AVL226" s="18"/>
      <c r="AVM226" s="18"/>
      <c r="AVN226" s="18"/>
      <c r="AVO226" s="18"/>
      <c r="AVP226" s="18"/>
      <c r="AVQ226" s="18"/>
      <c r="AVR226" s="18"/>
      <c r="AVS226" s="18"/>
      <c r="AVT226" s="18"/>
      <c r="AVU226" s="18"/>
      <c r="AVV226" s="18"/>
      <c r="AVW226" s="18"/>
      <c r="AVX226" s="18"/>
      <c r="AVY226" s="18"/>
      <c r="AVZ226" s="18"/>
      <c r="AWA226" s="18"/>
      <c r="AWB226" s="18"/>
      <c r="AWC226" s="18"/>
      <c r="AWD226" s="18"/>
      <c r="AWE226" s="18"/>
      <c r="AWF226" s="18"/>
      <c r="AWG226" s="18"/>
      <c r="AWH226" s="18"/>
      <c r="AWI226" s="18"/>
      <c r="AWJ226" s="18"/>
      <c r="AWK226" s="18"/>
      <c r="AWL226" s="18"/>
      <c r="AWM226" s="18"/>
      <c r="AWN226" s="18"/>
      <c r="AWO226" s="18"/>
      <c r="AWP226" s="18"/>
      <c r="AWQ226" s="18"/>
      <c r="AWR226" s="18"/>
      <c r="AWS226" s="18"/>
      <c r="AWT226" s="18"/>
      <c r="AWU226" s="18"/>
      <c r="AWV226" s="18"/>
      <c r="AWW226" s="18"/>
      <c r="AWX226" s="18"/>
      <c r="AWY226" s="18"/>
      <c r="AWZ226" s="18"/>
      <c r="AXA226" s="18"/>
      <c r="AXB226" s="18"/>
      <c r="AXC226" s="18"/>
      <c r="AXD226" s="18"/>
      <c r="AXE226" s="18"/>
      <c r="AXF226" s="18"/>
      <c r="AXG226" s="18"/>
      <c r="AXH226" s="18"/>
      <c r="AXI226" s="18"/>
      <c r="AXJ226" s="18"/>
      <c r="AXK226" s="18"/>
      <c r="AXL226" s="18"/>
      <c r="AXM226" s="18"/>
      <c r="AXN226" s="18"/>
      <c r="AXO226" s="18"/>
      <c r="AXP226" s="18"/>
      <c r="AXQ226" s="18"/>
      <c r="AXR226" s="18"/>
      <c r="AXS226" s="18"/>
      <c r="AXT226" s="18"/>
      <c r="AXU226" s="18"/>
      <c r="AXV226" s="18"/>
      <c r="AXW226" s="18"/>
      <c r="AXX226" s="18"/>
      <c r="AXY226" s="18"/>
      <c r="AXZ226" s="18"/>
      <c r="AYA226" s="18"/>
      <c r="AYB226" s="18"/>
      <c r="AYC226" s="18"/>
      <c r="AYD226" s="18"/>
      <c r="AYE226" s="18"/>
      <c r="AYF226" s="18"/>
      <c r="AYG226" s="18"/>
      <c r="AYH226" s="18"/>
      <c r="AYI226" s="18"/>
      <c r="AYJ226" s="18"/>
      <c r="AYK226" s="18"/>
      <c r="AYL226" s="18"/>
      <c r="AYM226" s="18"/>
      <c r="AYN226" s="18"/>
      <c r="AYO226" s="18"/>
      <c r="AYP226" s="18"/>
      <c r="AYQ226" s="18"/>
      <c r="AYR226" s="18"/>
      <c r="AYS226" s="18"/>
      <c r="AYT226" s="18"/>
      <c r="AYU226" s="18"/>
      <c r="AYV226" s="18"/>
      <c r="AYW226" s="18"/>
      <c r="AYX226" s="18"/>
      <c r="AYY226" s="18"/>
      <c r="AYZ226" s="18"/>
      <c r="AZA226" s="18"/>
      <c r="AZB226" s="18"/>
      <c r="AZC226" s="18"/>
      <c r="AZD226" s="18"/>
      <c r="AZE226" s="18"/>
      <c r="AZF226" s="18"/>
      <c r="AZG226" s="18"/>
      <c r="AZH226" s="18"/>
      <c r="AZI226" s="18"/>
      <c r="AZJ226" s="18"/>
      <c r="AZK226" s="18"/>
      <c r="AZL226" s="18"/>
      <c r="AZM226" s="18"/>
      <c r="AZN226" s="18"/>
      <c r="AZO226" s="18"/>
      <c r="AZP226" s="18"/>
      <c r="AZQ226" s="18"/>
      <c r="AZR226" s="18"/>
      <c r="AZS226" s="18"/>
      <c r="AZT226" s="18"/>
      <c r="AZU226" s="18"/>
      <c r="AZV226" s="18"/>
      <c r="AZW226" s="18"/>
      <c r="AZX226" s="18"/>
      <c r="AZY226" s="18"/>
      <c r="AZZ226" s="18"/>
      <c r="BAA226" s="18"/>
      <c r="BAB226" s="18"/>
      <c r="BAC226" s="18"/>
      <c r="BAD226" s="18"/>
      <c r="BAE226" s="18"/>
      <c r="BAF226" s="18"/>
      <c r="BAG226" s="18"/>
      <c r="BAH226" s="18"/>
      <c r="BAI226" s="18"/>
      <c r="BAJ226" s="18"/>
      <c r="BAK226" s="18"/>
      <c r="BAL226" s="18"/>
      <c r="BAM226" s="18"/>
      <c r="BAN226" s="18"/>
      <c r="BAO226" s="18"/>
      <c r="BAP226" s="18"/>
      <c r="BAQ226" s="18"/>
      <c r="BAR226" s="18"/>
      <c r="BAS226" s="18"/>
      <c r="BAT226" s="18"/>
      <c r="BAU226" s="18"/>
      <c r="BAV226" s="18"/>
      <c r="BAW226" s="18"/>
      <c r="BAX226" s="18"/>
      <c r="BAY226" s="18"/>
      <c r="BAZ226" s="18"/>
      <c r="BBA226" s="18"/>
      <c r="BBB226" s="18"/>
      <c r="BBC226" s="18"/>
      <c r="BBD226" s="18"/>
      <c r="BBE226" s="18"/>
      <c r="BBF226" s="18"/>
      <c r="BBG226" s="18"/>
      <c r="BBH226" s="18"/>
      <c r="BBI226" s="18"/>
      <c r="BBJ226" s="18"/>
      <c r="BBK226" s="18"/>
      <c r="BBL226" s="18"/>
      <c r="BBM226" s="18"/>
      <c r="BBN226" s="18"/>
      <c r="BBO226" s="18"/>
      <c r="BBP226" s="18"/>
      <c r="BBQ226" s="18"/>
      <c r="BBR226" s="18"/>
      <c r="BBS226" s="18"/>
      <c r="BBT226" s="18"/>
      <c r="BBU226" s="18"/>
      <c r="BBV226" s="18"/>
      <c r="BBW226" s="18"/>
      <c r="BBX226" s="18"/>
      <c r="BBY226" s="18"/>
      <c r="BBZ226" s="18"/>
      <c r="BCA226" s="18"/>
      <c r="BCB226" s="18"/>
      <c r="BCC226" s="18"/>
      <c r="BCD226" s="18"/>
      <c r="BCE226" s="18"/>
      <c r="BCF226" s="18"/>
      <c r="BCG226" s="18"/>
      <c r="BCH226" s="18"/>
      <c r="BCI226" s="18"/>
      <c r="BCJ226" s="18"/>
      <c r="BCK226" s="18"/>
      <c r="BCL226" s="18"/>
      <c r="BCM226" s="18"/>
      <c r="BCN226" s="18"/>
      <c r="BCO226" s="18"/>
      <c r="BCP226" s="18"/>
      <c r="BCQ226" s="18"/>
      <c r="BCR226" s="18"/>
      <c r="BCS226" s="18"/>
      <c r="BCT226" s="18"/>
      <c r="BCU226" s="18"/>
      <c r="BCV226" s="18"/>
      <c r="BCW226" s="18"/>
      <c r="BCX226" s="18"/>
      <c r="BCY226" s="18"/>
      <c r="BCZ226" s="18"/>
      <c r="BDA226" s="18"/>
      <c r="BDB226" s="18"/>
      <c r="BDC226" s="18"/>
      <c r="BDD226" s="18"/>
      <c r="BDE226" s="18"/>
      <c r="BDF226" s="18"/>
      <c r="BDG226" s="18"/>
      <c r="BDH226" s="18"/>
      <c r="BDI226" s="18"/>
      <c r="BDJ226" s="18"/>
      <c r="BDK226" s="18"/>
      <c r="BDL226" s="18"/>
      <c r="BDM226" s="18"/>
      <c r="BDN226" s="18"/>
      <c r="BDO226" s="18"/>
      <c r="BDP226" s="18"/>
      <c r="BDQ226" s="18"/>
      <c r="BDR226" s="18"/>
      <c r="BDS226" s="18"/>
      <c r="BDT226" s="18"/>
      <c r="BDU226" s="18"/>
      <c r="BDV226" s="18"/>
      <c r="BDW226" s="18"/>
      <c r="BDX226" s="18"/>
      <c r="BDY226" s="18"/>
      <c r="BDZ226" s="18"/>
      <c r="BEA226" s="18"/>
      <c r="BEB226" s="18"/>
      <c r="BEC226" s="18"/>
      <c r="BED226" s="18"/>
      <c r="BEE226" s="18"/>
      <c r="BEF226" s="18"/>
      <c r="BEG226" s="18"/>
      <c r="BEH226" s="18"/>
      <c r="BEI226" s="18"/>
      <c r="BEJ226" s="18"/>
      <c r="BEK226" s="18"/>
      <c r="BEL226" s="18"/>
      <c r="BEM226" s="18"/>
      <c r="BEN226" s="18"/>
      <c r="BEO226" s="18"/>
      <c r="BEP226" s="18"/>
      <c r="BEQ226" s="18"/>
      <c r="BER226" s="18"/>
      <c r="BES226" s="18"/>
      <c r="BET226" s="18"/>
      <c r="BEU226" s="18"/>
      <c r="BEV226" s="18"/>
      <c r="BEW226" s="18"/>
      <c r="BEX226" s="18"/>
      <c r="BEY226" s="18"/>
      <c r="BEZ226" s="18"/>
      <c r="BFA226" s="18"/>
      <c r="BFB226" s="18"/>
      <c r="BFC226" s="18"/>
      <c r="BFD226" s="18"/>
      <c r="BFE226" s="18"/>
      <c r="BFF226" s="18"/>
      <c r="BFG226" s="18"/>
      <c r="BFH226" s="18"/>
      <c r="BFI226" s="18"/>
      <c r="BFJ226" s="18"/>
      <c r="BFK226" s="18"/>
      <c r="BFL226" s="18"/>
      <c r="BFM226" s="18"/>
      <c r="BFN226" s="18"/>
      <c r="BFO226" s="18"/>
      <c r="BFP226" s="18"/>
      <c r="BFQ226" s="18"/>
      <c r="BFR226" s="18"/>
      <c r="BFS226" s="18"/>
      <c r="BFT226" s="18"/>
      <c r="BFU226" s="18"/>
      <c r="BFV226" s="18"/>
      <c r="BFW226" s="18"/>
      <c r="BFX226" s="18"/>
      <c r="BFY226" s="18"/>
      <c r="BFZ226" s="18"/>
      <c r="BGA226" s="18"/>
      <c r="BGB226" s="18"/>
      <c r="BGC226" s="18"/>
      <c r="BGD226" s="18"/>
      <c r="BGE226" s="18"/>
      <c r="BGF226" s="18"/>
      <c r="BGG226" s="18"/>
      <c r="BGH226" s="18"/>
      <c r="BGI226" s="18"/>
      <c r="BGJ226" s="18"/>
      <c r="BGK226" s="18"/>
      <c r="BGL226" s="18"/>
      <c r="BGM226" s="18"/>
      <c r="BGN226" s="18"/>
      <c r="BGO226" s="18"/>
      <c r="BGP226" s="18"/>
      <c r="BGQ226" s="18"/>
      <c r="BGR226" s="18"/>
      <c r="BGS226" s="18"/>
      <c r="BGT226" s="18"/>
      <c r="BGU226" s="18"/>
      <c r="BGV226" s="18"/>
      <c r="BGW226" s="18"/>
      <c r="BGX226" s="18"/>
      <c r="BGY226" s="18"/>
      <c r="BGZ226" s="18"/>
      <c r="BHA226" s="18"/>
      <c r="BHB226" s="18"/>
      <c r="BHC226" s="18"/>
      <c r="BHD226" s="18"/>
      <c r="BHE226" s="18"/>
      <c r="BHF226" s="18"/>
      <c r="BHG226" s="18"/>
      <c r="BHH226" s="18"/>
      <c r="BHI226" s="18"/>
      <c r="BHJ226" s="18"/>
      <c r="BHK226" s="18"/>
      <c r="BHL226" s="18"/>
      <c r="BHM226" s="18"/>
      <c r="BHN226" s="18"/>
      <c r="BHO226" s="18"/>
      <c r="BHP226" s="18"/>
      <c r="BHQ226" s="18"/>
      <c r="BHR226" s="18"/>
      <c r="BHS226" s="18"/>
      <c r="BHT226" s="18"/>
      <c r="BHU226" s="18"/>
      <c r="BHV226" s="18"/>
      <c r="BHW226" s="18"/>
      <c r="BHX226" s="18"/>
      <c r="BHY226" s="18"/>
      <c r="BHZ226" s="18"/>
      <c r="BIA226" s="18"/>
      <c r="BIB226" s="18"/>
      <c r="BIC226" s="18"/>
      <c r="BID226" s="18"/>
      <c r="BIE226" s="18"/>
      <c r="BIF226" s="18"/>
      <c r="BIG226" s="18"/>
      <c r="BIH226" s="18"/>
      <c r="BII226" s="18"/>
      <c r="BIJ226" s="18"/>
      <c r="BIK226" s="18"/>
      <c r="BIL226" s="18"/>
      <c r="BIM226" s="18"/>
      <c r="BIN226" s="18"/>
      <c r="BIO226" s="18"/>
      <c r="BIP226" s="18"/>
      <c r="BIQ226" s="18"/>
      <c r="BIR226" s="18"/>
      <c r="BIS226" s="18"/>
      <c r="BIT226" s="18"/>
      <c r="BIU226" s="18"/>
      <c r="BIV226" s="18"/>
      <c r="BIW226" s="18"/>
      <c r="BIX226" s="18"/>
      <c r="BIY226" s="18"/>
      <c r="BIZ226" s="18"/>
      <c r="BJA226" s="18"/>
      <c r="BJB226" s="18"/>
      <c r="BJC226" s="18"/>
      <c r="BJD226" s="18"/>
      <c r="BJE226" s="18"/>
      <c r="BJF226" s="18"/>
      <c r="BJG226" s="18"/>
      <c r="BJH226" s="18"/>
      <c r="BJI226" s="18"/>
      <c r="BJJ226" s="18"/>
      <c r="BJK226" s="18"/>
      <c r="BJL226" s="18"/>
      <c r="BJM226" s="18"/>
      <c r="BJN226" s="18"/>
      <c r="BJO226" s="18"/>
      <c r="BJP226" s="18"/>
      <c r="BJQ226" s="18"/>
      <c r="BJR226" s="18"/>
      <c r="BJS226" s="18"/>
      <c r="BJT226" s="18"/>
      <c r="BJU226" s="18"/>
      <c r="BJV226" s="18"/>
      <c r="BJW226" s="18"/>
      <c r="BJX226" s="18"/>
      <c r="BJY226" s="18"/>
      <c r="BJZ226" s="18"/>
      <c r="BKA226" s="18"/>
      <c r="BKB226" s="18"/>
      <c r="BKC226" s="18"/>
      <c r="BKD226" s="18"/>
      <c r="BKE226" s="18"/>
      <c r="BKF226" s="18"/>
      <c r="BKG226" s="18"/>
      <c r="BKH226" s="18"/>
      <c r="BKI226" s="18"/>
      <c r="BKJ226" s="18"/>
      <c r="BKK226" s="18"/>
      <c r="BKL226" s="18"/>
      <c r="BKM226" s="18"/>
      <c r="BKN226" s="18"/>
      <c r="BKO226" s="18"/>
      <c r="BKP226" s="18"/>
      <c r="BKQ226" s="18"/>
      <c r="BKR226" s="18"/>
      <c r="BKS226" s="18"/>
      <c r="BKT226" s="18"/>
      <c r="BKU226" s="18"/>
      <c r="BKV226" s="18"/>
      <c r="BKW226" s="18"/>
      <c r="BKX226" s="18"/>
      <c r="BKY226" s="18"/>
      <c r="BKZ226" s="18"/>
      <c r="BLA226" s="18"/>
      <c r="BLB226" s="18"/>
      <c r="BLC226" s="18"/>
      <c r="BLD226" s="18"/>
      <c r="BLE226" s="18"/>
      <c r="BLF226" s="18"/>
      <c r="BLG226" s="18"/>
      <c r="BLH226" s="18"/>
      <c r="BLI226" s="18"/>
      <c r="BLJ226" s="18"/>
      <c r="BLK226" s="18"/>
      <c r="BLL226" s="18"/>
      <c r="BLM226" s="18"/>
      <c r="BLN226" s="18"/>
      <c r="BLO226" s="18"/>
      <c r="BLP226" s="18"/>
      <c r="BLQ226" s="18"/>
      <c r="BLR226" s="18"/>
      <c r="BLS226" s="18"/>
      <c r="BLT226" s="18"/>
      <c r="BLU226" s="18"/>
      <c r="BLV226" s="18"/>
      <c r="BLW226" s="18"/>
      <c r="BLX226" s="18"/>
      <c r="BLY226" s="18"/>
      <c r="BLZ226" s="18"/>
      <c r="BMA226" s="18"/>
      <c r="BMB226" s="18"/>
      <c r="BMC226" s="18"/>
      <c r="BMD226" s="18"/>
      <c r="BME226" s="18"/>
      <c r="BMF226" s="18"/>
      <c r="BMG226" s="18"/>
      <c r="BMH226" s="18"/>
      <c r="BMI226" s="18"/>
      <c r="BMJ226" s="18"/>
      <c r="BMK226" s="18"/>
      <c r="BML226" s="18"/>
      <c r="BMM226" s="18"/>
      <c r="BMN226" s="18"/>
      <c r="BMO226" s="18"/>
      <c r="BMP226" s="18"/>
      <c r="BMQ226" s="18"/>
      <c r="BMR226" s="18"/>
      <c r="BMS226" s="18"/>
      <c r="BMT226" s="18"/>
      <c r="BMU226" s="18"/>
      <c r="BMV226" s="18"/>
      <c r="BMW226" s="18"/>
      <c r="BMX226" s="18"/>
      <c r="BMY226" s="18"/>
      <c r="BMZ226" s="18"/>
      <c r="BNA226" s="18"/>
      <c r="BNB226" s="18"/>
      <c r="BNC226" s="18"/>
      <c r="BND226" s="18"/>
      <c r="BNE226" s="18"/>
      <c r="BNF226" s="18"/>
      <c r="BNG226" s="18"/>
      <c r="BNH226" s="18"/>
      <c r="BNI226" s="18"/>
      <c r="BNJ226" s="18"/>
      <c r="BNK226" s="18"/>
      <c r="BNL226" s="18"/>
      <c r="BNM226" s="18"/>
      <c r="BNN226" s="18"/>
      <c r="BNO226" s="18"/>
      <c r="BNP226" s="18"/>
      <c r="BNQ226" s="18"/>
      <c r="BNR226" s="18"/>
      <c r="BNS226" s="18"/>
      <c r="BNT226" s="18"/>
      <c r="BNU226" s="18"/>
      <c r="BNV226" s="18"/>
      <c r="BNW226" s="18"/>
      <c r="BNX226" s="18"/>
      <c r="BNY226" s="18"/>
      <c r="BNZ226" s="18"/>
      <c r="BOA226" s="18"/>
      <c r="BOB226" s="18"/>
      <c r="BOC226" s="18"/>
      <c r="BOD226" s="18"/>
      <c r="BOE226" s="18"/>
      <c r="BOF226" s="18"/>
      <c r="BOG226" s="18"/>
      <c r="BOH226" s="18"/>
      <c r="BOI226" s="18"/>
      <c r="BOJ226" s="18"/>
      <c r="BOK226" s="18"/>
      <c r="BOL226" s="18"/>
      <c r="BOM226" s="18"/>
      <c r="BON226" s="18"/>
      <c r="BOO226" s="18"/>
      <c r="BOP226" s="18"/>
      <c r="BOQ226" s="18"/>
      <c r="BOR226" s="18"/>
      <c r="BOS226" s="18"/>
      <c r="BOT226" s="18"/>
      <c r="BOU226" s="18"/>
      <c r="BOV226" s="18"/>
      <c r="BOW226" s="18"/>
      <c r="BOX226" s="18"/>
      <c r="BOY226" s="18"/>
      <c r="BOZ226" s="18"/>
      <c r="BPA226" s="18"/>
      <c r="BPB226" s="18"/>
      <c r="BPC226" s="18"/>
      <c r="BPD226" s="18"/>
      <c r="BPE226" s="18"/>
      <c r="BPF226" s="18"/>
      <c r="BPG226" s="18"/>
      <c r="BPH226" s="18"/>
      <c r="BPI226" s="18"/>
      <c r="BPJ226" s="18"/>
      <c r="BPK226" s="18"/>
      <c r="BPL226" s="18"/>
      <c r="BPM226" s="18"/>
      <c r="BPN226" s="18"/>
      <c r="BPO226" s="18"/>
      <c r="BPP226" s="18"/>
      <c r="BPQ226" s="18"/>
      <c r="BPR226" s="18"/>
      <c r="BPS226" s="18"/>
      <c r="BPT226" s="18"/>
      <c r="BPU226" s="18"/>
      <c r="BPV226" s="18"/>
      <c r="BPW226" s="18"/>
      <c r="BPX226" s="18"/>
      <c r="BPY226" s="18"/>
      <c r="BPZ226" s="18"/>
      <c r="BQA226" s="18"/>
      <c r="BQB226" s="18"/>
      <c r="BQC226" s="18"/>
      <c r="BQD226" s="18"/>
      <c r="BQE226" s="18"/>
      <c r="BQF226" s="18"/>
      <c r="BQG226" s="18"/>
      <c r="BQH226" s="18"/>
      <c r="BQI226" s="18"/>
      <c r="BQJ226" s="18"/>
      <c r="BQK226" s="18"/>
      <c r="BQL226" s="18"/>
      <c r="BQM226" s="18"/>
      <c r="BQN226" s="18"/>
      <c r="BQO226" s="18"/>
      <c r="BQP226" s="18"/>
      <c r="BQQ226" s="18"/>
      <c r="BQR226" s="18"/>
      <c r="BQS226" s="18"/>
      <c r="BQT226" s="18"/>
      <c r="BQU226" s="18"/>
      <c r="BQV226" s="18"/>
      <c r="BQW226" s="18"/>
      <c r="BQX226" s="18"/>
      <c r="BQY226" s="18"/>
      <c r="BQZ226" s="18"/>
      <c r="BRA226" s="18"/>
      <c r="BRB226" s="18"/>
      <c r="BRC226" s="18"/>
      <c r="BRD226" s="18"/>
      <c r="BRE226" s="18"/>
      <c r="BRF226" s="18"/>
      <c r="BRG226" s="18"/>
      <c r="BRH226" s="18"/>
      <c r="BRI226" s="18"/>
      <c r="BRJ226" s="18"/>
      <c r="BRK226" s="18"/>
      <c r="BRL226" s="18"/>
      <c r="BRM226" s="18"/>
      <c r="BRN226" s="18"/>
      <c r="BRO226" s="18"/>
      <c r="BRP226" s="18"/>
      <c r="BRQ226" s="18"/>
      <c r="BRR226" s="18"/>
      <c r="BRS226" s="18"/>
      <c r="BRT226" s="18"/>
      <c r="BRU226" s="18"/>
      <c r="BRV226" s="18"/>
      <c r="BRW226" s="18"/>
      <c r="BRX226" s="18"/>
      <c r="BRY226" s="18"/>
      <c r="BRZ226" s="18"/>
      <c r="BSA226" s="18"/>
      <c r="BSB226" s="18"/>
      <c r="BSC226" s="18"/>
      <c r="BSD226" s="18"/>
      <c r="BSE226" s="18"/>
      <c r="BSF226" s="18"/>
      <c r="BSG226" s="18"/>
      <c r="BSH226" s="18"/>
      <c r="BSI226" s="18"/>
      <c r="BSJ226" s="18"/>
      <c r="BSK226" s="18"/>
      <c r="BSL226" s="18"/>
      <c r="BSM226" s="18"/>
      <c r="BSN226" s="18"/>
      <c r="BSO226" s="18"/>
      <c r="BSP226" s="18"/>
      <c r="BSQ226" s="18"/>
      <c r="BSR226" s="18"/>
      <c r="BSS226" s="18"/>
      <c r="BST226" s="18"/>
      <c r="BSU226" s="18"/>
      <c r="BSV226" s="18"/>
      <c r="BSW226" s="18"/>
      <c r="BSX226" s="18"/>
      <c r="BSY226" s="18"/>
      <c r="BSZ226" s="18"/>
      <c r="BTA226" s="18"/>
      <c r="BTB226" s="18"/>
      <c r="BTC226" s="18"/>
      <c r="BTD226" s="18"/>
      <c r="BTE226" s="18"/>
      <c r="BTF226" s="18"/>
      <c r="BTG226" s="18"/>
      <c r="BTH226" s="18"/>
      <c r="BTI226" s="18"/>
    </row>
    <row r="227" spans="1:1881" s="426" customFormat="1" ht="53.25" customHeight="1" x14ac:dyDescent="0.3">
      <c r="A227" s="100">
        <v>599</v>
      </c>
      <c r="B227" s="373" t="s">
        <v>58</v>
      </c>
      <c r="C227" s="373" t="s">
        <v>285</v>
      </c>
      <c r="D227" s="26" t="s">
        <v>339</v>
      </c>
      <c r="E227" s="371" t="e">
        <f>INDEX('PY1 Data(H)'!$A$1:$CZ$265,MATCH('Unit Data from Audit Worksheet'!$A227,'PY1 Data(H)'!$A$1:$A$258,0),MATCH('Unit Data from Audit Worksheet'!$D$2,'PY1 Data(H)'!$A$1:$CZ$1,0))</f>
        <v>#N/A</v>
      </c>
      <c r="F227" s="795">
        <v>0</v>
      </c>
      <c r="G227" s="430" t="str">
        <f>IF(ISBLANK(F227),"Please do not leave blank","")</f>
        <v/>
      </c>
      <c r="H227" s="401">
        <f>IF(F227&lt;0,"Error: Enter as positive.",)</f>
        <v>0</v>
      </c>
      <c r="I227" s="17"/>
      <c r="J227" s="72"/>
      <c r="K227"/>
      <c r="L227" s="547"/>
      <c r="M227"/>
      <c r="N227" s="18"/>
      <c r="O227" s="186"/>
      <c r="P227" s="18"/>
      <c r="Q227" s="18"/>
      <c r="R227" s="18"/>
      <c r="S227" s="18"/>
      <c r="T227" s="18"/>
      <c r="U227" s="18"/>
      <c r="V227" s="18"/>
      <c r="W227" s="18"/>
      <c r="X227" s="18"/>
      <c r="Y227" s="18"/>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c r="IS227" s="18"/>
      <c r="IT227" s="18"/>
      <c r="IU227" s="18"/>
      <c r="IV227" s="18"/>
      <c r="IW227" s="18"/>
      <c r="IX227" s="18"/>
      <c r="IY227" s="18"/>
      <c r="IZ227" s="18"/>
      <c r="JA227" s="18"/>
      <c r="JB227" s="18"/>
      <c r="JC227" s="18"/>
      <c r="JD227" s="18"/>
      <c r="JE227" s="18"/>
      <c r="JF227" s="18"/>
      <c r="JG227" s="18"/>
      <c r="JH227" s="18"/>
      <c r="JI227" s="18"/>
      <c r="JJ227" s="18"/>
      <c r="JK227" s="18"/>
      <c r="JL227" s="18"/>
      <c r="JM227" s="18"/>
      <c r="JN227" s="18"/>
      <c r="JO227" s="18"/>
      <c r="JP227" s="18"/>
      <c r="JQ227" s="18"/>
      <c r="JR227" s="18"/>
      <c r="JS227" s="18"/>
      <c r="JT227" s="18"/>
      <c r="JU227" s="18"/>
      <c r="JV227" s="18"/>
      <c r="JW227" s="18"/>
      <c r="JX227" s="18"/>
      <c r="JY227" s="18"/>
      <c r="JZ227" s="18"/>
      <c r="KA227" s="18"/>
      <c r="KB227" s="18"/>
      <c r="KC227" s="18"/>
      <c r="KD227" s="18"/>
      <c r="KE227" s="18"/>
      <c r="KF227" s="18"/>
      <c r="KG227" s="18"/>
      <c r="KH227" s="18"/>
      <c r="KI227" s="18"/>
      <c r="KJ227" s="18"/>
      <c r="KK227" s="18"/>
      <c r="KL227" s="18"/>
      <c r="KM227" s="18"/>
      <c r="KN227" s="18"/>
      <c r="KO227" s="18"/>
      <c r="KP227" s="18"/>
      <c r="KQ227" s="18"/>
      <c r="KR227" s="18"/>
      <c r="KS227" s="18"/>
      <c r="KT227" s="18"/>
      <c r="KU227" s="18"/>
      <c r="KV227" s="18"/>
      <c r="KW227" s="18"/>
      <c r="KX227" s="18"/>
      <c r="KY227" s="18"/>
      <c r="KZ227" s="18"/>
      <c r="LA227" s="18"/>
      <c r="LB227" s="18"/>
      <c r="LC227" s="18"/>
      <c r="LD227" s="18"/>
      <c r="LE227" s="18"/>
      <c r="LF227" s="18"/>
      <c r="LG227" s="18"/>
      <c r="LH227" s="18"/>
      <c r="LI227" s="18"/>
      <c r="LJ227" s="18"/>
      <c r="LK227" s="18"/>
      <c r="LL227" s="18"/>
      <c r="LM227" s="18"/>
      <c r="LN227" s="18"/>
      <c r="LO227" s="18"/>
      <c r="LP227" s="18"/>
      <c r="LQ227" s="18"/>
      <c r="LR227" s="18"/>
      <c r="LS227" s="18"/>
      <c r="LT227" s="18"/>
      <c r="LU227" s="18"/>
      <c r="LV227" s="18"/>
      <c r="LW227" s="18"/>
      <c r="LX227" s="18"/>
      <c r="LY227" s="18"/>
      <c r="LZ227" s="18"/>
      <c r="MA227" s="18"/>
      <c r="MB227" s="18"/>
      <c r="MC227" s="18"/>
      <c r="MD227" s="18"/>
      <c r="ME227" s="18"/>
      <c r="MF227" s="18"/>
      <c r="MG227" s="18"/>
      <c r="MH227" s="18"/>
      <c r="MI227" s="18"/>
      <c r="MJ227" s="18"/>
      <c r="MK227" s="18"/>
      <c r="ML227" s="18"/>
      <c r="MM227" s="18"/>
      <c r="MN227" s="18"/>
      <c r="MO227" s="18"/>
      <c r="MP227" s="18"/>
      <c r="MQ227" s="18"/>
      <c r="MR227" s="18"/>
      <c r="MS227" s="18"/>
      <c r="MT227" s="18"/>
      <c r="MU227" s="18"/>
      <c r="MV227" s="18"/>
      <c r="MW227" s="18"/>
      <c r="MX227" s="18"/>
      <c r="MY227" s="18"/>
      <c r="MZ227" s="18"/>
      <c r="NA227" s="18"/>
      <c r="NB227" s="18"/>
      <c r="NC227" s="18"/>
      <c r="ND227" s="18"/>
      <c r="NE227" s="18"/>
      <c r="NF227" s="18"/>
      <c r="NG227" s="18"/>
      <c r="NH227" s="18"/>
      <c r="NI227" s="18"/>
      <c r="NJ227" s="18"/>
      <c r="NK227" s="18"/>
      <c r="NL227" s="18"/>
      <c r="NM227" s="18"/>
      <c r="NN227" s="18"/>
      <c r="NO227" s="18"/>
      <c r="NP227" s="18"/>
      <c r="NQ227" s="18"/>
      <c r="NR227" s="18"/>
      <c r="NS227" s="18"/>
      <c r="NT227" s="18"/>
      <c r="NU227" s="18"/>
      <c r="NV227" s="18"/>
      <c r="NW227" s="18"/>
      <c r="NX227" s="18"/>
      <c r="NY227" s="18"/>
      <c r="NZ227" s="18"/>
      <c r="OA227" s="18"/>
      <c r="OB227" s="18"/>
      <c r="OC227" s="18"/>
      <c r="OD227" s="18"/>
      <c r="OE227" s="18"/>
      <c r="OF227" s="18"/>
      <c r="OG227" s="18"/>
      <c r="OH227" s="18"/>
      <c r="OI227" s="18"/>
      <c r="OJ227" s="18"/>
      <c r="OK227" s="18"/>
      <c r="OL227" s="18"/>
      <c r="OM227" s="18"/>
      <c r="ON227" s="18"/>
      <c r="OO227" s="18"/>
      <c r="OP227" s="18"/>
      <c r="OQ227" s="18"/>
      <c r="OR227" s="18"/>
      <c r="OS227" s="18"/>
      <c r="OT227" s="18"/>
      <c r="OU227" s="18"/>
      <c r="OV227" s="18"/>
      <c r="OW227" s="18"/>
      <c r="OX227" s="18"/>
      <c r="OY227" s="18"/>
      <c r="OZ227" s="18"/>
      <c r="PA227" s="18"/>
      <c r="PB227" s="18"/>
      <c r="PC227" s="18"/>
      <c r="PD227" s="18"/>
      <c r="PE227" s="18"/>
      <c r="PF227" s="18"/>
      <c r="PG227" s="18"/>
      <c r="PH227" s="18"/>
      <c r="PI227" s="18"/>
      <c r="PJ227" s="18"/>
      <c r="PK227" s="18"/>
      <c r="PL227" s="18"/>
      <c r="PM227" s="18"/>
      <c r="PN227" s="18"/>
      <c r="PO227" s="18"/>
      <c r="PP227" s="18"/>
      <c r="PQ227" s="18"/>
      <c r="PR227" s="18"/>
      <c r="PS227" s="18"/>
      <c r="PT227" s="18"/>
      <c r="PU227" s="18"/>
      <c r="PV227" s="18"/>
      <c r="PW227" s="18"/>
      <c r="PX227" s="18"/>
      <c r="PY227" s="18"/>
      <c r="PZ227" s="18"/>
      <c r="QA227" s="18"/>
      <c r="QB227" s="18"/>
      <c r="QC227" s="18"/>
      <c r="QD227" s="18"/>
      <c r="QE227" s="18"/>
      <c r="QF227" s="18"/>
      <c r="QG227" s="18"/>
      <c r="QH227" s="18"/>
      <c r="QI227" s="18"/>
      <c r="QJ227" s="18"/>
      <c r="QK227" s="18"/>
      <c r="QL227" s="18"/>
      <c r="QM227" s="18"/>
      <c r="QN227" s="18"/>
      <c r="QO227" s="18"/>
      <c r="QP227" s="18"/>
      <c r="QQ227" s="18"/>
      <c r="QR227" s="18"/>
      <c r="QS227" s="18"/>
      <c r="QT227" s="18"/>
      <c r="QU227" s="18"/>
      <c r="QV227" s="18"/>
      <c r="QW227" s="18"/>
      <c r="QX227" s="18"/>
      <c r="QY227" s="18"/>
      <c r="QZ227" s="18"/>
      <c r="RA227" s="18"/>
      <c r="RB227" s="18"/>
      <c r="RC227" s="18"/>
      <c r="RD227" s="18"/>
      <c r="RE227" s="18"/>
      <c r="RF227" s="18"/>
      <c r="RG227" s="18"/>
      <c r="RH227" s="18"/>
      <c r="RI227" s="18"/>
      <c r="RJ227" s="18"/>
      <c r="RK227" s="18"/>
      <c r="RL227" s="18"/>
      <c r="RM227" s="18"/>
      <c r="RN227" s="18"/>
      <c r="RO227" s="18"/>
      <c r="RP227" s="18"/>
      <c r="RQ227" s="18"/>
      <c r="RR227" s="18"/>
      <c r="RS227" s="18"/>
      <c r="RT227" s="18"/>
      <c r="RU227" s="18"/>
      <c r="RV227" s="18"/>
      <c r="RW227" s="18"/>
      <c r="RX227" s="18"/>
      <c r="RY227" s="18"/>
      <c r="RZ227" s="18"/>
      <c r="SA227" s="18"/>
      <c r="SB227" s="18"/>
      <c r="SC227" s="18"/>
      <c r="SD227" s="18"/>
      <c r="SE227" s="18"/>
      <c r="SF227" s="18"/>
      <c r="SG227" s="18"/>
      <c r="SH227" s="18"/>
      <c r="SI227" s="18"/>
      <c r="SJ227" s="18"/>
      <c r="SK227" s="18"/>
      <c r="SL227" s="18"/>
      <c r="SM227" s="18"/>
      <c r="SN227" s="18"/>
      <c r="SO227" s="18"/>
      <c r="SP227" s="18"/>
      <c r="SQ227" s="18"/>
      <c r="SR227" s="18"/>
      <c r="SS227" s="18"/>
      <c r="ST227" s="18"/>
      <c r="SU227" s="18"/>
      <c r="SV227" s="18"/>
      <c r="SW227" s="18"/>
      <c r="SX227" s="18"/>
      <c r="SY227" s="18"/>
      <c r="SZ227" s="18"/>
      <c r="TA227" s="18"/>
      <c r="TB227" s="18"/>
      <c r="TC227" s="18"/>
      <c r="TD227" s="18"/>
      <c r="TE227" s="18"/>
      <c r="TF227" s="18"/>
      <c r="TG227" s="18"/>
      <c r="TH227" s="18"/>
      <c r="TI227" s="18"/>
      <c r="TJ227" s="18"/>
      <c r="TK227" s="18"/>
      <c r="TL227" s="18"/>
      <c r="TM227" s="18"/>
      <c r="TN227" s="18"/>
      <c r="TO227" s="18"/>
      <c r="TP227" s="18"/>
      <c r="TQ227" s="18"/>
      <c r="TR227" s="18"/>
      <c r="TS227" s="18"/>
      <c r="TT227" s="18"/>
      <c r="TU227" s="18"/>
      <c r="TV227" s="18"/>
      <c r="TW227" s="18"/>
      <c r="TX227" s="18"/>
      <c r="TY227" s="18"/>
      <c r="TZ227" s="18"/>
      <c r="UA227" s="18"/>
      <c r="UB227" s="18"/>
      <c r="UC227" s="18"/>
      <c r="UD227" s="18"/>
      <c r="UE227" s="18"/>
      <c r="UF227" s="18"/>
      <c r="UG227" s="18"/>
      <c r="UH227" s="18"/>
      <c r="UI227" s="18"/>
      <c r="UJ227" s="18"/>
      <c r="UK227" s="18"/>
      <c r="UL227" s="18"/>
      <c r="UM227" s="18"/>
      <c r="UN227" s="18"/>
      <c r="UO227" s="18"/>
      <c r="UP227" s="18"/>
      <c r="UQ227" s="18"/>
      <c r="UR227" s="18"/>
      <c r="US227" s="18"/>
      <c r="UT227" s="18"/>
      <c r="UU227" s="18"/>
      <c r="UV227" s="18"/>
      <c r="UW227" s="18"/>
      <c r="UX227" s="18"/>
      <c r="UY227" s="18"/>
      <c r="UZ227" s="18"/>
      <c r="VA227" s="18"/>
      <c r="VB227" s="18"/>
      <c r="VC227" s="18"/>
      <c r="VD227" s="18"/>
      <c r="VE227" s="18"/>
      <c r="VF227" s="18"/>
      <c r="VG227" s="18"/>
      <c r="VH227" s="18"/>
      <c r="VI227" s="18"/>
      <c r="VJ227" s="18"/>
      <c r="VK227" s="18"/>
      <c r="VL227" s="18"/>
      <c r="VM227" s="18"/>
      <c r="VN227" s="18"/>
      <c r="VO227" s="18"/>
      <c r="VP227" s="18"/>
      <c r="VQ227" s="18"/>
      <c r="VR227" s="18"/>
      <c r="VS227" s="18"/>
      <c r="VT227" s="18"/>
      <c r="VU227" s="18"/>
      <c r="VV227" s="18"/>
      <c r="VW227" s="18"/>
      <c r="VX227" s="18"/>
      <c r="VY227" s="18"/>
      <c r="VZ227" s="18"/>
      <c r="WA227" s="18"/>
      <c r="WB227" s="18"/>
      <c r="WC227" s="18"/>
      <c r="WD227" s="18"/>
      <c r="WE227" s="18"/>
      <c r="WF227" s="18"/>
      <c r="WG227" s="18"/>
      <c r="WH227" s="18"/>
      <c r="WI227" s="18"/>
      <c r="WJ227" s="18"/>
      <c r="WK227" s="18"/>
      <c r="WL227" s="18"/>
      <c r="WM227" s="18"/>
      <c r="WN227" s="18"/>
      <c r="WO227" s="18"/>
      <c r="WP227" s="18"/>
      <c r="WQ227" s="18"/>
      <c r="WR227" s="18"/>
      <c r="WS227" s="18"/>
      <c r="WT227" s="18"/>
      <c r="WU227" s="18"/>
      <c r="WV227" s="18"/>
      <c r="WW227" s="18"/>
      <c r="WX227" s="18"/>
      <c r="WY227" s="18"/>
      <c r="WZ227" s="18"/>
      <c r="XA227" s="18"/>
      <c r="XB227" s="18"/>
      <c r="XC227" s="18"/>
      <c r="XD227" s="18"/>
      <c r="XE227" s="18"/>
      <c r="XF227" s="18"/>
      <c r="XG227" s="18"/>
      <c r="XH227" s="18"/>
      <c r="XI227" s="18"/>
      <c r="XJ227" s="18"/>
      <c r="XK227" s="18"/>
      <c r="XL227" s="18"/>
      <c r="XM227" s="18"/>
      <c r="XN227" s="18"/>
      <c r="XO227" s="18"/>
      <c r="XP227" s="18"/>
      <c r="XQ227" s="18"/>
      <c r="XR227" s="18"/>
      <c r="XS227" s="18"/>
      <c r="XT227" s="18"/>
      <c r="XU227" s="18"/>
      <c r="XV227" s="18"/>
      <c r="XW227" s="18"/>
      <c r="XX227" s="18"/>
      <c r="XY227" s="18"/>
      <c r="XZ227" s="18"/>
      <c r="YA227" s="18"/>
      <c r="YB227" s="18"/>
      <c r="YC227" s="18"/>
      <c r="YD227" s="18"/>
      <c r="YE227" s="18"/>
      <c r="YF227" s="18"/>
      <c r="YG227" s="18"/>
      <c r="YH227" s="18"/>
      <c r="YI227" s="18"/>
      <c r="YJ227" s="18"/>
      <c r="YK227" s="18"/>
      <c r="YL227" s="18"/>
      <c r="YM227" s="18"/>
      <c r="YN227" s="18"/>
      <c r="YO227" s="18"/>
      <c r="YP227" s="18"/>
      <c r="YQ227" s="18"/>
      <c r="YR227" s="18"/>
      <c r="YS227" s="18"/>
      <c r="YT227" s="18"/>
      <c r="YU227" s="18"/>
      <c r="YV227" s="18"/>
      <c r="YW227" s="18"/>
      <c r="YX227" s="18"/>
      <c r="YY227" s="18"/>
      <c r="YZ227" s="18"/>
      <c r="ZA227" s="18"/>
      <c r="ZB227" s="18"/>
      <c r="ZC227" s="18"/>
      <c r="ZD227" s="18"/>
      <c r="ZE227" s="18"/>
      <c r="ZF227" s="18"/>
      <c r="ZG227" s="18"/>
      <c r="ZH227" s="18"/>
      <c r="ZI227" s="18"/>
      <c r="ZJ227" s="18"/>
      <c r="ZK227" s="18"/>
      <c r="ZL227" s="18"/>
      <c r="ZM227" s="18"/>
      <c r="ZN227" s="18"/>
      <c r="ZO227" s="18"/>
      <c r="ZP227" s="18"/>
      <c r="ZQ227" s="18"/>
      <c r="ZR227" s="18"/>
      <c r="ZS227" s="18"/>
      <c r="ZT227" s="18"/>
      <c r="ZU227" s="18"/>
      <c r="ZV227" s="18"/>
      <c r="ZW227" s="18"/>
      <c r="ZX227" s="18"/>
      <c r="ZY227" s="18"/>
      <c r="ZZ227" s="18"/>
      <c r="AAA227" s="18"/>
      <c r="AAB227" s="18"/>
      <c r="AAC227" s="18"/>
      <c r="AAD227" s="18"/>
      <c r="AAE227" s="18"/>
      <c r="AAF227" s="18"/>
      <c r="AAG227" s="18"/>
      <c r="AAH227" s="18"/>
      <c r="AAI227" s="18"/>
      <c r="AAJ227" s="18"/>
      <c r="AAK227" s="18"/>
      <c r="AAL227" s="18"/>
      <c r="AAM227" s="18"/>
      <c r="AAN227" s="18"/>
      <c r="AAO227" s="18"/>
      <c r="AAP227" s="18"/>
      <c r="AAQ227" s="18"/>
      <c r="AAR227" s="18"/>
      <c r="AAS227" s="18"/>
      <c r="AAT227" s="18"/>
      <c r="AAU227" s="18"/>
      <c r="AAV227" s="18"/>
      <c r="AAW227" s="18"/>
      <c r="AAX227" s="18"/>
      <c r="AAY227" s="18"/>
      <c r="AAZ227" s="18"/>
      <c r="ABA227" s="18"/>
      <c r="ABB227" s="18"/>
      <c r="ABC227" s="18"/>
      <c r="ABD227" s="18"/>
      <c r="ABE227" s="18"/>
      <c r="ABF227" s="18"/>
      <c r="ABG227" s="18"/>
      <c r="ABH227" s="18"/>
      <c r="ABI227" s="18"/>
      <c r="ABJ227" s="18"/>
      <c r="ABK227" s="18"/>
      <c r="ABL227" s="18"/>
      <c r="ABM227" s="18"/>
      <c r="ABN227" s="18"/>
      <c r="ABO227" s="18"/>
      <c r="ABP227" s="18"/>
      <c r="ABQ227" s="18"/>
      <c r="ABR227" s="18"/>
      <c r="ABS227" s="18"/>
      <c r="ABT227" s="18"/>
      <c r="ABU227" s="18"/>
      <c r="ABV227" s="18"/>
      <c r="ABW227" s="18"/>
      <c r="ABX227" s="18"/>
      <c r="ABY227" s="18"/>
      <c r="ABZ227" s="18"/>
      <c r="ACA227" s="18"/>
      <c r="ACB227" s="18"/>
      <c r="ACC227" s="18"/>
      <c r="ACD227" s="18"/>
      <c r="ACE227" s="18"/>
      <c r="ACF227" s="18"/>
      <c r="ACG227" s="18"/>
      <c r="ACH227" s="18"/>
      <c r="ACI227" s="18"/>
      <c r="ACJ227" s="18"/>
      <c r="ACK227" s="18"/>
      <c r="ACL227" s="18"/>
      <c r="ACM227" s="18"/>
      <c r="ACN227" s="18"/>
      <c r="ACO227" s="18"/>
      <c r="ACP227" s="18"/>
      <c r="ACQ227" s="18"/>
      <c r="ACR227" s="18"/>
      <c r="ACS227" s="18"/>
      <c r="ACT227" s="18"/>
      <c r="ACU227" s="18"/>
      <c r="ACV227" s="18"/>
      <c r="ACW227" s="18"/>
      <c r="ACX227" s="18"/>
      <c r="ACY227" s="18"/>
      <c r="ACZ227" s="18"/>
      <c r="ADA227" s="18"/>
      <c r="ADB227" s="18"/>
      <c r="ADC227" s="18"/>
      <c r="ADD227" s="18"/>
      <c r="ADE227" s="18"/>
      <c r="ADF227" s="18"/>
      <c r="ADG227" s="18"/>
      <c r="ADH227" s="18"/>
      <c r="ADI227" s="18"/>
      <c r="ADJ227" s="18"/>
      <c r="ADK227" s="18"/>
      <c r="ADL227" s="18"/>
      <c r="ADM227" s="18"/>
      <c r="ADN227" s="18"/>
      <c r="ADO227" s="18"/>
      <c r="ADP227" s="18"/>
      <c r="ADQ227" s="18"/>
      <c r="ADR227" s="18"/>
      <c r="ADS227" s="18"/>
      <c r="ADT227" s="18"/>
      <c r="ADU227" s="18"/>
      <c r="ADV227" s="18"/>
      <c r="ADW227" s="18"/>
      <c r="ADX227" s="18"/>
      <c r="ADY227" s="18"/>
      <c r="ADZ227" s="18"/>
      <c r="AEA227" s="18"/>
      <c r="AEB227" s="18"/>
      <c r="AEC227" s="18"/>
      <c r="AED227" s="18"/>
      <c r="AEE227" s="18"/>
      <c r="AEF227" s="18"/>
      <c r="AEG227" s="18"/>
      <c r="AEH227" s="18"/>
      <c r="AEI227" s="18"/>
      <c r="AEJ227" s="18"/>
      <c r="AEK227" s="18"/>
      <c r="AEL227" s="18"/>
      <c r="AEM227" s="18"/>
      <c r="AEN227" s="18"/>
      <c r="AEO227" s="18"/>
      <c r="AEP227" s="18"/>
      <c r="AEQ227" s="18"/>
      <c r="AER227" s="18"/>
      <c r="AES227" s="18"/>
      <c r="AET227" s="18"/>
      <c r="AEU227" s="18"/>
      <c r="AEV227" s="18"/>
      <c r="AEW227" s="18"/>
      <c r="AEX227" s="18"/>
      <c r="AEY227" s="18"/>
      <c r="AEZ227" s="18"/>
      <c r="AFA227" s="18"/>
      <c r="AFB227" s="18"/>
      <c r="AFC227" s="18"/>
      <c r="AFD227" s="18"/>
      <c r="AFE227" s="18"/>
      <c r="AFF227" s="18"/>
      <c r="AFG227" s="18"/>
      <c r="AFH227" s="18"/>
      <c r="AFI227" s="18"/>
      <c r="AFJ227" s="18"/>
      <c r="AFK227" s="18"/>
      <c r="AFL227" s="18"/>
      <c r="AFM227" s="18"/>
      <c r="AFN227" s="18"/>
      <c r="AFO227" s="18"/>
      <c r="AFP227" s="18"/>
      <c r="AFQ227" s="18"/>
      <c r="AFR227" s="18"/>
      <c r="AFS227" s="18"/>
      <c r="AFT227" s="18"/>
      <c r="AFU227" s="18"/>
      <c r="AFV227" s="18"/>
      <c r="AFW227" s="18"/>
      <c r="AFX227" s="18"/>
      <c r="AFY227" s="18"/>
      <c r="AFZ227" s="18"/>
      <c r="AGA227" s="18"/>
      <c r="AGB227" s="18"/>
      <c r="AGC227" s="18"/>
      <c r="AGD227" s="18"/>
      <c r="AGE227" s="18"/>
      <c r="AGF227" s="18"/>
      <c r="AGG227" s="18"/>
      <c r="AGH227" s="18"/>
      <c r="AGI227" s="18"/>
      <c r="AGJ227" s="18"/>
      <c r="AGK227" s="18"/>
      <c r="AGL227" s="18"/>
      <c r="AGM227" s="18"/>
      <c r="AGN227" s="18"/>
      <c r="AGO227" s="18"/>
      <c r="AGP227" s="18"/>
      <c r="AGQ227" s="18"/>
      <c r="AGR227" s="18"/>
      <c r="AGS227" s="18"/>
      <c r="AGT227" s="18"/>
      <c r="AGU227" s="18"/>
      <c r="AGV227" s="18"/>
      <c r="AGW227" s="18"/>
      <c r="AGX227" s="18"/>
      <c r="AGY227" s="18"/>
      <c r="AGZ227" s="18"/>
      <c r="AHA227" s="18"/>
      <c r="AHB227" s="18"/>
      <c r="AHC227" s="18"/>
      <c r="AHD227" s="18"/>
      <c r="AHE227" s="18"/>
      <c r="AHF227" s="18"/>
      <c r="AHG227" s="18"/>
      <c r="AHH227" s="18"/>
      <c r="AHI227" s="18"/>
      <c r="AHJ227" s="18"/>
      <c r="AHK227" s="18"/>
      <c r="AHL227" s="18"/>
      <c r="AHM227" s="18"/>
      <c r="AHN227" s="18"/>
      <c r="AHO227" s="18"/>
      <c r="AHP227" s="18"/>
      <c r="AHQ227" s="18"/>
      <c r="AHR227" s="18"/>
      <c r="AHS227" s="18"/>
      <c r="AHT227" s="18"/>
      <c r="AHU227" s="18"/>
      <c r="AHV227" s="18"/>
      <c r="AHW227" s="18"/>
      <c r="AHX227" s="18"/>
      <c r="AHY227" s="18"/>
      <c r="AHZ227" s="18"/>
      <c r="AIA227" s="18"/>
      <c r="AIB227" s="18"/>
      <c r="AIC227" s="18"/>
      <c r="AID227" s="18"/>
      <c r="AIE227" s="18"/>
      <c r="AIF227" s="18"/>
      <c r="AIG227" s="18"/>
      <c r="AIH227" s="18"/>
      <c r="AII227" s="18"/>
      <c r="AIJ227" s="18"/>
      <c r="AIK227" s="18"/>
      <c r="AIL227" s="18"/>
      <c r="AIM227" s="18"/>
      <c r="AIN227" s="18"/>
      <c r="AIO227" s="18"/>
      <c r="AIP227" s="18"/>
      <c r="AIQ227" s="18"/>
      <c r="AIR227" s="18"/>
      <c r="AIS227" s="18"/>
      <c r="AIT227" s="18"/>
      <c r="AIU227" s="18"/>
      <c r="AIV227" s="18"/>
      <c r="AIW227" s="18"/>
      <c r="AIX227" s="18"/>
      <c r="AIY227" s="18"/>
      <c r="AIZ227" s="18"/>
      <c r="AJA227" s="18"/>
      <c r="AJB227" s="18"/>
      <c r="AJC227" s="18"/>
      <c r="AJD227" s="18"/>
      <c r="AJE227" s="18"/>
      <c r="AJF227" s="18"/>
      <c r="AJG227" s="18"/>
      <c r="AJH227" s="18"/>
      <c r="AJI227" s="18"/>
      <c r="AJJ227" s="18"/>
      <c r="AJK227" s="18"/>
      <c r="AJL227" s="18"/>
      <c r="AJM227" s="18"/>
      <c r="AJN227" s="18"/>
      <c r="AJO227" s="18"/>
      <c r="AJP227" s="18"/>
      <c r="AJQ227" s="18"/>
      <c r="AJR227" s="18"/>
      <c r="AJS227" s="18"/>
      <c r="AJT227" s="18"/>
      <c r="AJU227" s="18"/>
      <c r="AJV227" s="18"/>
      <c r="AJW227" s="18"/>
      <c r="AJX227" s="18"/>
      <c r="AJY227" s="18"/>
      <c r="AJZ227" s="18"/>
      <c r="AKA227" s="18"/>
      <c r="AKB227" s="18"/>
      <c r="AKC227" s="18"/>
      <c r="AKD227" s="18"/>
      <c r="AKE227" s="18"/>
      <c r="AKF227" s="18"/>
      <c r="AKG227" s="18"/>
      <c r="AKH227" s="18"/>
      <c r="AKI227" s="18"/>
      <c r="AKJ227" s="18"/>
      <c r="AKK227" s="18"/>
      <c r="AKL227" s="18"/>
      <c r="AKM227" s="18"/>
      <c r="AKN227" s="18"/>
      <c r="AKO227" s="18"/>
      <c r="AKP227" s="18"/>
      <c r="AKQ227" s="18"/>
      <c r="AKR227" s="18"/>
      <c r="AKS227" s="18"/>
      <c r="AKT227" s="18"/>
      <c r="AKU227" s="18"/>
      <c r="AKV227" s="18"/>
      <c r="AKW227" s="18"/>
      <c r="AKX227" s="18"/>
      <c r="AKY227" s="18"/>
      <c r="AKZ227" s="18"/>
      <c r="ALA227" s="18"/>
      <c r="ALB227" s="18"/>
      <c r="ALC227" s="18"/>
      <c r="ALD227" s="18"/>
      <c r="ALE227" s="18"/>
      <c r="ALF227" s="18"/>
      <c r="ALG227" s="18"/>
      <c r="ALH227" s="18"/>
      <c r="ALI227" s="18"/>
      <c r="ALJ227" s="18"/>
      <c r="ALK227" s="18"/>
      <c r="ALL227" s="18"/>
      <c r="ALM227" s="18"/>
      <c r="ALN227" s="18"/>
      <c r="ALO227" s="18"/>
      <c r="ALP227" s="18"/>
      <c r="ALQ227" s="18"/>
      <c r="ALR227" s="18"/>
      <c r="ALS227" s="18"/>
      <c r="ALT227" s="18"/>
      <c r="ALU227" s="18"/>
      <c r="ALV227" s="18"/>
      <c r="ALW227" s="18"/>
      <c r="ALX227" s="18"/>
      <c r="ALY227" s="18"/>
      <c r="ALZ227" s="18"/>
      <c r="AMA227" s="18"/>
      <c r="AMB227" s="18"/>
      <c r="AMC227" s="18"/>
      <c r="AMD227" s="18"/>
      <c r="AME227" s="18"/>
      <c r="AMF227" s="18"/>
      <c r="AMG227" s="18"/>
      <c r="AMH227" s="18"/>
      <c r="AMI227" s="18"/>
      <c r="AMJ227" s="18"/>
      <c r="AMK227" s="18"/>
      <c r="AML227" s="18"/>
      <c r="AMM227" s="18"/>
      <c r="AMN227" s="18"/>
      <c r="AMO227" s="18"/>
      <c r="AMP227" s="18"/>
      <c r="AMQ227" s="18"/>
      <c r="AMR227" s="18"/>
      <c r="AMS227" s="18"/>
      <c r="AMT227" s="18"/>
      <c r="AMU227" s="18"/>
      <c r="AMV227" s="18"/>
      <c r="AMW227" s="18"/>
      <c r="AMX227" s="18"/>
      <c r="AMY227" s="18"/>
      <c r="AMZ227" s="18"/>
      <c r="ANA227" s="18"/>
      <c r="ANB227" s="18"/>
      <c r="ANC227" s="18"/>
      <c r="AND227" s="18"/>
      <c r="ANE227" s="18"/>
      <c r="ANF227" s="18"/>
      <c r="ANG227" s="18"/>
      <c r="ANH227" s="18"/>
      <c r="ANI227" s="18"/>
      <c r="ANJ227" s="18"/>
      <c r="ANK227" s="18"/>
      <c r="ANL227" s="18"/>
      <c r="ANM227" s="18"/>
      <c r="ANN227" s="18"/>
      <c r="ANO227" s="18"/>
      <c r="ANP227" s="18"/>
      <c r="ANQ227" s="18"/>
      <c r="ANR227" s="18"/>
      <c r="ANS227" s="18"/>
      <c r="ANT227" s="18"/>
      <c r="ANU227" s="18"/>
      <c r="ANV227" s="18"/>
      <c r="ANW227" s="18"/>
      <c r="ANX227" s="18"/>
      <c r="ANY227" s="18"/>
      <c r="ANZ227" s="18"/>
      <c r="AOA227" s="18"/>
      <c r="AOB227" s="18"/>
      <c r="AOC227" s="18"/>
      <c r="AOD227" s="18"/>
      <c r="AOE227" s="18"/>
      <c r="AOF227" s="18"/>
      <c r="AOG227" s="18"/>
      <c r="AOH227" s="18"/>
      <c r="AOI227" s="18"/>
      <c r="AOJ227" s="18"/>
      <c r="AOK227" s="18"/>
      <c r="AOL227" s="18"/>
      <c r="AOM227" s="18"/>
      <c r="AON227" s="18"/>
      <c r="AOO227" s="18"/>
      <c r="AOP227" s="18"/>
      <c r="AOQ227" s="18"/>
      <c r="AOR227" s="18"/>
      <c r="AOS227" s="18"/>
      <c r="AOT227" s="18"/>
      <c r="AOU227" s="18"/>
      <c r="AOV227" s="18"/>
      <c r="AOW227" s="18"/>
      <c r="AOX227" s="18"/>
      <c r="AOY227" s="18"/>
      <c r="AOZ227" s="18"/>
      <c r="APA227" s="18"/>
      <c r="APB227" s="18"/>
      <c r="APC227" s="18"/>
      <c r="APD227" s="18"/>
      <c r="APE227" s="18"/>
      <c r="APF227" s="18"/>
      <c r="APG227" s="18"/>
      <c r="APH227" s="18"/>
      <c r="API227" s="18"/>
      <c r="APJ227" s="18"/>
      <c r="APK227" s="18"/>
      <c r="APL227" s="18"/>
      <c r="APM227" s="18"/>
      <c r="APN227" s="18"/>
      <c r="APO227" s="18"/>
      <c r="APP227" s="18"/>
      <c r="APQ227" s="18"/>
      <c r="APR227" s="18"/>
      <c r="APS227" s="18"/>
      <c r="APT227" s="18"/>
      <c r="APU227" s="18"/>
      <c r="APV227" s="18"/>
      <c r="APW227" s="18"/>
      <c r="APX227" s="18"/>
      <c r="APY227" s="18"/>
      <c r="APZ227" s="18"/>
      <c r="AQA227" s="18"/>
      <c r="AQB227" s="18"/>
      <c r="AQC227" s="18"/>
      <c r="AQD227" s="18"/>
      <c r="AQE227" s="18"/>
      <c r="AQF227" s="18"/>
      <c r="AQG227" s="18"/>
      <c r="AQH227" s="18"/>
      <c r="AQI227" s="18"/>
      <c r="AQJ227" s="18"/>
      <c r="AQK227" s="18"/>
      <c r="AQL227" s="18"/>
      <c r="AQM227" s="18"/>
      <c r="AQN227" s="18"/>
      <c r="AQO227" s="18"/>
      <c r="AQP227" s="18"/>
      <c r="AQQ227" s="18"/>
      <c r="AQR227" s="18"/>
      <c r="AQS227" s="18"/>
      <c r="AQT227" s="18"/>
      <c r="AQU227" s="18"/>
      <c r="AQV227" s="18"/>
      <c r="AQW227" s="18"/>
      <c r="AQX227" s="18"/>
      <c r="AQY227" s="18"/>
      <c r="AQZ227" s="18"/>
      <c r="ARA227" s="18"/>
      <c r="ARB227" s="18"/>
      <c r="ARC227" s="18"/>
      <c r="ARD227" s="18"/>
      <c r="ARE227" s="18"/>
      <c r="ARF227" s="18"/>
      <c r="ARG227" s="18"/>
      <c r="ARH227" s="18"/>
      <c r="ARI227" s="18"/>
      <c r="ARJ227" s="18"/>
      <c r="ARK227" s="18"/>
      <c r="ARL227" s="18"/>
      <c r="ARM227" s="18"/>
      <c r="ARN227" s="18"/>
      <c r="ARO227" s="18"/>
      <c r="ARP227" s="18"/>
      <c r="ARQ227" s="18"/>
      <c r="ARR227" s="18"/>
      <c r="ARS227" s="18"/>
      <c r="ART227" s="18"/>
      <c r="ARU227" s="18"/>
      <c r="ARV227" s="18"/>
      <c r="ARW227" s="18"/>
      <c r="ARX227" s="18"/>
      <c r="ARY227" s="18"/>
      <c r="ARZ227" s="18"/>
      <c r="ASA227" s="18"/>
      <c r="ASB227" s="18"/>
      <c r="ASC227" s="18"/>
      <c r="ASD227" s="18"/>
      <c r="ASE227" s="18"/>
      <c r="ASF227" s="18"/>
      <c r="ASG227" s="18"/>
      <c r="ASH227" s="18"/>
      <c r="ASI227" s="18"/>
      <c r="ASJ227" s="18"/>
      <c r="ASK227" s="18"/>
      <c r="ASL227" s="18"/>
      <c r="ASM227" s="18"/>
      <c r="ASN227" s="18"/>
      <c r="ASO227" s="18"/>
      <c r="ASP227" s="18"/>
      <c r="ASQ227" s="18"/>
      <c r="ASR227" s="18"/>
      <c r="ASS227" s="18"/>
      <c r="AST227" s="18"/>
      <c r="ASU227" s="18"/>
      <c r="ASV227" s="18"/>
      <c r="ASW227" s="18"/>
      <c r="ASX227" s="18"/>
      <c r="ASY227" s="18"/>
      <c r="ASZ227" s="18"/>
      <c r="ATA227" s="18"/>
      <c r="ATB227" s="18"/>
      <c r="ATC227" s="18"/>
      <c r="ATD227" s="18"/>
      <c r="ATE227" s="18"/>
      <c r="ATF227" s="18"/>
      <c r="ATG227" s="18"/>
      <c r="ATH227" s="18"/>
      <c r="ATI227" s="18"/>
      <c r="ATJ227" s="18"/>
      <c r="ATK227" s="18"/>
      <c r="ATL227" s="18"/>
      <c r="ATM227" s="18"/>
      <c r="ATN227" s="18"/>
      <c r="ATO227" s="18"/>
      <c r="ATP227" s="18"/>
      <c r="ATQ227" s="18"/>
      <c r="ATR227" s="18"/>
      <c r="ATS227" s="18"/>
      <c r="ATT227" s="18"/>
      <c r="ATU227" s="18"/>
      <c r="ATV227" s="18"/>
      <c r="ATW227" s="18"/>
      <c r="ATX227" s="18"/>
      <c r="ATY227" s="18"/>
      <c r="ATZ227" s="18"/>
      <c r="AUA227" s="18"/>
      <c r="AUB227" s="18"/>
      <c r="AUC227" s="18"/>
      <c r="AUD227" s="18"/>
      <c r="AUE227" s="18"/>
      <c r="AUF227" s="18"/>
      <c r="AUG227" s="18"/>
      <c r="AUH227" s="18"/>
      <c r="AUI227" s="18"/>
      <c r="AUJ227" s="18"/>
      <c r="AUK227" s="18"/>
      <c r="AUL227" s="18"/>
      <c r="AUM227" s="18"/>
      <c r="AUN227" s="18"/>
      <c r="AUO227" s="18"/>
      <c r="AUP227" s="18"/>
      <c r="AUQ227" s="18"/>
      <c r="AUR227" s="18"/>
      <c r="AUS227" s="18"/>
      <c r="AUT227" s="18"/>
      <c r="AUU227" s="18"/>
      <c r="AUV227" s="18"/>
      <c r="AUW227" s="18"/>
      <c r="AUX227" s="18"/>
      <c r="AUY227" s="18"/>
      <c r="AUZ227" s="18"/>
      <c r="AVA227" s="18"/>
      <c r="AVB227" s="18"/>
      <c r="AVC227" s="18"/>
      <c r="AVD227" s="18"/>
      <c r="AVE227" s="18"/>
      <c r="AVF227" s="18"/>
      <c r="AVG227" s="18"/>
      <c r="AVH227" s="18"/>
      <c r="AVI227" s="18"/>
      <c r="AVJ227" s="18"/>
      <c r="AVK227" s="18"/>
      <c r="AVL227" s="18"/>
      <c r="AVM227" s="18"/>
      <c r="AVN227" s="18"/>
      <c r="AVO227" s="18"/>
      <c r="AVP227" s="18"/>
      <c r="AVQ227" s="18"/>
      <c r="AVR227" s="18"/>
      <c r="AVS227" s="18"/>
      <c r="AVT227" s="18"/>
      <c r="AVU227" s="18"/>
      <c r="AVV227" s="18"/>
      <c r="AVW227" s="18"/>
      <c r="AVX227" s="18"/>
      <c r="AVY227" s="18"/>
      <c r="AVZ227" s="18"/>
      <c r="AWA227" s="18"/>
      <c r="AWB227" s="18"/>
      <c r="AWC227" s="18"/>
      <c r="AWD227" s="18"/>
      <c r="AWE227" s="18"/>
      <c r="AWF227" s="18"/>
      <c r="AWG227" s="18"/>
      <c r="AWH227" s="18"/>
      <c r="AWI227" s="18"/>
      <c r="AWJ227" s="18"/>
      <c r="AWK227" s="18"/>
      <c r="AWL227" s="18"/>
      <c r="AWM227" s="18"/>
      <c r="AWN227" s="18"/>
      <c r="AWO227" s="18"/>
      <c r="AWP227" s="18"/>
      <c r="AWQ227" s="18"/>
      <c r="AWR227" s="18"/>
      <c r="AWS227" s="18"/>
      <c r="AWT227" s="18"/>
      <c r="AWU227" s="18"/>
      <c r="AWV227" s="18"/>
      <c r="AWW227" s="18"/>
      <c r="AWX227" s="18"/>
      <c r="AWY227" s="18"/>
      <c r="AWZ227" s="18"/>
      <c r="AXA227" s="18"/>
      <c r="AXB227" s="18"/>
      <c r="AXC227" s="18"/>
      <c r="AXD227" s="18"/>
      <c r="AXE227" s="18"/>
      <c r="AXF227" s="18"/>
      <c r="AXG227" s="18"/>
      <c r="AXH227" s="18"/>
      <c r="AXI227" s="18"/>
      <c r="AXJ227" s="18"/>
      <c r="AXK227" s="18"/>
      <c r="AXL227" s="18"/>
      <c r="AXM227" s="18"/>
      <c r="AXN227" s="18"/>
      <c r="AXO227" s="18"/>
      <c r="AXP227" s="18"/>
      <c r="AXQ227" s="18"/>
      <c r="AXR227" s="18"/>
      <c r="AXS227" s="18"/>
      <c r="AXT227" s="18"/>
      <c r="AXU227" s="18"/>
      <c r="AXV227" s="18"/>
      <c r="AXW227" s="18"/>
      <c r="AXX227" s="18"/>
      <c r="AXY227" s="18"/>
      <c r="AXZ227" s="18"/>
      <c r="AYA227" s="18"/>
      <c r="AYB227" s="18"/>
      <c r="AYC227" s="18"/>
      <c r="AYD227" s="18"/>
      <c r="AYE227" s="18"/>
      <c r="AYF227" s="18"/>
      <c r="AYG227" s="18"/>
      <c r="AYH227" s="18"/>
      <c r="AYI227" s="18"/>
      <c r="AYJ227" s="18"/>
      <c r="AYK227" s="18"/>
      <c r="AYL227" s="18"/>
      <c r="AYM227" s="18"/>
      <c r="AYN227" s="18"/>
      <c r="AYO227" s="18"/>
      <c r="AYP227" s="18"/>
      <c r="AYQ227" s="18"/>
      <c r="AYR227" s="18"/>
      <c r="AYS227" s="18"/>
      <c r="AYT227" s="18"/>
      <c r="AYU227" s="18"/>
      <c r="AYV227" s="18"/>
      <c r="AYW227" s="18"/>
      <c r="AYX227" s="18"/>
      <c r="AYY227" s="18"/>
      <c r="AYZ227" s="18"/>
      <c r="AZA227" s="18"/>
      <c r="AZB227" s="18"/>
      <c r="AZC227" s="18"/>
      <c r="AZD227" s="18"/>
      <c r="AZE227" s="18"/>
      <c r="AZF227" s="18"/>
      <c r="AZG227" s="18"/>
      <c r="AZH227" s="18"/>
      <c r="AZI227" s="18"/>
      <c r="AZJ227" s="18"/>
      <c r="AZK227" s="18"/>
      <c r="AZL227" s="18"/>
      <c r="AZM227" s="18"/>
      <c r="AZN227" s="18"/>
      <c r="AZO227" s="18"/>
      <c r="AZP227" s="18"/>
      <c r="AZQ227" s="18"/>
      <c r="AZR227" s="18"/>
      <c r="AZS227" s="18"/>
      <c r="AZT227" s="18"/>
      <c r="AZU227" s="18"/>
      <c r="AZV227" s="18"/>
      <c r="AZW227" s="18"/>
      <c r="AZX227" s="18"/>
      <c r="AZY227" s="18"/>
      <c r="AZZ227" s="18"/>
      <c r="BAA227" s="18"/>
      <c r="BAB227" s="18"/>
      <c r="BAC227" s="18"/>
      <c r="BAD227" s="18"/>
      <c r="BAE227" s="18"/>
      <c r="BAF227" s="18"/>
      <c r="BAG227" s="18"/>
      <c r="BAH227" s="18"/>
      <c r="BAI227" s="18"/>
      <c r="BAJ227" s="18"/>
      <c r="BAK227" s="18"/>
      <c r="BAL227" s="18"/>
      <c r="BAM227" s="18"/>
      <c r="BAN227" s="18"/>
      <c r="BAO227" s="18"/>
      <c r="BAP227" s="18"/>
      <c r="BAQ227" s="18"/>
      <c r="BAR227" s="18"/>
      <c r="BAS227" s="18"/>
      <c r="BAT227" s="18"/>
      <c r="BAU227" s="18"/>
      <c r="BAV227" s="18"/>
      <c r="BAW227" s="18"/>
      <c r="BAX227" s="18"/>
      <c r="BAY227" s="18"/>
      <c r="BAZ227" s="18"/>
      <c r="BBA227" s="18"/>
      <c r="BBB227" s="18"/>
      <c r="BBC227" s="18"/>
      <c r="BBD227" s="18"/>
      <c r="BBE227" s="18"/>
      <c r="BBF227" s="18"/>
      <c r="BBG227" s="18"/>
      <c r="BBH227" s="18"/>
      <c r="BBI227" s="18"/>
      <c r="BBJ227" s="18"/>
      <c r="BBK227" s="18"/>
      <c r="BBL227" s="18"/>
      <c r="BBM227" s="18"/>
      <c r="BBN227" s="18"/>
      <c r="BBO227" s="18"/>
      <c r="BBP227" s="18"/>
      <c r="BBQ227" s="18"/>
      <c r="BBR227" s="18"/>
      <c r="BBS227" s="18"/>
      <c r="BBT227" s="18"/>
      <c r="BBU227" s="18"/>
      <c r="BBV227" s="18"/>
      <c r="BBW227" s="18"/>
      <c r="BBX227" s="18"/>
      <c r="BBY227" s="18"/>
      <c r="BBZ227" s="18"/>
      <c r="BCA227" s="18"/>
      <c r="BCB227" s="18"/>
      <c r="BCC227" s="18"/>
      <c r="BCD227" s="18"/>
      <c r="BCE227" s="18"/>
      <c r="BCF227" s="18"/>
      <c r="BCG227" s="18"/>
      <c r="BCH227" s="18"/>
      <c r="BCI227" s="18"/>
      <c r="BCJ227" s="18"/>
      <c r="BCK227" s="18"/>
      <c r="BCL227" s="18"/>
      <c r="BCM227" s="18"/>
      <c r="BCN227" s="18"/>
      <c r="BCO227" s="18"/>
      <c r="BCP227" s="18"/>
      <c r="BCQ227" s="18"/>
      <c r="BCR227" s="18"/>
      <c r="BCS227" s="18"/>
      <c r="BCT227" s="18"/>
      <c r="BCU227" s="18"/>
      <c r="BCV227" s="18"/>
      <c r="BCW227" s="18"/>
      <c r="BCX227" s="18"/>
      <c r="BCY227" s="18"/>
      <c r="BCZ227" s="18"/>
      <c r="BDA227" s="18"/>
      <c r="BDB227" s="18"/>
      <c r="BDC227" s="18"/>
      <c r="BDD227" s="18"/>
      <c r="BDE227" s="18"/>
      <c r="BDF227" s="18"/>
      <c r="BDG227" s="18"/>
      <c r="BDH227" s="18"/>
      <c r="BDI227" s="18"/>
      <c r="BDJ227" s="18"/>
      <c r="BDK227" s="18"/>
      <c r="BDL227" s="18"/>
      <c r="BDM227" s="18"/>
      <c r="BDN227" s="18"/>
      <c r="BDO227" s="18"/>
      <c r="BDP227" s="18"/>
      <c r="BDQ227" s="18"/>
      <c r="BDR227" s="18"/>
      <c r="BDS227" s="18"/>
      <c r="BDT227" s="18"/>
      <c r="BDU227" s="18"/>
      <c r="BDV227" s="18"/>
      <c r="BDW227" s="18"/>
      <c r="BDX227" s="18"/>
      <c r="BDY227" s="18"/>
      <c r="BDZ227" s="18"/>
      <c r="BEA227" s="18"/>
      <c r="BEB227" s="18"/>
      <c r="BEC227" s="18"/>
      <c r="BED227" s="18"/>
      <c r="BEE227" s="18"/>
      <c r="BEF227" s="18"/>
      <c r="BEG227" s="18"/>
      <c r="BEH227" s="18"/>
      <c r="BEI227" s="18"/>
      <c r="BEJ227" s="18"/>
      <c r="BEK227" s="18"/>
      <c r="BEL227" s="18"/>
      <c r="BEM227" s="18"/>
      <c r="BEN227" s="18"/>
      <c r="BEO227" s="18"/>
      <c r="BEP227" s="18"/>
      <c r="BEQ227" s="18"/>
      <c r="BER227" s="18"/>
      <c r="BES227" s="18"/>
      <c r="BET227" s="18"/>
      <c r="BEU227" s="18"/>
      <c r="BEV227" s="18"/>
      <c r="BEW227" s="18"/>
      <c r="BEX227" s="18"/>
      <c r="BEY227" s="18"/>
      <c r="BEZ227" s="18"/>
      <c r="BFA227" s="18"/>
      <c r="BFB227" s="18"/>
      <c r="BFC227" s="18"/>
      <c r="BFD227" s="18"/>
      <c r="BFE227" s="18"/>
      <c r="BFF227" s="18"/>
      <c r="BFG227" s="18"/>
      <c r="BFH227" s="18"/>
      <c r="BFI227" s="18"/>
      <c r="BFJ227" s="18"/>
      <c r="BFK227" s="18"/>
      <c r="BFL227" s="18"/>
      <c r="BFM227" s="18"/>
      <c r="BFN227" s="18"/>
      <c r="BFO227" s="18"/>
      <c r="BFP227" s="18"/>
      <c r="BFQ227" s="18"/>
      <c r="BFR227" s="18"/>
      <c r="BFS227" s="18"/>
      <c r="BFT227" s="18"/>
      <c r="BFU227" s="18"/>
      <c r="BFV227" s="18"/>
      <c r="BFW227" s="18"/>
      <c r="BFX227" s="18"/>
      <c r="BFY227" s="18"/>
      <c r="BFZ227" s="18"/>
      <c r="BGA227" s="18"/>
      <c r="BGB227" s="18"/>
      <c r="BGC227" s="18"/>
      <c r="BGD227" s="18"/>
      <c r="BGE227" s="18"/>
      <c r="BGF227" s="18"/>
      <c r="BGG227" s="18"/>
      <c r="BGH227" s="18"/>
      <c r="BGI227" s="18"/>
      <c r="BGJ227" s="18"/>
      <c r="BGK227" s="18"/>
      <c r="BGL227" s="18"/>
      <c r="BGM227" s="18"/>
      <c r="BGN227" s="18"/>
      <c r="BGO227" s="18"/>
      <c r="BGP227" s="18"/>
      <c r="BGQ227" s="18"/>
      <c r="BGR227" s="18"/>
      <c r="BGS227" s="18"/>
      <c r="BGT227" s="18"/>
      <c r="BGU227" s="18"/>
      <c r="BGV227" s="18"/>
      <c r="BGW227" s="18"/>
      <c r="BGX227" s="18"/>
      <c r="BGY227" s="18"/>
      <c r="BGZ227" s="18"/>
      <c r="BHA227" s="18"/>
      <c r="BHB227" s="18"/>
      <c r="BHC227" s="18"/>
      <c r="BHD227" s="18"/>
      <c r="BHE227" s="18"/>
      <c r="BHF227" s="18"/>
      <c r="BHG227" s="18"/>
      <c r="BHH227" s="18"/>
      <c r="BHI227" s="18"/>
      <c r="BHJ227" s="18"/>
      <c r="BHK227" s="18"/>
      <c r="BHL227" s="18"/>
      <c r="BHM227" s="18"/>
      <c r="BHN227" s="18"/>
      <c r="BHO227" s="18"/>
      <c r="BHP227" s="18"/>
      <c r="BHQ227" s="18"/>
      <c r="BHR227" s="18"/>
      <c r="BHS227" s="18"/>
      <c r="BHT227" s="18"/>
      <c r="BHU227" s="18"/>
      <c r="BHV227" s="18"/>
      <c r="BHW227" s="18"/>
      <c r="BHX227" s="18"/>
      <c r="BHY227" s="18"/>
      <c r="BHZ227" s="18"/>
      <c r="BIA227" s="18"/>
      <c r="BIB227" s="18"/>
      <c r="BIC227" s="18"/>
      <c r="BID227" s="18"/>
      <c r="BIE227" s="18"/>
      <c r="BIF227" s="18"/>
      <c r="BIG227" s="18"/>
      <c r="BIH227" s="18"/>
      <c r="BII227" s="18"/>
      <c r="BIJ227" s="18"/>
      <c r="BIK227" s="18"/>
      <c r="BIL227" s="18"/>
      <c r="BIM227" s="18"/>
      <c r="BIN227" s="18"/>
      <c r="BIO227" s="18"/>
      <c r="BIP227" s="18"/>
      <c r="BIQ227" s="18"/>
      <c r="BIR227" s="18"/>
      <c r="BIS227" s="18"/>
      <c r="BIT227" s="18"/>
      <c r="BIU227" s="18"/>
      <c r="BIV227" s="18"/>
      <c r="BIW227" s="18"/>
      <c r="BIX227" s="18"/>
      <c r="BIY227" s="18"/>
      <c r="BIZ227" s="18"/>
      <c r="BJA227" s="18"/>
      <c r="BJB227" s="18"/>
      <c r="BJC227" s="18"/>
      <c r="BJD227" s="18"/>
      <c r="BJE227" s="18"/>
      <c r="BJF227" s="18"/>
      <c r="BJG227" s="18"/>
      <c r="BJH227" s="18"/>
      <c r="BJI227" s="18"/>
      <c r="BJJ227" s="18"/>
      <c r="BJK227" s="18"/>
      <c r="BJL227" s="18"/>
      <c r="BJM227" s="18"/>
      <c r="BJN227" s="18"/>
      <c r="BJO227" s="18"/>
      <c r="BJP227" s="18"/>
      <c r="BJQ227" s="18"/>
      <c r="BJR227" s="18"/>
      <c r="BJS227" s="18"/>
      <c r="BJT227" s="18"/>
      <c r="BJU227" s="18"/>
      <c r="BJV227" s="18"/>
      <c r="BJW227" s="18"/>
      <c r="BJX227" s="18"/>
      <c r="BJY227" s="18"/>
      <c r="BJZ227" s="18"/>
      <c r="BKA227" s="18"/>
      <c r="BKB227" s="18"/>
      <c r="BKC227" s="18"/>
      <c r="BKD227" s="18"/>
      <c r="BKE227" s="18"/>
      <c r="BKF227" s="18"/>
      <c r="BKG227" s="18"/>
      <c r="BKH227" s="18"/>
      <c r="BKI227" s="18"/>
      <c r="BKJ227" s="18"/>
      <c r="BKK227" s="18"/>
      <c r="BKL227" s="18"/>
      <c r="BKM227" s="18"/>
      <c r="BKN227" s="18"/>
      <c r="BKO227" s="18"/>
      <c r="BKP227" s="18"/>
      <c r="BKQ227" s="18"/>
      <c r="BKR227" s="18"/>
      <c r="BKS227" s="18"/>
      <c r="BKT227" s="18"/>
      <c r="BKU227" s="18"/>
      <c r="BKV227" s="18"/>
      <c r="BKW227" s="18"/>
      <c r="BKX227" s="18"/>
      <c r="BKY227" s="18"/>
      <c r="BKZ227" s="18"/>
      <c r="BLA227" s="18"/>
      <c r="BLB227" s="18"/>
      <c r="BLC227" s="18"/>
      <c r="BLD227" s="18"/>
      <c r="BLE227" s="18"/>
      <c r="BLF227" s="18"/>
      <c r="BLG227" s="18"/>
      <c r="BLH227" s="18"/>
      <c r="BLI227" s="18"/>
      <c r="BLJ227" s="18"/>
      <c r="BLK227" s="18"/>
      <c r="BLL227" s="18"/>
      <c r="BLM227" s="18"/>
      <c r="BLN227" s="18"/>
      <c r="BLO227" s="18"/>
      <c r="BLP227" s="18"/>
      <c r="BLQ227" s="18"/>
      <c r="BLR227" s="18"/>
      <c r="BLS227" s="18"/>
      <c r="BLT227" s="18"/>
      <c r="BLU227" s="18"/>
      <c r="BLV227" s="18"/>
      <c r="BLW227" s="18"/>
      <c r="BLX227" s="18"/>
      <c r="BLY227" s="18"/>
      <c r="BLZ227" s="18"/>
      <c r="BMA227" s="18"/>
      <c r="BMB227" s="18"/>
      <c r="BMC227" s="18"/>
      <c r="BMD227" s="18"/>
      <c r="BME227" s="18"/>
      <c r="BMF227" s="18"/>
      <c r="BMG227" s="18"/>
      <c r="BMH227" s="18"/>
      <c r="BMI227" s="18"/>
      <c r="BMJ227" s="18"/>
      <c r="BMK227" s="18"/>
      <c r="BML227" s="18"/>
      <c r="BMM227" s="18"/>
      <c r="BMN227" s="18"/>
      <c r="BMO227" s="18"/>
      <c r="BMP227" s="18"/>
      <c r="BMQ227" s="18"/>
      <c r="BMR227" s="18"/>
      <c r="BMS227" s="18"/>
      <c r="BMT227" s="18"/>
      <c r="BMU227" s="18"/>
      <c r="BMV227" s="18"/>
      <c r="BMW227" s="18"/>
      <c r="BMX227" s="18"/>
      <c r="BMY227" s="18"/>
      <c r="BMZ227" s="18"/>
      <c r="BNA227" s="18"/>
      <c r="BNB227" s="18"/>
      <c r="BNC227" s="18"/>
      <c r="BND227" s="18"/>
      <c r="BNE227" s="18"/>
      <c r="BNF227" s="18"/>
      <c r="BNG227" s="18"/>
      <c r="BNH227" s="18"/>
      <c r="BNI227" s="18"/>
      <c r="BNJ227" s="18"/>
      <c r="BNK227" s="18"/>
      <c r="BNL227" s="18"/>
      <c r="BNM227" s="18"/>
      <c r="BNN227" s="18"/>
      <c r="BNO227" s="18"/>
      <c r="BNP227" s="18"/>
      <c r="BNQ227" s="18"/>
      <c r="BNR227" s="18"/>
      <c r="BNS227" s="18"/>
      <c r="BNT227" s="18"/>
      <c r="BNU227" s="18"/>
      <c r="BNV227" s="18"/>
      <c r="BNW227" s="18"/>
      <c r="BNX227" s="18"/>
      <c r="BNY227" s="18"/>
      <c r="BNZ227" s="18"/>
      <c r="BOA227" s="18"/>
      <c r="BOB227" s="18"/>
      <c r="BOC227" s="18"/>
      <c r="BOD227" s="18"/>
      <c r="BOE227" s="18"/>
      <c r="BOF227" s="18"/>
      <c r="BOG227" s="18"/>
      <c r="BOH227" s="18"/>
      <c r="BOI227" s="18"/>
      <c r="BOJ227" s="18"/>
      <c r="BOK227" s="18"/>
      <c r="BOL227" s="18"/>
      <c r="BOM227" s="18"/>
      <c r="BON227" s="18"/>
      <c r="BOO227" s="18"/>
      <c r="BOP227" s="18"/>
      <c r="BOQ227" s="18"/>
      <c r="BOR227" s="18"/>
      <c r="BOS227" s="18"/>
      <c r="BOT227" s="18"/>
      <c r="BOU227" s="18"/>
      <c r="BOV227" s="18"/>
      <c r="BOW227" s="18"/>
      <c r="BOX227" s="18"/>
      <c r="BOY227" s="18"/>
      <c r="BOZ227" s="18"/>
      <c r="BPA227" s="18"/>
      <c r="BPB227" s="18"/>
      <c r="BPC227" s="18"/>
      <c r="BPD227" s="18"/>
      <c r="BPE227" s="18"/>
      <c r="BPF227" s="18"/>
      <c r="BPG227" s="18"/>
      <c r="BPH227" s="18"/>
      <c r="BPI227" s="18"/>
      <c r="BPJ227" s="18"/>
      <c r="BPK227" s="18"/>
      <c r="BPL227" s="18"/>
      <c r="BPM227" s="18"/>
      <c r="BPN227" s="18"/>
      <c r="BPO227" s="18"/>
      <c r="BPP227" s="18"/>
      <c r="BPQ227" s="18"/>
      <c r="BPR227" s="18"/>
      <c r="BPS227" s="18"/>
      <c r="BPT227" s="18"/>
      <c r="BPU227" s="18"/>
      <c r="BPV227" s="18"/>
      <c r="BPW227" s="18"/>
      <c r="BPX227" s="18"/>
      <c r="BPY227" s="18"/>
      <c r="BPZ227" s="18"/>
      <c r="BQA227" s="18"/>
      <c r="BQB227" s="18"/>
      <c r="BQC227" s="18"/>
      <c r="BQD227" s="18"/>
      <c r="BQE227" s="18"/>
      <c r="BQF227" s="18"/>
      <c r="BQG227" s="18"/>
      <c r="BQH227" s="18"/>
      <c r="BQI227" s="18"/>
      <c r="BQJ227" s="18"/>
      <c r="BQK227" s="18"/>
      <c r="BQL227" s="18"/>
      <c r="BQM227" s="18"/>
      <c r="BQN227" s="18"/>
      <c r="BQO227" s="18"/>
      <c r="BQP227" s="18"/>
      <c r="BQQ227" s="18"/>
      <c r="BQR227" s="18"/>
      <c r="BQS227" s="18"/>
      <c r="BQT227" s="18"/>
      <c r="BQU227" s="18"/>
      <c r="BQV227" s="18"/>
      <c r="BQW227" s="18"/>
      <c r="BQX227" s="18"/>
      <c r="BQY227" s="18"/>
      <c r="BQZ227" s="18"/>
      <c r="BRA227" s="18"/>
      <c r="BRB227" s="18"/>
      <c r="BRC227" s="18"/>
      <c r="BRD227" s="18"/>
      <c r="BRE227" s="18"/>
      <c r="BRF227" s="18"/>
      <c r="BRG227" s="18"/>
      <c r="BRH227" s="18"/>
      <c r="BRI227" s="18"/>
      <c r="BRJ227" s="18"/>
      <c r="BRK227" s="18"/>
      <c r="BRL227" s="18"/>
      <c r="BRM227" s="18"/>
      <c r="BRN227" s="18"/>
      <c r="BRO227" s="18"/>
      <c r="BRP227" s="18"/>
      <c r="BRQ227" s="18"/>
      <c r="BRR227" s="18"/>
      <c r="BRS227" s="18"/>
      <c r="BRT227" s="18"/>
      <c r="BRU227" s="18"/>
      <c r="BRV227" s="18"/>
      <c r="BRW227" s="18"/>
      <c r="BRX227" s="18"/>
      <c r="BRY227" s="18"/>
      <c r="BRZ227" s="18"/>
      <c r="BSA227" s="18"/>
      <c r="BSB227" s="18"/>
      <c r="BSC227" s="18"/>
      <c r="BSD227" s="18"/>
      <c r="BSE227" s="18"/>
      <c r="BSF227" s="18"/>
      <c r="BSG227" s="18"/>
      <c r="BSH227" s="18"/>
      <c r="BSI227" s="18"/>
      <c r="BSJ227" s="18"/>
      <c r="BSK227" s="18"/>
      <c r="BSL227" s="18"/>
      <c r="BSM227" s="18"/>
      <c r="BSN227" s="18"/>
      <c r="BSO227" s="18"/>
      <c r="BSP227" s="18"/>
      <c r="BSQ227" s="18"/>
      <c r="BSR227" s="18"/>
      <c r="BSS227" s="18"/>
      <c r="BST227" s="18"/>
      <c r="BSU227" s="18"/>
      <c r="BSV227" s="18"/>
      <c r="BSW227" s="18"/>
      <c r="BSX227" s="18"/>
      <c r="BSY227" s="18"/>
      <c r="BSZ227" s="18"/>
      <c r="BTA227" s="18"/>
      <c r="BTB227" s="18"/>
      <c r="BTC227" s="18"/>
      <c r="BTD227" s="18"/>
      <c r="BTE227" s="18"/>
      <c r="BTF227" s="18"/>
      <c r="BTG227" s="18"/>
      <c r="BTH227" s="18"/>
      <c r="BTI227" s="18"/>
    </row>
    <row r="228" spans="1:1881" s="426" customFormat="1" ht="78.75" customHeight="1" x14ac:dyDescent="0.3">
      <c r="A228" s="100">
        <v>602</v>
      </c>
      <c r="B228" s="373" t="s">
        <v>58</v>
      </c>
      <c r="C228" s="373" t="s">
        <v>285</v>
      </c>
      <c r="D228" s="99" t="s">
        <v>343</v>
      </c>
      <c r="E228" s="371" t="e">
        <f>INDEX('PY1 Data(H)'!$A$1:$CZ$265,MATCH('Unit Data from Audit Worksheet'!$A228,'PY1 Data(H)'!$A$1:$A$258,0),MATCH('Unit Data from Audit Worksheet'!$D$2,'PY1 Data(H)'!$A$1:$CZ$1,0))</f>
        <v>#N/A</v>
      </c>
      <c r="F228" s="795">
        <v>0</v>
      </c>
      <c r="G228" s="430" t="str">
        <f>IF(ISBLANK(F228),"Please do not leave blank","")</f>
        <v/>
      </c>
      <c r="H228" s="401">
        <f>IF(F228&lt;0,"Note: Number is normally positive.",)</f>
        <v>0</v>
      </c>
      <c r="I228" s="17"/>
      <c r="J228" s="72"/>
      <c r="K228"/>
      <c r="L228" s="547"/>
      <c r="M228"/>
      <c r="N228" s="18"/>
      <c r="O228" s="186"/>
      <c r="P228" s="18"/>
      <c r="Q228" s="18"/>
      <c r="R228" s="18"/>
      <c r="S228" s="18"/>
      <c r="T228" s="18"/>
      <c r="U228" s="18"/>
      <c r="V228" s="18"/>
      <c r="W228" s="18"/>
      <c r="X228" s="18"/>
      <c r="Y228" s="1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c r="IS228" s="18"/>
      <c r="IT228" s="18"/>
      <c r="IU228" s="18"/>
      <c r="IV228" s="18"/>
      <c r="IW228" s="18"/>
      <c r="IX228" s="18"/>
      <c r="IY228" s="18"/>
      <c r="IZ228" s="18"/>
      <c r="JA228" s="18"/>
      <c r="JB228" s="18"/>
      <c r="JC228" s="18"/>
      <c r="JD228" s="18"/>
      <c r="JE228" s="18"/>
      <c r="JF228" s="18"/>
      <c r="JG228" s="18"/>
      <c r="JH228" s="18"/>
      <c r="JI228" s="18"/>
      <c r="JJ228" s="18"/>
      <c r="JK228" s="18"/>
      <c r="JL228" s="18"/>
      <c r="JM228" s="18"/>
      <c r="JN228" s="18"/>
      <c r="JO228" s="18"/>
      <c r="JP228" s="18"/>
      <c r="JQ228" s="18"/>
      <c r="JR228" s="18"/>
      <c r="JS228" s="18"/>
      <c r="JT228" s="18"/>
      <c r="JU228" s="18"/>
      <c r="JV228" s="18"/>
      <c r="JW228" s="18"/>
      <c r="JX228" s="18"/>
      <c r="JY228" s="18"/>
      <c r="JZ228" s="18"/>
      <c r="KA228" s="18"/>
      <c r="KB228" s="18"/>
      <c r="KC228" s="18"/>
      <c r="KD228" s="18"/>
      <c r="KE228" s="18"/>
      <c r="KF228" s="18"/>
      <c r="KG228" s="18"/>
      <c r="KH228" s="18"/>
      <c r="KI228" s="18"/>
      <c r="KJ228" s="18"/>
      <c r="KK228" s="18"/>
      <c r="KL228" s="18"/>
      <c r="KM228" s="18"/>
      <c r="KN228" s="18"/>
      <c r="KO228" s="18"/>
      <c r="KP228" s="18"/>
      <c r="KQ228" s="18"/>
      <c r="KR228" s="18"/>
      <c r="KS228" s="18"/>
      <c r="KT228" s="18"/>
      <c r="KU228" s="18"/>
      <c r="KV228" s="18"/>
      <c r="KW228" s="18"/>
      <c r="KX228" s="18"/>
      <c r="KY228" s="18"/>
      <c r="KZ228" s="18"/>
      <c r="LA228" s="18"/>
      <c r="LB228" s="18"/>
      <c r="LC228" s="18"/>
      <c r="LD228" s="18"/>
      <c r="LE228" s="18"/>
      <c r="LF228" s="18"/>
      <c r="LG228" s="18"/>
      <c r="LH228" s="18"/>
      <c r="LI228" s="18"/>
      <c r="LJ228" s="18"/>
      <c r="LK228" s="18"/>
      <c r="LL228" s="18"/>
      <c r="LM228" s="18"/>
      <c r="LN228" s="18"/>
      <c r="LO228" s="18"/>
      <c r="LP228" s="18"/>
      <c r="LQ228" s="18"/>
      <c r="LR228" s="18"/>
      <c r="LS228" s="18"/>
      <c r="LT228" s="18"/>
      <c r="LU228" s="18"/>
      <c r="LV228" s="18"/>
      <c r="LW228" s="18"/>
      <c r="LX228" s="18"/>
      <c r="LY228" s="18"/>
      <c r="LZ228" s="18"/>
      <c r="MA228" s="18"/>
      <c r="MB228" s="18"/>
      <c r="MC228" s="18"/>
      <c r="MD228" s="18"/>
      <c r="ME228" s="18"/>
      <c r="MF228" s="18"/>
      <c r="MG228" s="18"/>
      <c r="MH228" s="18"/>
      <c r="MI228" s="18"/>
      <c r="MJ228" s="18"/>
      <c r="MK228" s="18"/>
      <c r="ML228" s="18"/>
      <c r="MM228" s="18"/>
      <c r="MN228" s="18"/>
      <c r="MO228" s="18"/>
      <c r="MP228" s="18"/>
      <c r="MQ228" s="18"/>
      <c r="MR228" s="18"/>
      <c r="MS228" s="18"/>
      <c r="MT228" s="18"/>
      <c r="MU228" s="18"/>
      <c r="MV228" s="18"/>
      <c r="MW228" s="18"/>
      <c r="MX228" s="18"/>
      <c r="MY228" s="18"/>
      <c r="MZ228" s="18"/>
      <c r="NA228" s="18"/>
      <c r="NB228" s="18"/>
      <c r="NC228" s="18"/>
      <c r="ND228" s="18"/>
      <c r="NE228" s="18"/>
      <c r="NF228" s="18"/>
      <c r="NG228" s="18"/>
      <c r="NH228" s="18"/>
      <c r="NI228" s="18"/>
      <c r="NJ228" s="18"/>
      <c r="NK228" s="18"/>
      <c r="NL228" s="18"/>
      <c r="NM228" s="18"/>
      <c r="NN228" s="18"/>
      <c r="NO228" s="18"/>
      <c r="NP228" s="18"/>
      <c r="NQ228" s="18"/>
      <c r="NR228" s="18"/>
      <c r="NS228" s="18"/>
      <c r="NT228" s="18"/>
      <c r="NU228" s="18"/>
      <c r="NV228" s="18"/>
      <c r="NW228" s="18"/>
      <c r="NX228" s="18"/>
      <c r="NY228" s="18"/>
      <c r="NZ228" s="18"/>
      <c r="OA228" s="18"/>
      <c r="OB228" s="18"/>
      <c r="OC228" s="18"/>
      <c r="OD228" s="18"/>
      <c r="OE228" s="18"/>
      <c r="OF228" s="18"/>
      <c r="OG228" s="18"/>
      <c r="OH228" s="18"/>
      <c r="OI228" s="18"/>
      <c r="OJ228" s="18"/>
      <c r="OK228" s="18"/>
      <c r="OL228" s="18"/>
      <c r="OM228" s="18"/>
      <c r="ON228" s="18"/>
      <c r="OO228" s="18"/>
      <c r="OP228" s="18"/>
      <c r="OQ228" s="18"/>
      <c r="OR228" s="18"/>
      <c r="OS228" s="18"/>
      <c r="OT228" s="18"/>
      <c r="OU228" s="18"/>
      <c r="OV228" s="18"/>
      <c r="OW228" s="18"/>
      <c r="OX228" s="18"/>
      <c r="OY228" s="18"/>
      <c r="OZ228" s="18"/>
      <c r="PA228" s="18"/>
      <c r="PB228" s="18"/>
      <c r="PC228" s="18"/>
      <c r="PD228" s="18"/>
      <c r="PE228" s="18"/>
      <c r="PF228" s="18"/>
      <c r="PG228" s="18"/>
      <c r="PH228" s="18"/>
      <c r="PI228" s="18"/>
      <c r="PJ228" s="18"/>
      <c r="PK228" s="18"/>
      <c r="PL228" s="18"/>
      <c r="PM228" s="18"/>
      <c r="PN228" s="18"/>
      <c r="PO228" s="18"/>
      <c r="PP228" s="18"/>
      <c r="PQ228" s="18"/>
      <c r="PR228" s="18"/>
      <c r="PS228" s="18"/>
      <c r="PT228" s="18"/>
      <c r="PU228" s="18"/>
      <c r="PV228" s="18"/>
      <c r="PW228" s="18"/>
      <c r="PX228" s="18"/>
      <c r="PY228" s="18"/>
      <c r="PZ228" s="18"/>
      <c r="QA228" s="18"/>
      <c r="QB228" s="18"/>
      <c r="QC228" s="18"/>
      <c r="QD228" s="18"/>
      <c r="QE228" s="18"/>
      <c r="QF228" s="18"/>
      <c r="QG228" s="18"/>
      <c r="QH228" s="18"/>
      <c r="QI228" s="18"/>
      <c r="QJ228" s="18"/>
      <c r="QK228" s="18"/>
      <c r="QL228" s="18"/>
      <c r="QM228" s="18"/>
      <c r="QN228" s="18"/>
      <c r="QO228" s="18"/>
      <c r="QP228" s="18"/>
      <c r="QQ228" s="18"/>
      <c r="QR228" s="18"/>
      <c r="QS228" s="18"/>
      <c r="QT228" s="18"/>
      <c r="QU228" s="18"/>
      <c r="QV228" s="18"/>
      <c r="QW228" s="18"/>
      <c r="QX228" s="18"/>
      <c r="QY228" s="18"/>
      <c r="QZ228" s="18"/>
      <c r="RA228" s="18"/>
      <c r="RB228" s="18"/>
      <c r="RC228" s="18"/>
      <c r="RD228" s="18"/>
      <c r="RE228" s="18"/>
      <c r="RF228" s="18"/>
      <c r="RG228" s="18"/>
      <c r="RH228" s="18"/>
      <c r="RI228" s="18"/>
      <c r="RJ228" s="18"/>
      <c r="RK228" s="18"/>
      <c r="RL228" s="18"/>
      <c r="RM228" s="18"/>
      <c r="RN228" s="18"/>
      <c r="RO228" s="18"/>
      <c r="RP228" s="18"/>
      <c r="RQ228" s="18"/>
      <c r="RR228" s="18"/>
      <c r="RS228" s="18"/>
      <c r="RT228" s="18"/>
      <c r="RU228" s="18"/>
      <c r="RV228" s="18"/>
      <c r="RW228" s="18"/>
      <c r="RX228" s="18"/>
      <c r="RY228" s="18"/>
      <c r="RZ228" s="18"/>
      <c r="SA228" s="18"/>
      <c r="SB228" s="18"/>
      <c r="SC228" s="18"/>
      <c r="SD228" s="18"/>
      <c r="SE228" s="18"/>
      <c r="SF228" s="18"/>
      <c r="SG228" s="18"/>
      <c r="SH228" s="18"/>
      <c r="SI228" s="18"/>
      <c r="SJ228" s="18"/>
      <c r="SK228" s="18"/>
      <c r="SL228" s="18"/>
      <c r="SM228" s="18"/>
      <c r="SN228" s="18"/>
      <c r="SO228" s="18"/>
      <c r="SP228" s="18"/>
      <c r="SQ228" s="18"/>
      <c r="SR228" s="18"/>
      <c r="SS228" s="18"/>
      <c r="ST228" s="18"/>
      <c r="SU228" s="18"/>
      <c r="SV228" s="18"/>
      <c r="SW228" s="18"/>
      <c r="SX228" s="18"/>
      <c r="SY228" s="18"/>
      <c r="SZ228" s="18"/>
      <c r="TA228" s="18"/>
      <c r="TB228" s="18"/>
      <c r="TC228" s="18"/>
      <c r="TD228" s="18"/>
      <c r="TE228" s="18"/>
      <c r="TF228" s="18"/>
      <c r="TG228" s="18"/>
      <c r="TH228" s="18"/>
      <c r="TI228" s="18"/>
      <c r="TJ228" s="18"/>
      <c r="TK228" s="18"/>
      <c r="TL228" s="18"/>
      <c r="TM228" s="18"/>
      <c r="TN228" s="18"/>
      <c r="TO228" s="18"/>
      <c r="TP228" s="18"/>
      <c r="TQ228" s="18"/>
      <c r="TR228" s="18"/>
      <c r="TS228" s="18"/>
      <c r="TT228" s="18"/>
      <c r="TU228" s="18"/>
      <c r="TV228" s="18"/>
      <c r="TW228" s="18"/>
      <c r="TX228" s="18"/>
      <c r="TY228" s="18"/>
      <c r="TZ228" s="18"/>
      <c r="UA228" s="18"/>
      <c r="UB228" s="18"/>
      <c r="UC228" s="18"/>
      <c r="UD228" s="18"/>
      <c r="UE228" s="18"/>
      <c r="UF228" s="18"/>
      <c r="UG228" s="18"/>
      <c r="UH228" s="18"/>
      <c r="UI228" s="18"/>
      <c r="UJ228" s="18"/>
      <c r="UK228" s="18"/>
      <c r="UL228" s="18"/>
      <c r="UM228" s="18"/>
      <c r="UN228" s="18"/>
      <c r="UO228" s="18"/>
      <c r="UP228" s="18"/>
      <c r="UQ228" s="18"/>
      <c r="UR228" s="18"/>
      <c r="US228" s="18"/>
      <c r="UT228" s="18"/>
      <c r="UU228" s="18"/>
      <c r="UV228" s="18"/>
      <c r="UW228" s="18"/>
      <c r="UX228" s="18"/>
      <c r="UY228" s="18"/>
      <c r="UZ228" s="18"/>
      <c r="VA228" s="18"/>
      <c r="VB228" s="18"/>
      <c r="VC228" s="18"/>
      <c r="VD228" s="18"/>
      <c r="VE228" s="18"/>
      <c r="VF228" s="18"/>
      <c r="VG228" s="18"/>
      <c r="VH228" s="18"/>
      <c r="VI228" s="18"/>
      <c r="VJ228" s="18"/>
      <c r="VK228" s="18"/>
      <c r="VL228" s="18"/>
      <c r="VM228" s="18"/>
      <c r="VN228" s="18"/>
      <c r="VO228" s="18"/>
      <c r="VP228" s="18"/>
      <c r="VQ228" s="18"/>
      <c r="VR228" s="18"/>
      <c r="VS228" s="18"/>
      <c r="VT228" s="18"/>
      <c r="VU228" s="18"/>
      <c r="VV228" s="18"/>
      <c r="VW228" s="18"/>
      <c r="VX228" s="18"/>
      <c r="VY228" s="18"/>
      <c r="VZ228" s="18"/>
      <c r="WA228" s="18"/>
      <c r="WB228" s="18"/>
      <c r="WC228" s="18"/>
      <c r="WD228" s="18"/>
      <c r="WE228" s="18"/>
      <c r="WF228" s="18"/>
      <c r="WG228" s="18"/>
      <c r="WH228" s="18"/>
      <c r="WI228" s="18"/>
      <c r="WJ228" s="18"/>
      <c r="WK228" s="18"/>
      <c r="WL228" s="18"/>
      <c r="WM228" s="18"/>
      <c r="WN228" s="18"/>
      <c r="WO228" s="18"/>
      <c r="WP228" s="18"/>
      <c r="WQ228" s="18"/>
      <c r="WR228" s="18"/>
      <c r="WS228" s="18"/>
      <c r="WT228" s="18"/>
      <c r="WU228" s="18"/>
      <c r="WV228" s="18"/>
      <c r="WW228" s="18"/>
      <c r="WX228" s="18"/>
      <c r="WY228" s="18"/>
      <c r="WZ228" s="18"/>
      <c r="XA228" s="18"/>
      <c r="XB228" s="18"/>
      <c r="XC228" s="18"/>
      <c r="XD228" s="18"/>
      <c r="XE228" s="18"/>
      <c r="XF228" s="18"/>
      <c r="XG228" s="18"/>
      <c r="XH228" s="18"/>
      <c r="XI228" s="18"/>
      <c r="XJ228" s="18"/>
      <c r="XK228" s="18"/>
      <c r="XL228" s="18"/>
      <c r="XM228" s="18"/>
      <c r="XN228" s="18"/>
      <c r="XO228" s="18"/>
      <c r="XP228" s="18"/>
      <c r="XQ228" s="18"/>
      <c r="XR228" s="18"/>
      <c r="XS228" s="18"/>
      <c r="XT228" s="18"/>
      <c r="XU228" s="18"/>
      <c r="XV228" s="18"/>
      <c r="XW228" s="18"/>
      <c r="XX228" s="18"/>
      <c r="XY228" s="18"/>
      <c r="XZ228" s="18"/>
      <c r="YA228" s="18"/>
      <c r="YB228" s="18"/>
      <c r="YC228" s="18"/>
      <c r="YD228" s="18"/>
      <c r="YE228" s="18"/>
      <c r="YF228" s="18"/>
      <c r="YG228" s="18"/>
      <c r="YH228" s="18"/>
      <c r="YI228" s="18"/>
      <c r="YJ228" s="18"/>
      <c r="YK228" s="18"/>
      <c r="YL228" s="18"/>
      <c r="YM228" s="18"/>
      <c r="YN228" s="18"/>
      <c r="YO228" s="18"/>
      <c r="YP228" s="18"/>
      <c r="YQ228" s="18"/>
      <c r="YR228" s="18"/>
      <c r="YS228" s="18"/>
      <c r="YT228" s="18"/>
      <c r="YU228" s="18"/>
      <c r="YV228" s="18"/>
      <c r="YW228" s="18"/>
      <c r="YX228" s="18"/>
      <c r="YY228" s="18"/>
      <c r="YZ228" s="18"/>
      <c r="ZA228" s="18"/>
      <c r="ZB228" s="18"/>
      <c r="ZC228" s="18"/>
      <c r="ZD228" s="18"/>
      <c r="ZE228" s="18"/>
      <c r="ZF228" s="18"/>
      <c r="ZG228" s="18"/>
      <c r="ZH228" s="18"/>
      <c r="ZI228" s="18"/>
      <c r="ZJ228" s="18"/>
      <c r="ZK228" s="18"/>
      <c r="ZL228" s="18"/>
      <c r="ZM228" s="18"/>
      <c r="ZN228" s="18"/>
      <c r="ZO228" s="18"/>
      <c r="ZP228" s="18"/>
      <c r="ZQ228" s="18"/>
      <c r="ZR228" s="18"/>
      <c r="ZS228" s="18"/>
      <c r="ZT228" s="18"/>
      <c r="ZU228" s="18"/>
      <c r="ZV228" s="18"/>
      <c r="ZW228" s="18"/>
      <c r="ZX228" s="18"/>
      <c r="ZY228" s="18"/>
      <c r="ZZ228" s="18"/>
      <c r="AAA228" s="18"/>
      <c r="AAB228" s="18"/>
      <c r="AAC228" s="18"/>
      <c r="AAD228" s="18"/>
      <c r="AAE228" s="18"/>
      <c r="AAF228" s="18"/>
      <c r="AAG228" s="18"/>
      <c r="AAH228" s="18"/>
      <c r="AAI228" s="18"/>
      <c r="AAJ228" s="18"/>
      <c r="AAK228" s="18"/>
      <c r="AAL228" s="18"/>
      <c r="AAM228" s="18"/>
      <c r="AAN228" s="18"/>
      <c r="AAO228" s="18"/>
      <c r="AAP228" s="18"/>
      <c r="AAQ228" s="18"/>
      <c r="AAR228" s="18"/>
      <c r="AAS228" s="18"/>
      <c r="AAT228" s="18"/>
      <c r="AAU228" s="18"/>
      <c r="AAV228" s="18"/>
      <c r="AAW228" s="18"/>
      <c r="AAX228" s="18"/>
      <c r="AAY228" s="18"/>
      <c r="AAZ228" s="18"/>
      <c r="ABA228" s="18"/>
      <c r="ABB228" s="18"/>
      <c r="ABC228" s="18"/>
      <c r="ABD228" s="18"/>
      <c r="ABE228" s="18"/>
      <c r="ABF228" s="18"/>
      <c r="ABG228" s="18"/>
      <c r="ABH228" s="18"/>
      <c r="ABI228" s="18"/>
      <c r="ABJ228" s="18"/>
      <c r="ABK228" s="18"/>
      <c r="ABL228" s="18"/>
      <c r="ABM228" s="18"/>
      <c r="ABN228" s="18"/>
      <c r="ABO228" s="18"/>
      <c r="ABP228" s="18"/>
      <c r="ABQ228" s="18"/>
      <c r="ABR228" s="18"/>
      <c r="ABS228" s="18"/>
      <c r="ABT228" s="18"/>
      <c r="ABU228" s="18"/>
      <c r="ABV228" s="18"/>
      <c r="ABW228" s="18"/>
      <c r="ABX228" s="18"/>
      <c r="ABY228" s="18"/>
      <c r="ABZ228" s="18"/>
      <c r="ACA228" s="18"/>
      <c r="ACB228" s="18"/>
      <c r="ACC228" s="18"/>
      <c r="ACD228" s="18"/>
      <c r="ACE228" s="18"/>
      <c r="ACF228" s="18"/>
      <c r="ACG228" s="18"/>
      <c r="ACH228" s="18"/>
      <c r="ACI228" s="18"/>
      <c r="ACJ228" s="18"/>
      <c r="ACK228" s="18"/>
      <c r="ACL228" s="18"/>
      <c r="ACM228" s="18"/>
      <c r="ACN228" s="18"/>
      <c r="ACO228" s="18"/>
      <c r="ACP228" s="18"/>
      <c r="ACQ228" s="18"/>
      <c r="ACR228" s="18"/>
      <c r="ACS228" s="18"/>
      <c r="ACT228" s="18"/>
      <c r="ACU228" s="18"/>
      <c r="ACV228" s="18"/>
      <c r="ACW228" s="18"/>
      <c r="ACX228" s="18"/>
      <c r="ACY228" s="18"/>
      <c r="ACZ228" s="18"/>
      <c r="ADA228" s="18"/>
      <c r="ADB228" s="18"/>
      <c r="ADC228" s="18"/>
      <c r="ADD228" s="18"/>
      <c r="ADE228" s="18"/>
      <c r="ADF228" s="18"/>
      <c r="ADG228" s="18"/>
      <c r="ADH228" s="18"/>
      <c r="ADI228" s="18"/>
      <c r="ADJ228" s="18"/>
      <c r="ADK228" s="18"/>
      <c r="ADL228" s="18"/>
      <c r="ADM228" s="18"/>
      <c r="ADN228" s="18"/>
      <c r="ADO228" s="18"/>
      <c r="ADP228" s="18"/>
      <c r="ADQ228" s="18"/>
      <c r="ADR228" s="18"/>
      <c r="ADS228" s="18"/>
      <c r="ADT228" s="18"/>
      <c r="ADU228" s="18"/>
      <c r="ADV228" s="18"/>
      <c r="ADW228" s="18"/>
      <c r="ADX228" s="18"/>
      <c r="ADY228" s="18"/>
      <c r="ADZ228" s="18"/>
      <c r="AEA228" s="18"/>
      <c r="AEB228" s="18"/>
      <c r="AEC228" s="18"/>
      <c r="AED228" s="18"/>
      <c r="AEE228" s="18"/>
      <c r="AEF228" s="18"/>
      <c r="AEG228" s="18"/>
      <c r="AEH228" s="18"/>
      <c r="AEI228" s="18"/>
      <c r="AEJ228" s="18"/>
      <c r="AEK228" s="18"/>
      <c r="AEL228" s="18"/>
      <c r="AEM228" s="18"/>
      <c r="AEN228" s="18"/>
      <c r="AEO228" s="18"/>
      <c r="AEP228" s="18"/>
      <c r="AEQ228" s="18"/>
      <c r="AER228" s="18"/>
      <c r="AES228" s="18"/>
      <c r="AET228" s="18"/>
      <c r="AEU228" s="18"/>
      <c r="AEV228" s="18"/>
      <c r="AEW228" s="18"/>
      <c r="AEX228" s="18"/>
      <c r="AEY228" s="18"/>
      <c r="AEZ228" s="18"/>
      <c r="AFA228" s="18"/>
      <c r="AFB228" s="18"/>
      <c r="AFC228" s="18"/>
      <c r="AFD228" s="18"/>
      <c r="AFE228" s="18"/>
      <c r="AFF228" s="18"/>
      <c r="AFG228" s="18"/>
      <c r="AFH228" s="18"/>
      <c r="AFI228" s="18"/>
      <c r="AFJ228" s="18"/>
      <c r="AFK228" s="18"/>
      <c r="AFL228" s="18"/>
      <c r="AFM228" s="18"/>
      <c r="AFN228" s="18"/>
      <c r="AFO228" s="18"/>
      <c r="AFP228" s="18"/>
      <c r="AFQ228" s="18"/>
      <c r="AFR228" s="18"/>
      <c r="AFS228" s="18"/>
      <c r="AFT228" s="18"/>
      <c r="AFU228" s="18"/>
      <c r="AFV228" s="18"/>
      <c r="AFW228" s="18"/>
      <c r="AFX228" s="18"/>
      <c r="AFY228" s="18"/>
      <c r="AFZ228" s="18"/>
      <c r="AGA228" s="18"/>
      <c r="AGB228" s="18"/>
      <c r="AGC228" s="18"/>
      <c r="AGD228" s="18"/>
      <c r="AGE228" s="18"/>
      <c r="AGF228" s="18"/>
      <c r="AGG228" s="18"/>
      <c r="AGH228" s="18"/>
      <c r="AGI228" s="18"/>
      <c r="AGJ228" s="18"/>
      <c r="AGK228" s="18"/>
      <c r="AGL228" s="18"/>
      <c r="AGM228" s="18"/>
      <c r="AGN228" s="18"/>
      <c r="AGO228" s="18"/>
      <c r="AGP228" s="18"/>
      <c r="AGQ228" s="18"/>
      <c r="AGR228" s="18"/>
      <c r="AGS228" s="18"/>
      <c r="AGT228" s="18"/>
      <c r="AGU228" s="18"/>
      <c r="AGV228" s="18"/>
      <c r="AGW228" s="18"/>
      <c r="AGX228" s="18"/>
      <c r="AGY228" s="18"/>
      <c r="AGZ228" s="18"/>
      <c r="AHA228" s="18"/>
      <c r="AHB228" s="18"/>
      <c r="AHC228" s="18"/>
      <c r="AHD228" s="18"/>
      <c r="AHE228" s="18"/>
      <c r="AHF228" s="18"/>
      <c r="AHG228" s="18"/>
      <c r="AHH228" s="18"/>
      <c r="AHI228" s="18"/>
      <c r="AHJ228" s="18"/>
      <c r="AHK228" s="18"/>
      <c r="AHL228" s="18"/>
      <c r="AHM228" s="18"/>
      <c r="AHN228" s="18"/>
      <c r="AHO228" s="18"/>
      <c r="AHP228" s="18"/>
      <c r="AHQ228" s="18"/>
      <c r="AHR228" s="18"/>
      <c r="AHS228" s="18"/>
      <c r="AHT228" s="18"/>
      <c r="AHU228" s="18"/>
      <c r="AHV228" s="18"/>
      <c r="AHW228" s="18"/>
      <c r="AHX228" s="18"/>
      <c r="AHY228" s="18"/>
      <c r="AHZ228" s="18"/>
      <c r="AIA228" s="18"/>
      <c r="AIB228" s="18"/>
      <c r="AIC228" s="18"/>
      <c r="AID228" s="18"/>
      <c r="AIE228" s="18"/>
      <c r="AIF228" s="18"/>
      <c r="AIG228" s="18"/>
      <c r="AIH228" s="18"/>
      <c r="AII228" s="18"/>
      <c r="AIJ228" s="18"/>
      <c r="AIK228" s="18"/>
      <c r="AIL228" s="18"/>
      <c r="AIM228" s="18"/>
      <c r="AIN228" s="18"/>
      <c r="AIO228" s="18"/>
      <c r="AIP228" s="18"/>
      <c r="AIQ228" s="18"/>
      <c r="AIR228" s="18"/>
      <c r="AIS228" s="18"/>
      <c r="AIT228" s="18"/>
      <c r="AIU228" s="18"/>
      <c r="AIV228" s="18"/>
      <c r="AIW228" s="18"/>
      <c r="AIX228" s="18"/>
      <c r="AIY228" s="18"/>
      <c r="AIZ228" s="18"/>
      <c r="AJA228" s="18"/>
      <c r="AJB228" s="18"/>
      <c r="AJC228" s="18"/>
      <c r="AJD228" s="18"/>
      <c r="AJE228" s="18"/>
      <c r="AJF228" s="18"/>
      <c r="AJG228" s="18"/>
      <c r="AJH228" s="18"/>
      <c r="AJI228" s="18"/>
      <c r="AJJ228" s="18"/>
      <c r="AJK228" s="18"/>
      <c r="AJL228" s="18"/>
      <c r="AJM228" s="18"/>
      <c r="AJN228" s="18"/>
      <c r="AJO228" s="18"/>
      <c r="AJP228" s="18"/>
      <c r="AJQ228" s="18"/>
      <c r="AJR228" s="18"/>
      <c r="AJS228" s="18"/>
      <c r="AJT228" s="18"/>
      <c r="AJU228" s="18"/>
      <c r="AJV228" s="18"/>
      <c r="AJW228" s="18"/>
      <c r="AJX228" s="18"/>
      <c r="AJY228" s="18"/>
      <c r="AJZ228" s="18"/>
      <c r="AKA228" s="18"/>
      <c r="AKB228" s="18"/>
      <c r="AKC228" s="18"/>
      <c r="AKD228" s="18"/>
      <c r="AKE228" s="18"/>
      <c r="AKF228" s="18"/>
      <c r="AKG228" s="18"/>
      <c r="AKH228" s="18"/>
      <c r="AKI228" s="18"/>
      <c r="AKJ228" s="18"/>
      <c r="AKK228" s="18"/>
      <c r="AKL228" s="18"/>
      <c r="AKM228" s="18"/>
      <c r="AKN228" s="18"/>
      <c r="AKO228" s="18"/>
      <c r="AKP228" s="18"/>
      <c r="AKQ228" s="18"/>
      <c r="AKR228" s="18"/>
      <c r="AKS228" s="18"/>
      <c r="AKT228" s="18"/>
      <c r="AKU228" s="18"/>
      <c r="AKV228" s="18"/>
      <c r="AKW228" s="18"/>
      <c r="AKX228" s="18"/>
      <c r="AKY228" s="18"/>
      <c r="AKZ228" s="18"/>
      <c r="ALA228" s="18"/>
      <c r="ALB228" s="18"/>
      <c r="ALC228" s="18"/>
      <c r="ALD228" s="18"/>
      <c r="ALE228" s="18"/>
      <c r="ALF228" s="18"/>
      <c r="ALG228" s="18"/>
      <c r="ALH228" s="18"/>
      <c r="ALI228" s="18"/>
      <c r="ALJ228" s="18"/>
      <c r="ALK228" s="18"/>
      <c r="ALL228" s="18"/>
      <c r="ALM228" s="18"/>
      <c r="ALN228" s="18"/>
      <c r="ALO228" s="18"/>
      <c r="ALP228" s="18"/>
      <c r="ALQ228" s="18"/>
      <c r="ALR228" s="18"/>
      <c r="ALS228" s="18"/>
      <c r="ALT228" s="18"/>
      <c r="ALU228" s="18"/>
      <c r="ALV228" s="18"/>
      <c r="ALW228" s="18"/>
      <c r="ALX228" s="18"/>
      <c r="ALY228" s="18"/>
      <c r="ALZ228" s="18"/>
      <c r="AMA228" s="18"/>
      <c r="AMB228" s="18"/>
      <c r="AMC228" s="18"/>
      <c r="AMD228" s="18"/>
      <c r="AME228" s="18"/>
      <c r="AMF228" s="18"/>
      <c r="AMG228" s="18"/>
      <c r="AMH228" s="18"/>
      <c r="AMI228" s="18"/>
      <c r="AMJ228" s="18"/>
      <c r="AMK228" s="18"/>
      <c r="AML228" s="18"/>
      <c r="AMM228" s="18"/>
      <c r="AMN228" s="18"/>
      <c r="AMO228" s="18"/>
      <c r="AMP228" s="18"/>
      <c r="AMQ228" s="18"/>
      <c r="AMR228" s="18"/>
      <c r="AMS228" s="18"/>
      <c r="AMT228" s="18"/>
      <c r="AMU228" s="18"/>
      <c r="AMV228" s="18"/>
      <c r="AMW228" s="18"/>
      <c r="AMX228" s="18"/>
      <c r="AMY228" s="18"/>
      <c r="AMZ228" s="18"/>
      <c r="ANA228" s="18"/>
      <c r="ANB228" s="18"/>
      <c r="ANC228" s="18"/>
      <c r="AND228" s="18"/>
      <c r="ANE228" s="18"/>
      <c r="ANF228" s="18"/>
      <c r="ANG228" s="18"/>
      <c r="ANH228" s="18"/>
      <c r="ANI228" s="18"/>
      <c r="ANJ228" s="18"/>
      <c r="ANK228" s="18"/>
      <c r="ANL228" s="18"/>
      <c r="ANM228" s="18"/>
      <c r="ANN228" s="18"/>
      <c r="ANO228" s="18"/>
      <c r="ANP228" s="18"/>
      <c r="ANQ228" s="18"/>
      <c r="ANR228" s="18"/>
      <c r="ANS228" s="18"/>
      <c r="ANT228" s="18"/>
      <c r="ANU228" s="18"/>
      <c r="ANV228" s="18"/>
      <c r="ANW228" s="18"/>
      <c r="ANX228" s="18"/>
      <c r="ANY228" s="18"/>
      <c r="ANZ228" s="18"/>
      <c r="AOA228" s="18"/>
      <c r="AOB228" s="18"/>
      <c r="AOC228" s="18"/>
      <c r="AOD228" s="18"/>
      <c r="AOE228" s="18"/>
      <c r="AOF228" s="18"/>
      <c r="AOG228" s="18"/>
      <c r="AOH228" s="18"/>
      <c r="AOI228" s="18"/>
      <c r="AOJ228" s="18"/>
      <c r="AOK228" s="18"/>
      <c r="AOL228" s="18"/>
      <c r="AOM228" s="18"/>
      <c r="AON228" s="18"/>
      <c r="AOO228" s="18"/>
      <c r="AOP228" s="18"/>
      <c r="AOQ228" s="18"/>
      <c r="AOR228" s="18"/>
      <c r="AOS228" s="18"/>
      <c r="AOT228" s="18"/>
      <c r="AOU228" s="18"/>
      <c r="AOV228" s="18"/>
      <c r="AOW228" s="18"/>
      <c r="AOX228" s="18"/>
      <c r="AOY228" s="18"/>
      <c r="AOZ228" s="18"/>
      <c r="APA228" s="18"/>
      <c r="APB228" s="18"/>
      <c r="APC228" s="18"/>
      <c r="APD228" s="18"/>
      <c r="APE228" s="18"/>
      <c r="APF228" s="18"/>
      <c r="APG228" s="18"/>
      <c r="APH228" s="18"/>
      <c r="API228" s="18"/>
      <c r="APJ228" s="18"/>
      <c r="APK228" s="18"/>
      <c r="APL228" s="18"/>
      <c r="APM228" s="18"/>
      <c r="APN228" s="18"/>
      <c r="APO228" s="18"/>
      <c r="APP228" s="18"/>
      <c r="APQ228" s="18"/>
      <c r="APR228" s="18"/>
      <c r="APS228" s="18"/>
      <c r="APT228" s="18"/>
      <c r="APU228" s="18"/>
      <c r="APV228" s="18"/>
      <c r="APW228" s="18"/>
      <c r="APX228" s="18"/>
      <c r="APY228" s="18"/>
      <c r="APZ228" s="18"/>
      <c r="AQA228" s="18"/>
      <c r="AQB228" s="18"/>
      <c r="AQC228" s="18"/>
      <c r="AQD228" s="18"/>
      <c r="AQE228" s="18"/>
      <c r="AQF228" s="18"/>
      <c r="AQG228" s="18"/>
      <c r="AQH228" s="18"/>
      <c r="AQI228" s="18"/>
      <c r="AQJ228" s="18"/>
      <c r="AQK228" s="18"/>
      <c r="AQL228" s="18"/>
      <c r="AQM228" s="18"/>
      <c r="AQN228" s="18"/>
      <c r="AQO228" s="18"/>
      <c r="AQP228" s="18"/>
      <c r="AQQ228" s="18"/>
      <c r="AQR228" s="18"/>
      <c r="AQS228" s="18"/>
      <c r="AQT228" s="18"/>
      <c r="AQU228" s="18"/>
      <c r="AQV228" s="18"/>
      <c r="AQW228" s="18"/>
      <c r="AQX228" s="18"/>
      <c r="AQY228" s="18"/>
      <c r="AQZ228" s="18"/>
      <c r="ARA228" s="18"/>
      <c r="ARB228" s="18"/>
      <c r="ARC228" s="18"/>
      <c r="ARD228" s="18"/>
      <c r="ARE228" s="18"/>
      <c r="ARF228" s="18"/>
      <c r="ARG228" s="18"/>
      <c r="ARH228" s="18"/>
      <c r="ARI228" s="18"/>
      <c r="ARJ228" s="18"/>
      <c r="ARK228" s="18"/>
      <c r="ARL228" s="18"/>
      <c r="ARM228" s="18"/>
      <c r="ARN228" s="18"/>
      <c r="ARO228" s="18"/>
      <c r="ARP228" s="18"/>
      <c r="ARQ228" s="18"/>
      <c r="ARR228" s="18"/>
      <c r="ARS228" s="18"/>
      <c r="ART228" s="18"/>
      <c r="ARU228" s="18"/>
      <c r="ARV228" s="18"/>
      <c r="ARW228" s="18"/>
      <c r="ARX228" s="18"/>
      <c r="ARY228" s="18"/>
      <c r="ARZ228" s="18"/>
      <c r="ASA228" s="18"/>
      <c r="ASB228" s="18"/>
      <c r="ASC228" s="18"/>
      <c r="ASD228" s="18"/>
      <c r="ASE228" s="18"/>
      <c r="ASF228" s="18"/>
      <c r="ASG228" s="18"/>
      <c r="ASH228" s="18"/>
      <c r="ASI228" s="18"/>
      <c r="ASJ228" s="18"/>
      <c r="ASK228" s="18"/>
      <c r="ASL228" s="18"/>
      <c r="ASM228" s="18"/>
      <c r="ASN228" s="18"/>
      <c r="ASO228" s="18"/>
      <c r="ASP228" s="18"/>
      <c r="ASQ228" s="18"/>
      <c r="ASR228" s="18"/>
      <c r="ASS228" s="18"/>
      <c r="AST228" s="18"/>
      <c r="ASU228" s="18"/>
      <c r="ASV228" s="18"/>
      <c r="ASW228" s="18"/>
      <c r="ASX228" s="18"/>
      <c r="ASY228" s="18"/>
      <c r="ASZ228" s="18"/>
      <c r="ATA228" s="18"/>
      <c r="ATB228" s="18"/>
      <c r="ATC228" s="18"/>
      <c r="ATD228" s="18"/>
      <c r="ATE228" s="18"/>
      <c r="ATF228" s="18"/>
      <c r="ATG228" s="18"/>
      <c r="ATH228" s="18"/>
      <c r="ATI228" s="18"/>
      <c r="ATJ228" s="18"/>
      <c r="ATK228" s="18"/>
      <c r="ATL228" s="18"/>
      <c r="ATM228" s="18"/>
      <c r="ATN228" s="18"/>
      <c r="ATO228" s="18"/>
      <c r="ATP228" s="18"/>
      <c r="ATQ228" s="18"/>
      <c r="ATR228" s="18"/>
      <c r="ATS228" s="18"/>
      <c r="ATT228" s="18"/>
      <c r="ATU228" s="18"/>
      <c r="ATV228" s="18"/>
      <c r="ATW228" s="18"/>
      <c r="ATX228" s="18"/>
      <c r="ATY228" s="18"/>
      <c r="ATZ228" s="18"/>
      <c r="AUA228" s="18"/>
      <c r="AUB228" s="18"/>
      <c r="AUC228" s="18"/>
      <c r="AUD228" s="18"/>
      <c r="AUE228" s="18"/>
      <c r="AUF228" s="18"/>
      <c r="AUG228" s="18"/>
      <c r="AUH228" s="18"/>
      <c r="AUI228" s="18"/>
      <c r="AUJ228" s="18"/>
      <c r="AUK228" s="18"/>
      <c r="AUL228" s="18"/>
      <c r="AUM228" s="18"/>
      <c r="AUN228" s="18"/>
      <c r="AUO228" s="18"/>
      <c r="AUP228" s="18"/>
      <c r="AUQ228" s="18"/>
      <c r="AUR228" s="18"/>
      <c r="AUS228" s="18"/>
      <c r="AUT228" s="18"/>
      <c r="AUU228" s="18"/>
      <c r="AUV228" s="18"/>
      <c r="AUW228" s="18"/>
      <c r="AUX228" s="18"/>
      <c r="AUY228" s="18"/>
      <c r="AUZ228" s="18"/>
      <c r="AVA228" s="18"/>
      <c r="AVB228" s="18"/>
      <c r="AVC228" s="18"/>
      <c r="AVD228" s="18"/>
      <c r="AVE228" s="18"/>
      <c r="AVF228" s="18"/>
      <c r="AVG228" s="18"/>
      <c r="AVH228" s="18"/>
      <c r="AVI228" s="18"/>
      <c r="AVJ228" s="18"/>
      <c r="AVK228" s="18"/>
      <c r="AVL228" s="18"/>
      <c r="AVM228" s="18"/>
      <c r="AVN228" s="18"/>
      <c r="AVO228" s="18"/>
      <c r="AVP228" s="18"/>
      <c r="AVQ228" s="18"/>
      <c r="AVR228" s="18"/>
      <c r="AVS228" s="18"/>
      <c r="AVT228" s="18"/>
      <c r="AVU228" s="18"/>
      <c r="AVV228" s="18"/>
      <c r="AVW228" s="18"/>
      <c r="AVX228" s="18"/>
      <c r="AVY228" s="18"/>
      <c r="AVZ228" s="18"/>
      <c r="AWA228" s="18"/>
      <c r="AWB228" s="18"/>
      <c r="AWC228" s="18"/>
      <c r="AWD228" s="18"/>
      <c r="AWE228" s="18"/>
      <c r="AWF228" s="18"/>
      <c r="AWG228" s="18"/>
      <c r="AWH228" s="18"/>
      <c r="AWI228" s="18"/>
      <c r="AWJ228" s="18"/>
      <c r="AWK228" s="18"/>
      <c r="AWL228" s="18"/>
      <c r="AWM228" s="18"/>
      <c r="AWN228" s="18"/>
      <c r="AWO228" s="18"/>
      <c r="AWP228" s="18"/>
      <c r="AWQ228" s="18"/>
      <c r="AWR228" s="18"/>
      <c r="AWS228" s="18"/>
      <c r="AWT228" s="18"/>
      <c r="AWU228" s="18"/>
      <c r="AWV228" s="18"/>
      <c r="AWW228" s="18"/>
      <c r="AWX228" s="18"/>
      <c r="AWY228" s="18"/>
      <c r="AWZ228" s="18"/>
      <c r="AXA228" s="18"/>
      <c r="AXB228" s="18"/>
      <c r="AXC228" s="18"/>
      <c r="AXD228" s="18"/>
      <c r="AXE228" s="18"/>
      <c r="AXF228" s="18"/>
      <c r="AXG228" s="18"/>
      <c r="AXH228" s="18"/>
      <c r="AXI228" s="18"/>
      <c r="AXJ228" s="18"/>
      <c r="AXK228" s="18"/>
      <c r="AXL228" s="18"/>
      <c r="AXM228" s="18"/>
      <c r="AXN228" s="18"/>
      <c r="AXO228" s="18"/>
      <c r="AXP228" s="18"/>
      <c r="AXQ228" s="18"/>
      <c r="AXR228" s="18"/>
      <c r="AXS228" s="18"/>
      <c r="AXT228" s="18"/>
      <c r="AXU228" s="18"/>
      <c r="AXV228" s="18"/>
      <c r="AXW228" s="18"/>
      <c r="AXX228" s="18"/>
      <c r="AXY228" s="18"/>
      <c r="AXZ228" s="18"/>
      <c r="AYA228" s="18"/>
      <c r="AYB228" s="18"/>
      <c r="AYC228" s="18"/>
      <c r="AYD228" s="18"/>
      <c r="AYE228" s="18"/>
      <c r="AYF228" s="18"/>
      <c r="AYG228" s="18"/>
      <c r="AYH228" s="18"/>
      <c r="AYI228" s="18"/>
      <c r="AYJ228" s="18"/>
      <c r="AYK228" s="18"/>
      <c r="AYL228" s="18"/>
      <c r="AYM228" s="18"/>
      <c r="AYN228" s="18"/>
      <c r="AYO228" s="18"/>
      <c r="AYP228" s="18"/>
      <c r="AYQ228" s="18"/>
      <c r="AYR228" s="18"/>
      <c r="AYS228" s="18"/>
      <c r="AYT228" s="18"/>
      <c r="AYU228" s="18"/>
      <c r="AYV228" s="18"/>
      <c r="AYW228" s="18"/>
      <c r="AYX228" s="18"/>
      <c r="AYY228" s="18"/>
      <c r="AYZ228" s="18"/>
      <c r="AZA228" s="18"/>
      <c r="AZB228" s="18"/>
      <c r="AZC228" s="18"/>
      <c r="AZD228" s="18"/>
      <c r="AZE228" s="18"/>
      <c r="AZF228" s="18"/>
      <c r="AZG228" s="18"/>
      <c r="AZH228" s="18"/>
      <c r="AZI228" s="18"/>
      <c r="AZJ228" s="18"/>
      <c r="AZK228" s="18"/>
      <c r="AZL228" s="18"/>
      <c r="AZM228" s="18"/>
      <c r="AZN228" s="18"/>
      <c r="AZO228" s="18"/>
      <c r="AZP228" s="18"/>
      <c r="AZQ228" s="18"/>
      <c r="AZR228" s="18"/>
      <c r="AZS228" s="18"/>
      <c r="AZT228" s="18"/>
      <c r="AZU228" s="18"/>
      <c r="AZV228" s="18"/>
      <c r="AZW228" s="18"/>
      <c r="AZX228" s="18"/>
      <c r="AZY228" s="18"/>
      <c r="AZZ228" s="18"/>
      <c r="BAA228" s="18"/>
      <c r="BAB228" s="18"/>
      <c r="BAC228" s="18"/>
      <c r="BAD228" s="18"/>
      <c r="BAE228" s="18"/>
      <c r="BAF228" s="18"/>
      <c r="BAG228" s="18"/>
      <c r="BAH228" s="18"/>
      <c r="BAI228" s="18"/>
      <c r="BAJ228" s="18"/>
      <c r="BAK228" s="18"/>
      <c r="BAL228" s="18"/>
      <c r="BAM228" s="18"/>
      <c r="BAN228" s="18"/>
      <c r="BAO228" s="18"/>
      <c r="BAP228" s="18"/>
      <c r="BAQ228" s="18"/>
      <c r="BAR228" s="18"/>
      <c r="BAS228" s="18"/>
      <c r="BAT228" s="18"/>
      <c r="BAU228" s="18"/>
      <c r="BAV228" s="18"/>
      <c r="BAW228" s="18"/>
      <c r="BAX228" s="18"/>
      <c r="BAY228" s="18"/>
      <c r="BAZ228" s="18"/>
      <c r="BBA228" s="18"/>
      <c r="BBB228" s="18"/>
      <c r="BBC228" s="18"/>
      <c r="BBD228" s="18"/>
      <c r="BBE228" s="18"/>
      <c r="BBF228" s="18"/>
      <c r="BBG228" s="18"/>
      <c r="BBH228" s="18"/>
      <c r="BBI228" s="18"/>
      <c r="BBJ228" s="18"/>
      <c r="BBK228" s="18"/>
      <c r="BBL228" s="18"/>
      <c r="BBM228" s="18"/>
      <c r="BBN228" s="18"/>
      <c r="BBO228" s="18"/>
      <c r="BBP228" s="18"/>
      <c r="BBQ228" s="18"/>
      <c r="BBR228" s="18"/>
      <c r="BBS228" s="18"/>
      <c r="BBT228" s="18"/>
      <c r="BBU228" s="18"/>
      <c r="BBV228" s="18"/>
      <c r="BBW228" s="18"/>
      <c r="BBX228" s="18"/>
      <c r="BBY228" s="18"/>
      <c r="BBZ228" s="18"/>
      <c r="BCA228" s="18"/>
      <c r="BCB228" s="18"/>
      <c r="BCC228" s="18"/>
      <c r="BCD228" s="18"/>
      <c r="BCE228" s="18"/>
      <c r="BCF228" s="18"/>
      <c r="BCG228" s="18"/>
      <c r="BCH228" s="18"/>
      <c r="BCI228" s="18"/>
      <c r="BCJ228" s="18"/>
      <c r="BCK228" s="18"/>
      <c r="BCL228" s="18"/>
      <c r="BCM228" s="18"/>
      <c r="BCN228" s="18"/>
      <c r="BCO228" s="18"/>
      <c r="BCP228" s="18"/>
      <c r="BCQ228" s="18"/>
      <c r="BCR228" s="18"/>
      <c r="BCS228" s="18"/>
      <c r="BCT228" s="18"/>
      <c r="BCU228" s="18"/>
      <c r="BCV228" s="18"/>
      <c r="BCW228" s="18"/>
      <c r="BCX228" s="18"/>
      <c r="BCY228" s="18"/>
      <c r="BCZ228" s="18"/>
      <c r="BDA228" s="18"/>
      <c r="BDB228" s="18"/>
      <c r="BDC228" s="18"/>
      <c r="BDD228" s="18"/>
      <c r="BDE228" s="18"/>
      <c r="BDF228" s="18"/>
      <c r="BDG228" s="18"/>
      <c r="BDH228" s="18"/>
      <c r="BDI228" s="18"/>
      <c r="BDJ228" s="18"/>
      <c r="BDK228" s="18"/>
      <c r="BDL228" s="18"/>
      <c r="BDM228" s="18"/>
      <c r="BDN228" s="18"/>
      <c r="BDO228" s="18"/>
      <c r="BDP228" s="18"/>
      <c r="BDQ228" s="18"/>
      <c r="BDR228" s="18"/>
      <c r="BDS228" s="18"/>
      <c r="BDT228" s="18"/>
      <c r="BDU228" s="18"/>
      <c r="BDV228" s="18"/>
      <c r="BDW228" s="18"/>
      <c r="BDX228" s="18"/>
      <c r="BDY228" s="18"/>
      <c r="BDZ228" s="18"/>
      <c r="BEA228" s="18"/>
      <c r="BEB228" s="18"/>
      <c r="BEC228" s="18"/>
      <c r="BED228" s="18"/>
      <c r="BEE228" s="18"/>
      <c r="BEF228" s="18"/>
      <c r="BEG228" s="18"/>
      <c r="BEH228" s="18"/>
      <c r="BEI228" s="18"/>
      <c r="BEJ228" s="18"/>
      <c r="BEK228" s="18"/>
      <c r="BEL228" s="18"/>
      <c r="BEM228" s="18"/>
      <c r="BEN228" s="18"/>
      <c r="BEO228" s="18"/>
      <c r="BEP228" s="18"/>
      <c r="BEQ228" s="18"/>
      <c r="BER228" s="18"/>
      <c r="BES228" s="18"/>
      <c r="BET228" s="18"/>
      <c r="BEU228" s="18"/>
      <c r="BEV228" s="18"/>
      <c r="BEW228" s="18"/>
      <c r="BEX228" s="18"/>
      <c r="BEY228" s="18"/>
      <c r="BEZ228" s="18"/>
      <c r="BFA228" s="18"/>
      <c r="BFB228" s="18"/>
      <c r="BFC228" s="18"/>
      <c r="BFD228" s="18"/>
      <c r="BFE228" s="18"/>
      <c r="BFF228" s="18"/>
      <c r="BFG228" s="18"/>
      <c r="BFH228" s="18"/>
      <c r="BFI228" s="18"/>
      <c r="BFJ228" s="18"/>
      <c r="BFK228" s="18"/>
      <c r="BFL228" s="18"/>
      <c r="BFM228" s="18"/>
      <c r="BFN228" s="18"/>
      <c r="BFO228" s="18"/>
      <c r="BFP228" s="18"/>
      <c r="BFQ228" s="18"/>
      <c r="BFR228" s="18"/>
      <c r="BFS228" s="18"/>
      <c r="BFT228" s="18"/>
      <c r="BFU228" s="18"/>
      <c r="BFV228" s="18"/>
      <c r="BFW228" s="18"/>
      <c r="BFX228" s="18"/>
      <c r="BFY228" s="18"/>
      <c r="BFZ228" s="18"/>
      <c r="BGA228" s="18"/>
      <c r="BGB228" s="18"/>
      <c r="BGC228" s="18"/>
      <c r="BGD228" s="18"/>
      <c r="BGE228" s="18"/>
      <c r="BGF228" s="18"/>
      <c r="BGG228" s="18"/>
      <c r="BGH228" s="18"/>
      <c r="BGI228" s="18"/>
      <c r="BGJ228" s="18"/>
      <c r="BGK228" s="18"/>
      <c r="BGL228" s="18"/>
      <c r="BGM228" s="18"/>
      <c r="BGN228" s="18"/>
      <c r="BGO228" s="18"/>
      <c r="BGP228" s="18"/>
      <c r="BGQ228" s="18"/>
      <c r="BGR228" s="18"/>
      <c r="BGS228" s="18"/>
      <c r="BGT228" s="18"/>
      <c r="BGU228" s="18"/>
      <c r="BGV228" s="18"/>
      <c r="BGW228" s="18"/>
      <c r="BGX228" s="18"/>
      <c r="BGY228" s="18"/>
      <c r="BGZ228" s="18"/>
      <c r="BHA228" s="18"/>
      <c r="BHB228" s="18"/>
      <c r="BHC228" s="18"/>
      <c r="BHD228" s="18"/>
      <c r="BHE228" s="18"/>
      <c r="BHF228" s="18"/>
      <c r="BHG228" s="18"/>
      <c r="BHH228" s="18"/>
      <c r="BHI228" s="18"/>
      <c r="BHJ228" s="18"/>
      <c r="BHK228" s="18"/>
      <c r="BHL228" s="18"/>
      <c r="BHM228" s="18"/>
      <c r="BHN228" s="18"/>
      <c r="BHO228" s="18"/>
      <c r="BHP228" s="18"/>
      <c r="BHQ228" s="18"/>
      <c r="BHR228" s="18"/>
      <c r="BHS228" s="18"/>
      <c r="BHT228" s="18"/>
      <c r="BHU228" s="18"/>
      <c r="BHV228" s="18"/>
      <c r="BHW228" s="18"/>
      <c r="BHX228" s="18"/>
      <c r="BHY228" s="18"/>
      <c r="BHZ228" s="18"/>
      <c r="BIA228" s="18"/>
      <c r="BIB228" s="18"/>
      <c r="BIC228" s="18"/>
      <c r="BID228" s="18"/>
      <c r="BIE228" s="18"/>
      <c r="BIF228" s="18"/>
      <c r="BIG228" s="18"/>
      <c r="BIH228" s="18"/>
      <c r="BII228" s="18"/>
      <c r="BIJ228" s="18"/>
      <c r="BIK228" s="18"/>
      <c r="BIL228" s="18"/>
      <c r="BIM228" s="18"/>
      <c r="BIN228" s="18"/>
      <c r="BIO228" s="18"/>
      <c r="BIP228" s="18"/>
      <c r="BIQ228" s="18"/>
      <c r="BIR228" s="18"/>
      <c r="BIS228" s="18"/>
      <c r="BIT228" s="18"/>
      <c r="BIU228" s="18"/>
      <c r="BIV228" s="18"/>
      <c r="BIW228" s="18"/>
      <c r="BIX228" s="18"/>
      <c r="BIY228" s="18"/>
      <c r="BIZ228" s="18"/>
      <c r="BJA228" s="18"/>
      <c r="BJB228" s="18"/>
      <c r="BJC228" s="18"/>
      <c r="BJD228" s="18"/>
      <c r="BJE228" s="18"/>
      <c r="BJF228" s="18"/>
      <c r="BJG228" s="18"/>
      <c r="BJH228" s="18"/>
      <c r="BJI228" s="18"/>
      <c r="BJJ228" s="18"/>
      <c r="BJK228" s="18"/>
      <c r="BJL228" s="18"/>
      <c r="BJM228" s="18"/>
      <c r="BJN228" s="18"/>
      <c r="BJO228" s="18"/>
      <c r="BJP228" s="18"/>
      <c r="BJQ228" s="18"/>
      <c r="BJR228" s="18"/>
      <c r="BJS228" s="18"/>
      <c r="BJT228" s="18"/>
      <c r="BJU228" s="18"/>
      <c r="BJV228" s="18"/>
      <c r="BJW228" s="18"/>
      <c r="BJX228" s="18"/>
      <c r="BJY228" s="18"/>
      <c r="BJZ228" s="18"/>
      <c r="BKA228" s="18"/>
      <c r="BKB228" s="18"/>
      <c r="BKC228" s="18"/>
      <c r="BKD228" s="18"/>
      <c r="BKE228" s="18"/>
      <c r="BKF228" s="18"/>
      <c r="BKG228" s="18"/>
      <c r="BKH228" s="18"/>
      <c r="BKI228" s="18"/>
      <c r="BKJ228" s="18"/>
      <c r="BKK228" s="18"/>
      <c r="BKL228" s="18"/>
      <c r="BKM228" s="18"/>
      <c r="BKN228" s="18"/>
      <c r="BKO228" s="18"/>
      <c r="BKP228" s="18"/>
      <c r="BKQ228" s="18"/>
      <c r="BKR228" s="18"/>
      <c r="BKS228" s="18"/>
      <c r="BKT228" s="18"/>
      <c r="BKU228" s="18"/>
      <c r="BKV228" s="18"/>
      <c r="BKW228" s="18"/>
      <c r="BKX228" s="18"/>
      <c r="BKY228" s="18"/>
      <c r="BKZ228" s="18"/>
      <c r="BLA228" s="18"/>
      <c r="BLB228" s="18"/>
      <c r="BLC228" s="18"/>
      <c r="BLD228" s="18"/>
      <c r="BLE228" s="18"/>
      <c r="BLF228" s="18"/>
      <c r="BLG228" s="18"/>
      <c r="BLH228" s="18"/>
      <c r="BLI228" s="18"/>
      <c r="BLJ228" s="18"/>
      <c r="BLK228" s="18"/>
      <c r="BLL228" s="18"/>
      <c r="BLM228" s="18"/>
      <c r="BLN228" s="18"/>
      <c r="BLO228" s="18"/>
      <c r="BLP228" s="18"/>
      <c r="BLQ228" s="18"/>
      <c r="BLR228" s="18"/>
      <c r="BLS228" s="18"/>
      <c r="BLT228" s="18"/>
      <c r="BLU228" s="18"/>
      <c r="BLV228" s="18"/>
      <c r="BLW228" s="18"/>
      <c r="BLX228" s="18"/>
      <c r="BLY228" s="18"/>
      <c r="BLZ228" s="18"/>
      <c r="BMA228" s="18"/>
      <c r="BMB228" s="18"/>
      <c r="BMC228" s="18"/>
      <c r="BMD228" s="18"/>
      <c r="BME228" s="18"/>
      <c r="BMF228" s="18"/>
      <c r="BMG228" s="18"/>
      <c r="BMH228" s="18"/>
      <c r="BMI228" s="18"/>
      <c r="BMJ228" s="18"/>
      <c r="BMK228" s="18"/>
      <c r="BML228" s="18"/>
      <c r="BMM228" s="18"/>
      <c r="BMN228" s="18"/>
      <c r="BMO228" s="18"/>
      <c r="BMP228" s="18"/>
      <c r="BMQ228" s="18"/>
      <c r="BMR228" s="18"/>
      <c r="BMS228" s="18"/>
      <c r="BMT228" s="18"/>
      <c r="BMU228" s="18"/>
      <c r="BMV228" s="18"/>
      <c r="BMW228" s="18"/>
      <c r="BMX228" s="18"/>
      <c r="BMY228" s="18"/>
      <c r="BMZ228" s="18"/>
      <c r="BNA228" s="18"/>
      <c r="BNB228" s="18"/>
      <c r="BNC228" s="18"/>
      <c r="BND228" s="18"/>
      <c r="BNE228" s="18"/>
      <c r="BNF228" s="18"/>
      <c r="BNG228" s="18"/>
      <c r="BNH228" s="18"/>
      <c r="BNI228" s="18"/>
      <c r="BNJ228" s="18"/>
      <c r="BNK228" s="18"/>
      <c r="BNL228" s="18"/>
      <c r="BNM228" s="18"/>
      <c r="BNN228" s="18"/>
      <c r="BNO228" s="18"/>
      <c r="BNP228" s="18"/>
      <c r="BNQ228" s="18"/>
      <c r="BNR228" s="18"/>
      <c r="BNS228" s="18"/>
      <c r="BNT228" s="18"/>
      <c r="BNU228" s="18"/>
      <c r="BNV228" s="18"/>
      <c r="BNW228" s="18"/>
      <c r="BNX228" s="18"/>
      <c r="BNY228" s="18"/>
      <c r="BNZ228" s="18"/>
      <c r="BOA228" s="18"/>
      <c r="BOB228" s="18"/>
      <c r="BOC228" s="18"/>
      <c r="BOD228" s="18"/>
      <c r="BOE228" s="18"/>
      <c r="BOF228" s="18"/>
      <c r="BOG228" s="18"/>
      <c r="BOH228" s="18"/>
      <c r="BOI228" s="18"/>
      <c r="BOJ228" s="18"/>
      <c r="BOK228" s="18"/>
      <c r="BOL228" s="18"/>
      <c r="BOM228" s="18"/>
      <c r="BON228" s="18"/>
      <c r="BOO228" s="18"/>
      <c r="BOP228" s="18"/>
      <c r="BOQ228" s="18"/>
      <c r="BOR228" s="18"/>
      <c r="BOS228" s="18"/>
      <c r="BOT228" s="18"/>
      <c r="BOU228" s="18"/>
      <c r="BOV228" s="18"/>
      <c r="BOW228" s="18"/>
      <c r="BOX228" s="18"/>
      <c r="BOY228" s="18"/>
      <c r="BOZ228" s="18"/>
      <c r="BPA228" s="18"/>
      <c r="BPB228" s="18"/>
      <c r="BPC228" s="18"/>
      <c r="BPD228" s="18"/>
      <c r="BPE228" s="18"/>
      <c r="BPF228" s="18"/>
      <c r="BPG228" s="18"/>
      <c r="BPH228" s="18"/>
      <c r="BPI228" s="18"/>
      <c r="BPJ228" s="18"/>
      <c r="BPK228" s="18"/>
      <c r="BPL228" s="18"/>
      <c r="BPM228" s="18"/>
      <c r="BPN228" s="18"/>
      <c r="BPO228" s="18"/>
      <c r="BPP228" s="18"/>
      <c r="BPQ228" s="18"/>
      <c r="BPR228" s="18"/>
      <c r="BPS228" s="18"/>
      <c r="BPT228" s="18"/>
      <c r="BPU228" s="18"/>
      <c r="BPV228" s="18"/>
      <c r="BPW228" s="18"/>
      <c r="BPX228" s="18"/>
      <c r="BPY228" s="18"/>
      <c r="BPZ228" s="18"/>
      <c r="BQA228" s="18"/>
      <c r="BQB228" s="18"/>
      <c r="BQC228" s="18"/>
      <c r="BQD228" s="18"/>
      <c r="BQE228" s="18"/>
      <c r="BQF228" s="18"/>
      <c r="BQG228" s="18"/>
      <c r="BQH228" s="18"/>
      <c r="BQI228" s="18"/>
      <c r="BQJ228" s="18"/>
      <c r="BQK228" s="18"/>
      <c r="BQL228" s="18"/>
      <c r="BQM228" s="18"/>
      <c r="BQN228" s="18"/>
      <c r="BQO228" s="18"/>
      <c r="BQP228" s="18"/>
      <c r="BQQ228" s="18"/>
      <c r="BQR228" s="18"/>
      <c r="BQS228" s="18"/>
      <c r="BQT228" s="18"/>
      <c r="BQU228" s="18"/>
      <c r="BQV228" s="18"/>
      <c r="BQW228" s="18"/>
      <c r="BQX228" s="18"/>
      <c r="BQY228" s="18"/>
      <c r="BQZ228" s="18"/>
      <c r="BRA228" s="18"/>
      <c r="BRB228" s="18"/>
      <c r="BRC228" s="18"/>
      <c r="BRD228" s="18"/>
      <c r="BRE228" s="18"/>
      <c r="BRF228" s="18"/>
      <c r="BRG228" s="18"/>
      <c r="BRH228" s="18"/>
      <c r="BRI228" s="18"/>
      <c r="BRJ228" s="18"/>
      <c r="BRK228" s="18"/>
      <c r="BRL228" s="18"/>
      <c r="BRM228" s="18"/>
      <c r="BRN228" s="18"/>
      <c r="BRO228" s="18"/>
      <c r="BRP228" s="18"/>
      <c r="BRQ228" s="18"/>
      <c r="BRR228" s="18"/>
      <c r="BRS228" s="18"/>
      <c r="BRT228" s="18"/>
      <c r="BRU228" s="18"/>
      <c r="BRV228" s="18"/>
      <c r="BRW228" s="18"/>
      <c r="BRX228" s="18"/>
      <c r="BRY228" s="18"/>
      <c r="BRZ228" s="18"/>
      <c r="BSA228" s="18"/>
      <c r="BSB228" s="18"/>
      <c r="BSC228" s="18"/>
      <c r="BSD228" s="18"/>
      <c r="BSE228" s="18"/>
      <c r="BSF228" s="18"/>
      <c r="BSG228" s="18"/>
      <c r="BSH228" s="18"/>
      <c r="BSI228" s="18"/>
      <c r="BSJ228" s="18"/>
      <c r="BSK228" s="18"/>
      <c r="BSL228" s="18"/>
      <c r="BSM228" s="18"/>
      <c r="BSN228" s="18"/>
      <c r="BSO228" s="18"/>
      <c r="BSP228" s="18"/>
      <c r="BSQ228" s="18"/>
      <c r="BSR228" s="18"/>
      <c r="BSS228" s="18"/>
      <c r="BST228" s="18"/>
      <c r="BSU228" s="18"/>
      <c r="BSV228" s="18"/>
      <c r="BSW228" s="18"/>
      <c r="BSX228" s="18"/>
      <c r="BSY228" s="18"/>
      <c r="BSZ228" s="18"/>
      <c r="BTA228" s="18"/>
      <c r="BTB228" s="18"/>
      <c r="BTC228" s="18"/>
      <c r="BTD228" s="18"/>
      <c r="BTE228" s="18"/>
      <c r="BTF228" s="18"/>
      <c r="BTG228" s="18"/>
      <c r="BTH228" s="18"/>
      <c r="BTI228" s="18"/>
    </row>
    <row r="229" spans="1:1881" s="426" customFormat="1" ht="90" customHeight="1" x14ac:dyDescent="0.3">
      <c r="A229" s="100">
        <v>619</v>
      </c>
      <c r="B229" s="373" t="s">
        <v>58</v>
      </c>
      <c r="C229" s="373" t="s">
        <v>347</v>
      </c>
      <c r="D229" s="87" t="s">
        <v>350</v>
      </c>
      <c r="E229" s="371" t="e">
        <f>INDEX('PY1 Data(H)'!$A$1:$CZ$265,MATCH('Unit Data from Audit Worksheet'!$A229,'PY1 Data(H)'!$A$1:$A$258,0),MATCH('Unit Data from Audit Worksheet'!$D$2,'PY1 Data(H)'!$A$1:$CZ$1,0))</f>
        <v>#N/A</v>
      </c>
      <c r="F229" s="797">
        <v>0</v>
      </c>
      <c r="G229" s="430" t="str">
        <f>IF(ISBLANK(F229),"Please do not leave blank ",IF(F229=H229,"","Please review percentage"))</f>
        <v/>
      </c>
      <c r="H229" s="987">
        <f>ROUND(IFERROR((F228/F227)*100,0),1)</f>
        <v>0</v>
      </c>
      <c r="I229" s="324"/>
      <c r="J229" s="186"/>
      <c r="K229"/>
      <c r="L229" s="547"/>
      <c r="M229"/>
      <c r="N229" s="18"/>
      <c r="O229" s="186"/>
      <c r="P229" s="18"/>
      <c r="Q229" s="18"/>
      <c r="R229" s="18"/>
      <c r="S229" s="18"/>
      <c r="T229" s="18"/>
      <c r="U229" s="18"/>
      <c r="V229" s="18"/>
      <c r="W229" s="18"/>
      <c r="X229" s="18"/>
      <c r="Y229" s="18"/>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c r="FF229" s="18"/>
      <c r="FG229" s="18"/>
      <c r="FH229" s="18"/>
      <c r="FI229" s="18"/>
      <c r="FJ229" s="18"/>
      <c r="FK229" s="18"/>
      <c r="FL229" s="18"/>
      <c r="FM229" s="18"/>
      <c r="FN229" s="18"/>
      <c r="FO229" s="18"/>
      <c r="FP229" s="18"/>
      <c r="FQ229" s="18"/>
      <c r="FR229" s="18"/>
      <c r="FS229" s="18"/>
      <c r="FT229" s="18"/>
      <c r="FU229" s="18"/>
      <c r="FV229" s="18"/>
      <c r="FW229" s="18"/>
      <c r="FX229" s="18"/>
      <c r="FY229" s="18"/>
      <c r="FZ229" s="18"/>
      <c r="GA229" s="18"/>
      <c r="GB229" s="18"/>
      <c r="GC229" s="18"/>
      <c r="GD229" s="18"/>
      <c r="GE229" s="18"/>
      <c r="GF229" s="18"/>
      <c r="GG229" s="18"/>
      <c r="GH229" s="18"/>
      <c r="GI229" s="18"/>
      <c r="GJ229" s="18"/>
      <c r="GK229" s="18"/>
      <c r="GL229" s="18"/>
      <c r="GM229" s="18"/>
      <c r="GN229" s="18"/>
      <c r="GO229" s="18"/>
      <c r="GP229" s="18"/>
      <c r="GQ229" s="18"/>
      <c r="GR229" s="18"/>
      <c r="GS229" s="18"/>
      <c r="GT229" s="18"/>
      <c r="GU229" s="18"/>
      <c r="GV229" s="18"/>
      <c r="GW229" s="18"/>
      <c r="GX229" s="18"/>
      <c r="GY229" s="18"/>
      <c r="GZ229" s="18"/>
      <c r="HA229" s="18"/>
      <c r="HB229" s="18"/>
      <c r="HC229" s="18"/>
      <c r="HD229" s="18"/>
      <c r="HE229" s="18"/>
      <c r="HF229" s="18"/>
      <c r="HG229" s="18"/>
      <c r="HH229" s="18"/>
      <c r="HI229" s="18"/>
      <c r="HJ229" s="18"/>
      <c r="HK229" s="18"/>
      <c r="HL229" s="18"/>
      <c r="HM229" s="18"/>
      <c r="HN229" s="18"/>
      <c r="HO229" s="18"/>
      <c r="HP229" s="18"/>
      <c r="HQ229" s="18"/>
      <c r="HR229" s="18"/>
      <c r="HS229" s="18"/>
      <c r="HT229" s="18"/>
      <c r="HU229" s="18"/>
      <c r="HV229" s="18"/>
      <c r="HW229" s="18"/>
      <c r="HX229" s="18"/>
      <c r="HY229" s="18"/>
      <c r="HZ229" s="18"/>
      <c r="IA229" s="18"/>
      <c r="IB229" s="18"/>
      <c r="IC229" s="18"/>
      <c r="ID229" s="18"/>
      <c r="IE229" s="18"/>
      <c r="IF229" s="18"/>
      <c r="IG229" s="18"/>
      <c r="IH229" s="18"/>
      <c r="II229" s="18"/>
      <c r="IJ229" s="18"/>
      <c r="IK229" s="18"/>
      <c r="IL229" s="18"/>
      <c r="IM229" s="18"/>
      <c r="IN229" s="18"/>
      <c r="IO229" s="18"/>
      <c r="IP229" s="18"/>
      <c r="IQ229" s="18"/>
      <c r="IR229" s="18"/>
      <c r="IS229" s="18"/>
      <c r="IT229" s="18"/>
      <c r="IU229" s="18"/>
      <c r="IV229" s="18"/>
      <c r="IW229" s="18"/>
      <c r="IX229" s="18"/>
      <c r="IY229" s="18"/>
      <c r="IZ229" s="18"/>
      <c r="JA229" s="18"/>
      <c r="JB229" s="18"/>
      <c r="JC229" s="18"/>
      <c r="JD229" s="18"/>
      <c r="JE229" s="18"/>
      <c r="JF229" s="18"/>
      <c r="JG229" s="18"/>
      <c r="JH229" s="18"/>
      <c r="JI229" s="18"/>
      <c r="JJ229" s="18"/>
      <c r="JK229" s="18"/>
      <c r="JL229" s="18"/>
      <c r="JM229" s="18"/>
      <c r="JN229" s="18"/>
      <c r="JO229" s="18"/>
      <c r="JP229" s="18"/>
      <c r="JQ229" s="18"/>
      <c r="JR229" s="18"/>
      <c r="JS229" s="18"/>
      <c r="JT229" s="18"/>
      <c r="JU229" s="18"/>
      <c r="JV229" s="18"/>
      <c r="JW229" s="18"/>
      <c r="JX229" s="18"/>
      <c r="JY229" s="18"/>
      <c r="JZ229" s="18"/>
      <c r="KA229" s="18"/>
      <c r="KB229" s="18"/>
      <c r="KC229" s="18"/>
      <c r="KD229" s="18"/>
      <c r="KE229" s="18"/>
      <c r="KF229" s="18"/>
      <c r="KG229" s="18"/>
      <c r="KH229" s="18"/>
      <c r="KI229" s="18"/>
      <c r="KJ229" s="18"/>
      <c r="KK229" s="18"/>
      <c r="KL229" s="18"/>
      <c r="KM229" s="18"/>
      <c r="KN229" s="18"/>
      <c r="KO229" s="18"/>
      <c r="KP229" s="18"/>
      <c r="KQ229" s="18"/>
      <c r="KR229" s="18"/>
      <c r="KS229" s="18"/>
      <c r="KT229" s="18"/>
      <c r="KU229" s="18"/>
      <c r="KV229" s="18"/>
      <c r="KW229" s="18"/>
      <c r="KX229" s="18"/>
      <c r="KY229" s="18"/>
      <c r="KZ229" s="18"/>
      <c r="LA229" s="18"/>
      <c r="LB229" s="18"/>
      <c r="LC229" s="18"/>
      <c r="LD229" s="18"/>
      <c r="LE229" s="18"/>
      <c r="LF229" s="18"/>
      <c r="LG229" s="18"/>
      <c r="LH229" s="18"/>
      <c r="LI229" s="18"/>
      <c r="LJ229" s="18"/>
      <c r="LK229" s="18"/>
      <c r="LL229" s="18"/>
      <c r="LM229" s="18"/>
      <c r="LN229" s="18"/>
      <c r="LO229" s="18"/>
      <c r="LP229" s="18"/>
      <c r="LQ229" s="18"/>
      <c r="LR229" s="18"/>
      <c r="LS229" s="18"/>
      <c r="LT229" s="18"/>
      <c r="LU229" s="18"/>
      <c r="LV229" s="18"/>
      <c r="LW229" s="18"/>
      <c r="LX229" s="18"/>
      <c r="LY229" s="18"/>
      <c r="LZ229" s="18"/>
      <c r="MA229" s="18"/>
      <c r="MB229" s="18"/>
      <c r="MC229" s="18"/>
      <c r="MD229" s="18"/>
      <c r="ME229" s="18"/>
      <c r="MF229" s="18"/>
      <c r="MG229" s="18"/>
      <c r="MH229" s="18"/>
      <c r="MI229" s="18"/>
      <c r="MJ229" s="18"/>
      <c r="MK229" s="18"/>
      <c r="ML229" s="18"/>
      <c r="MM229" s="18"/>
      <c r="MN229" s="18"/>
      <c r="MO229" s="18"/>
      <c r="MP229" s="18"/>
      <c r="MQ229" s="18"/>
      <c r="MR229" s="18"/>
      <c r="MS229" s="18"/>
      <c r="MT229" s="18"/>
      <c r="MU229" s="18"/>
      <c r="MV229" s="18"/>
      <c r="MW229" s="18"/>
      <c r="MX229" s="18"/>
      <c r="MY229" s="18"/>
      <c r="MZ229" s="18"/>
      <c r="NA229" s="18"/>
      <c r="NB229" s="18"/>
      <c r="NC229" s="18"/>
      <c r="ND229" s="18"/>
      <c r="NE229" s="18"/>
      <c r="NF229" s="18"/>
      <c r="NG229" s="18"/>
      <c r="NH229" s="18"/>
      <c r="NI229" s="18"/>
      <c r="NJ229" s="18"/>
      <c r="NK229" s="18"/>
      <c r="NL229" s="18"/>
      <c r="NM229" s="18"/>
      <c r="NN229" s="18"/>
      <c r="NO229" s="18"/>
      <c r="NP229" s="18"/>
      <c r="NQ229" s="18"/>
      <c r="NR229" s="18"/>
      <c r="NS229" s="18"/>
      <c r="NT229" s="18"/>
      <c r="NU229" s="18"/>
      <c r="NV229" s="18"/>
      <c r="NW229" s="18"/>
      <c r="NX229" s="18"/>
      <c r="NY229" s="18"/>
      <c r="NZ229" s="18"/>
      <c r="OA229" s="18"/>
      <c r="OB229" s="18"/>
      <c r="OC229" s="18"/>
      <c r="OD229" s="18"/>
      <c r="OE229" s="18"/>
      <c r="OF229" s="18"/>
      <c r="OG229" s="18"/>
      <c r="OH229" s="18"/>
      <c r="OI229" s="18"/>
      <c r="OJ229" s="18"/>
      <c r="OK229" s="18"/>
      <c r="OL229" s="18"/>
      <c r="OM229" s="18"/>
      <c r="ON229" s="18"/>
      <c r="OO229" s="18"/>
      <c r="OP229" s="18"/>
      <c r="OQ229" s="18"/>
      <c r="OR229" s="18"/>
      <c r="OS229" s="18"/>
      <c r="OT229" s="18"/>
      <c r="OU229" s="18"/>
      <c r="OV229" s="18"/>
      <c r="OW229" s="18"/>
      <c r="OX229" s="18"/>
      <c r="OY229" s="18"/>
      <c r="OZ229" s="18"/>
      <c r="PA229" s="18"/>
      <c r="PB229" s="18"/>
      <c r="PC229" s="18"/>
      <c r="PD229" s="18"/>
      <c r="PE229" s="18"/>
      <c r="PF229" s="18"/>
      <c r="PG229" s="18"/>
      <c r="PH229" s="18"/>
      <c r="PI229" s="18"/>
      <c r="PJ229" s="18"/>
      <c r="PK229" s="18"/>
      <c r="PL229" s="18"/>
      <c r="PM229" s="18"/>
      <c r="PN229" s="18"/>
      <c r="PO229" s="18"/>
      <c r="PP229" s="18"/>
      <c r="PQ229" s="18"/>
      <c r="PR229" s="18"/>
      <c r="PS229" s="18"/>
      <c r="PT229" s="18"/>
      <c r="PU229" s="18"/>
      <c r="PV229" s="18"/>
      <c r="PW229" s="18"/>
      <c r="PX229" s="18"/>
      <c r="PY229" s="18"/>
      <c r="PZ229" s="18"/>
      <c r="QA229" s="18"/>
      <c r="QB229" s="18"/>
      <c r="QC229" s="18"/>
      <c r="QD229" s="18"/>
      <c r="QE229" s="18"/>
      <c r="QF229" s="18"/>
      <c r="QG229" s="18"/>
      <c r="QH229" s="18"/>
      <c r="QI229" s="18"/>
      <c r="QJ229" s="18"/>
      <c r="QK229" s="18"/>
      <c r="QL229" s="18"/>
      <c r="QM229" s="18"/>
      <c r="QN229" s="18"/>
      <c r="QO229" s="18"/>
      <c r="QP229" s="18"/>
      <c r="QQ229" s="18"/>
      <c r="QR229" s="18"/>
      <c r="QS229" s="18"/>
      <c r="QT229" s="18"/>
      <c r="QU229" s="18"/>
      <c r="QV229" s="18"/>
      <c r="QW229" s="18"/>
      <c r="QX229" s="18"/>
      <c r="QY229" s="18"/>
      <c r="QZ229" s="18"/>
      <c r="RA229" s="18"/>
      <c r="RB229" s="18"/>
      <c r="RC229" s="18"/>
      <c r="RD229" s="18"/>
      <c r="RE229" s="18"/>
      <c r="RF229" s="18"/>
      <c r="RG229" s="18"/>
      <c r="RH229" s="18"/>
      <c r="RI229" s="18"/>
      <c r="RJ229" s="18"/>
      <c r="RK229" s="18"/>
      <c r="RL229" s="18"/>
      <c r="RM229" s="18"/>
      <c r="RN229" s="18"/>
      <c r="RO229" s="18"/>
      <c r="RP229" s="18"/>
      <c r="RQ229" s="18"/>
      <c r="RR229" s="18"/>
      <c r="RS229" s="18"/>
      <c r="RT229" s="18"/>
      <c r="RU229" s="18"/>
      <c r="RV229" s="18"/>
      <c r="RW229" s="18"/>
      <c r="RX229" s="18"/>
      <c r="RY229" s="18"/>
      <c r="RZ229" s="18"/>
      <c r="SA229" s="18"/>
      <c r="SB229" s="18"/>
      <c r="SC229" s="18"/>
      <c r="SD229" s="18"/>
      <c r="SE229" s="18"/>
      <c r="SF229" s="18"/>
      <c r="SG229" s="18"/>
      <c r="SH229" s="18"/>
      <c r="SI229" s="18"/>
      <c r="SJ229" s="18"/>
      <c r="SK229" s="18"/>
      <c r="SL229" s="18"/>
      <c r="SM229" s="18"/>
      <c r="SN229" s="18"/>
      <c r="SO229" s="18"/>
      <c r="SP229" s="18"/>
      <c r="SQ229" s="18"/>
      <c r="SR229" s="18"/>
      <c r="SS229" s="18"/>
      <c r="ST229" s="18"/>
      <c r="SU229" s="18"/>
      <c r="SV229" s="18"/>
      <c r="SW229" s="18"/>
      <c r="SX229" s="18"/>
      <c r="SY229" s="18"/>
      <c r="SZ229" s="18"/>
      <c r="TA229" s="18"/>
      <c r="TB229" s="18"/>
      <c r="TC229" s="18"/>
      <c r="TD229" s="18"/>
      <c r="TE229" s="18"/>
      <c r="TF229" s="18"/>
      <c r="TG229" s="18"/>
      <c r="TH229" s="18"/>
      <c r="TI229" s="18"/>
      <c r="TJ229" s="18"/>
      <c r="TK229" s="18"/>
      <c r="TL229" s="18"/>
      <c r="TM229" s="18"/>
      <c r="TN229" s="18"/>
      <c r="TO229" s="18"/>
      <c r="TP229" s="18"/>
      <c r="TQ229" s="18"/>
      <c r="TR229" s="18"/>
      <c r="TS229" s="18"/>
      <c r="TT229" s="18"/>
      <c r="TU229" s="18"/>
      <c r="TV229" s="18"/>
      <c r="TW229" s="18"/>
      <c r="TX229" s="18"/>
      <c r="TY229" s="18"/>
      <c r="TZ229" s="18"/>
      <c r="UA229" s="18"/>
      <c r="UB229" s="18"/>
      <c r="UC229" s="18"/>
      <c r="UD229" s="18"/>
      <c r="UE229" s="18"/>
      <c r="UF229" s="18"/>
      <c r="UG229" s="18"/>
      <c r="UH229" s="18"/>
      <c r="UI229" s="18"/>
      <c r="UJ229" s="18"/>
      <c r="UK229" s="18"/>
      <c r="UL229" s="18"/>
      <c r="UM229" s="18"/>
      <c r="UN229" s="18"/>
      <c r="UO229" s="18"/>
      <c r="UP229" s="18"/>
      <c r="UQ229" s="18"/>
      <c r="UR229" s="18"/>
      <c r="US229" s="18"/>
      <c r="UT229" s="18"/>
      <c r="UU229" s="18"/>
      <c r="UV229" s="18"/>
      <c r="UW229" s="18"/>
      <c r="UX229" s="18"/>
      <c r="UY229" s="18"/>
      <c r="UZ229" s="18"/>
      <c r="VA229" s="18"/>
      <c r="VB229" s="18"/>
      <c r="VC229" s="18"/>
      <c r="VD229" s="18"/>
      <c r="VE229" s="18"/>
      <c r="VF229" s="18"/>
      <c r="VG229" s="18"/>
      <c r="VH229" s="18"/>
      <c r="VI229" s="18"/>
      <c r="VJ229" s="18"/>
      <c r="VK229" s="18"/>
      <c r="VL229" s="18"/>
      <c r="VM229" s="18"/>
      <c r="VN229" s="18"/>
      <c r="VO229" s="18"/>
      <c r="VP229" s="18"/>
      <c r="VQ229" s="18"/>
      <c r="VR229" s="18"/>
      <c r="VS229" s="18"/>
      <c r="VT229" s="18"/>
      <c r="VU229" s="18"/>
      <c r="VV229" s="18"/>
      <c r="VW229" s="18"/>
      <c r="VX229" s="18"/>
      <c r="VY229" s="18"/>
      <c r="VZ229" s="18"/>
      <c r="WA229" s="18"/>
      <c r="WB229" s="18"/>
      <c r="WC229" s="18"/>
      <c r="WD229" s="18"/>
      <c r="WE229" s="18"/>
      <c r="WF229" s="18"/>
      <c r="WG229" s="18"/>
      <c r="WH229" s="18"/>
      <c r="WI229" s="18"/>
      <c r="WJ229" s="18"/>
      <c r="WK229" s="18"/>
      <c r="WL229" s="18"/>
      <c r="WM229" s="18"/>
      <c r="WN229" s="18"/>
      <c r="WO229" s="18"/>
      <c r="WP229" s="18"/>
      <c r="WQ229" s="18"/>
      <c r="WR229" s="18"/>
      <c r="WS229" s="18"/>
      <c r="WT229" s="18"/>
      <c r="WU229" s="18"/>
      <c r="WV229" s="18"/>
      <c r="WW229" s="18"/>
      <c r="WX229" s="18"/>
      <c r="WY229" s="18"/>
      <c r="WZ229" s="18"/>
      <c r="XA229" s="18"/>
      <c r="XB229" s="18"/>
      <c r="XC229" s="18"/>
      <c r="XD229" s="18"/>
      <c r="XE229" s="18"/>
      <c r="XF229" s="18"/>
      <c r="XG229" s="18"/>
      <c r="XH229" s="18"/>
      <c r="XI229" s="18"/>
      <c r="XJ229" s="18"/>
      <c r="XK229" s="18"/>
      <c r="XL229" s="18"/>
      <c r="XM229" s="18"/>
      <c r="XN229" s="18"/>
      <c r="XO229" s="18"/>
      <c r="XP229" s="18"/>
      <c r="XQ229" s="18"/>
      <c r="XR229" s="18"/>
      <c r="XS229" s="18"/>
      <c r="XT229" s="18"/>
      <c r="XU229" s="18"/>
      <c r="XV229" s="18"/>
      <c r="XW229" s="18"/>
      <c r="XX229" s="18"/>
      <c r="XY229" s="18"/>
      <c r="XZ229" s="18"/>
      <c r="YA229" s="18"/>
      <c r="YB229" s="18"/>
      <c r="YC229" s="18"/>
      <c r="YD229" s="18"/>
      <c r="YE229" s="18"/>
      <c r="YF229" s="18"/>
      <c r="YG229" s="18"/>
      <c r="YH229" s="18"/>
      <c r="YI229" s="18"/>
      <c r="YJ229" s="18"/>
      <c r="YK229" s="18"/>
      <c r="YL229" s="18"/>
      <c r="YM229" s="18"/>
      <c r="YN229" s="18"/>
      <c r="YO229" s="18"/>
      <c r="YP229" s="18"/>
      <c r="YQ229" s="18"/>
      <c r="YR229" s="18"/>
      <c r="YS229" s="18"/>
      <c r="YT229" s="18"/>
      <c r="YU229" s="18"/>
      <c r="YV229" s="18"/>
      <c r="YW229" s="18"/>
      <c r="YX229" s="18"/>
      <c r="YY229" s="18"/>
      <c r="YZ229" s="18"/>
      <c r="ZA229" s="18"/>
      <c r="ZB229" s="18"/>
      <c r="ZC229" s="18"/>
      <c r="ZD229" s="18"/>
      <c r="ZE229" s="18"/>
      <c r="ZF229" s="18"/>
      <c r="ZG229" s="18"/>
      <c r="ZH229" s="18"/>
      <c r="ZI229" s="18"/>
      <c r="ZJ229" s="18"/>
      <c r="ZK229" s="18"/>
      <c r="ZL229" s="18"/>
      <c r="ZM229" s="18"/>
      <c r="ZN229" s="18"/>
      <c r="ZO229" s="18"/>
      <c r="ZP229" s="18"/>
      <c r="ZQ229" s="18"/>
      <c r="ZR229" s="18"/>
      <c r="ZS229" s="18"/>
      <c r="ZT229" s="18"/>
      <c r="ZU229" s="18"/>
      <c r="ZV229" s="18"/>
      <c r="ZW229" s="18"/>
      <c r="ZX229" s="18"/>
      <c r="ZY229" s="18"/>
      <c r="ZZ229" s="18"/>
      <c r="AAA229" s="18"/>
      <c r="AAB229" s="18"/>
      <c r="AAC229" s="18"/>
      <c r="AAD229" s="18"/>
      <c r="AAE229" s="18"/>
      <c r="AAF229" s="18"/>
      <c r="AAG229" s="18"/>
      <c r="AAH229" s="18"/>
      <c r="AAI229" s="18"/>
      <c r="AAJ229" s="18"/>
      <c r="AAK229" s="18"/>
      <c r="AAL229" s="18"/>
      <c r="AAM229" s="18"/>
      <c r="AAN229" s="18"/>
      <c r="AAO229" s="18"/>
      <c r="AAP229" s="18"/>
      <c r="AAQ229" s="18"/>
      <c r="AAR229" s="18"/>
      <c r="AAS229" s="18"/>
      <c r="AAT229" s="18"/>
      <c r="AAU229" s="18"/>
      <c r="AAV229" s="18"/>
      <c r="AAW229" s="18"/>
      <c r="AAX229" s="18"/>
      <c r="AAY229" s="18"/>
      <c r="AAZ229" s="18"/>
      <c r="ABA229" s="18"/>
      <c r="ABB229" s="18"/>
      <c r="ABC229" s="18"/>
      <c r="ABD229" s="18"/>
      <c r="ABE229" s="18"/>
      <c r="ABF229" s="18"/>
      <c r="ABG229" s="18"/>
      <c r="ABH229" s="18"/>
      <c r="ABI229" s="18"/>
      <c r="ABJ229" s="18"/>
      <c r="ABK229" s="18"/>
      <c r="ABL229" s="18"/>
      <c r="ABM229" s="18"/>
      <c r="ABN229" s="18"/>
      <c r="ABO229" s="18"/>
      <c r="ABP229" s="18"/>
      <c r="ABQ229" s="18"/>
      <c r="ABR229" s="18"/>
      <c r="ABS229" s="18"/>
      <c r="ABT229" s="18"/>
      <c r="ABU229" s="18"/>
      <c r="ABV229" s="18"/>
      <c r="ABW229" s="18"/>
      <c r="ABX229" s="18"/>
      <c r="ABY229" s="18"/>
      <c r="ABZ229" s="18"/>
      <c r="ACA229" s="18"/>
      <c r="ACB229" s="18"/>
      <c r="ACC229" s="18"/>
      <c r="ACD229" s="18"/>
      <c r="ACE229" s="18"/>
      <c r="ACF229" s="18"/>
      <c r="ACG229" s="18"/>
      <c r="ACH229" s="18"/>
      <c r="ACI229" s="18"/>
      <c r="ACJ229" s="18"/>
      <c r="ACK229" s="18"/>
      <c r="ACL229" s="18"/>
      <c r="ACM229" s="18"/>
      <c r="ACN229" s="18"/>
      <c r="ACO229" s="18"/>
      <c r="ACP229" s="18"/>
      <c r="ACQ229" s="18"/>
      <c r="ACR229" s="18"/>
      <c r="ACS229" s="18"/>
      <c r="ACT229" s="18"/>
      <c r="ACU229" s="18"/>
      <c r="ACV229" s="18"/>
      <c r="ACW229" s="18"/>
      <c r="ACX229" s="18"/>
      <c r="ACY229" s="18"/>
      <c r="ACZ229" s="18"/>
      <c r="ADA229" s="18"/>
      <c r="ADB229" s="18"/>
      <c r="ADC229" s="18"/>
      <c r="ADD229" s="18"/>
      <c r="ADE229" s="18"/>
      <c r="ADF229" s="18"/>
      <c r="ADG229" s="18"/>
      <c r="ADH229" s="18"/>
      <c r="ADI229" s="18"/>
      <c r="ADJ229" s="18"/>
      <c r="ADK229" s="18"/>
      <c r="ADL229" s="18"/>
      <c r="ADM229" s="18"/>
      <c r="ADN229" s="18"/>
      <c r="ADO229" s="18"/>
      <c r="ADP229" s="18"/>
      <c r="ADQ229" s="18"/>
      <c r="ADR229" s="18"/>
      <c r="ADS229" s="18"/>
      <c r="ADT229" s="18"/>
      <c r="ADU229" s="18"/>
      <c r="ADV229" s="18"/>
      <c r="ADW229" s="18"/>
      <c r="ADX229" s="18"/>
      <c r="ADY229" s="18"/>
      <c r="ADZ229" s="18"/>
      <c r="AEA229" s="18"/>
      <c r="AEB229" s="18"/>
      <c r="AEC229" s="18"/>
      <c r="AED229" s="18"/>
      <c r="AEE229" s="18"/>
      <c r="AEF229" s="18"/>
      <c r="AEG229" s="18"/>
      <c r="AEH229" s="18"/>
      <c r="AEI229" s="18"/>
      <c r="AEJ229" s="18"/>
      <c r="AEK229" s="18"/>
      <c r="AEL229" s="18"/>
      <c r="AEM229" s="18"/>
      <c r="AEN229" s="18"/>
      <c r="AEO229" s="18"/>
      <c r="AEP229" s="18"/>
      <c r="AEQ229" s="18"/>
      <c r="AER229" s="18"/>
      <c r="AES229" s="18"/>
      <c r="AET229" s="18"/>
      <c r="AEU229" s="18"/>
      <c r="AEV229" s="18"/>
      <c r="AEW229" s="18"/>
      <c r="AEX229" s="18"/>
      <c r="AEY229" s="18"/>
      <c r="AEZ229" s="18"/>
      <c r="AFA229" s="18"/>
      <c r="AFB229" s="18"/>
      <c r="AFC229" s="18"/>
      <c r="AFD229" s="18"/>
      <c r="AFE229" s="18"/>
      <c r="AFF229" s="18"/>
      <c r="AFG229" s="18"/>
      <c r="AFH229" s="18"/>
      <c r="AFI229" s="18"/>
      <c r="AFJ229" s="18"/>
      <c r="AFK229" s="18"/>
      <c r="AFL229" s="18"/>
      <c r="AFM229" s="18"/>
      <c r="AFN229" s="18"/>
      <c r="AFO229" s="18"/>
      <c r="AFP229" s="18"/>
      <c r="AFQ229" s="18"/>
      <c r="AFR229" s="18"/>
      <c r="AFS229" s="18"/>
      <c r="AFT229" s="18"/>
      <c r="AFU229" s="18"/>
      <c r="AFV229" s="18"/>
      <c r="AFW229" s="18"/>
      <c r="AFX229" s="18"/>
      <c r="AFY229" s="18"/>
      <c r="AFZ229" s="18"/>
      <c r="AGA229" s="18"/>
      <c r="AGB229" s="18"/>
      <c r="AGC229" s="18"/>
      <c r="AGD229" s="18"/>
      <c r="AGE229" s="18"/>
      <c r="AGF229" s="18"/>
      <c r="AGG229" s="18"/>
      <c r="AGH229" s="18"/>
      <c r="AGI229" s="18"/>
      <c r="AGJ229" s="18"/>
      <c r="AGK229" s="18"/>
      <c r="AGL229" s="18"/>
      <c r="AGM229" s="18"/>
      <c r="AGN229" s="18"/>
      <c r="AGO229" s="18"/>
      <c r="AGP229" s="18"/>
      <c r="AGQ229" s="18"/>
      <c r="AGR229" s="18"/>
      <c r="AGS229" s="18"/>
      <c r="AGT229" s="18"/>
      <c r="AGU229" s="18"/>
      <c r="AGV229" s="18"/>
      <c r="AGW229" s="18"/>
      <c r="AGX229" s="18"/>
      <c r="AGY229" s="18"/>
      <c r="AGZ229" s="18"/>
      <c r="AHA229" s="18"/>
      <c r="AHB229" s="18"/>
      <c r="AHC229" s="18"/>
      <c r="AHD229" s="18"/>
      <c r="AHE229" s="18"/>
      <c r="AHF229" s="18"/>
      <c r="AHG229" s="18"/>
      <c r="AHH229" s="18"/>
      <c r="AHI229" s="18"/>
      <c r="AHJ229" s="18"/>
      <c r="AHK229" s="18"/>
      <c r="AHL229" s="18"/>
      <c r="AHM229" s="18"/>
      <c r="AHN229" s="18"/>
      <c r="AHO229" s="18"/>
      <c r="AHP229" s="18"/>
      <c r="AHQ229" s="18"/>
      <c r="AHR229" s="18"/>
      <c r="AHS229" s="18"/>
      <c r="AHT229" s="18"/>
      <c r="AHU229" s="18"/>
      <c r="AHV229" s="18"/>
      <c r="AHW229" s="18"/>
      <c r="AHX229" s="18"/>
      <c r="AHY229" s="18"/>
      <c r="AHZ229" s="18"/>
      <c r="AIA229" s="18"/>
      <c r="AIB229" s="18"/>
      <c r="AIC229" s="18"/>
      <c r="AID229" s="18"/>
      <c r="AIE229" s="18"/>
      <c r="AIF229" s="18"/>
      <c r="AIG229" s="18"/>
      <c r="AIH229" s="18"/>
      <c r="AII229" s="18"/>
      <c r="AIJ229" s="18"/>
      <c r="AIK229" s="18"/>
      <c r="AIL229" s="18"/>
      <c r="AIM229" s="18"/>
      <c r="AIN229" s="18"/>
      <c r="AIO229" s="18"/>
      <c r="AIP229" s="18"/>
      <c r="AIQ229" s="18"/>
      <c r="AIR229" s="18"/>
      <c r="AIS229" s="18"/>
      <c r="AIT229" s="18"/>
      <c r="AIU229" s="18"/>
      <c r="AIV229" s="18"/>
      <c r="AIW229" s="18"/>
      <c r="AIX229" s="18"/>
      <c r="AIY229" s="18"/>
      <c r="AIZ229" s="18"/>
      <c r="AJA229" s="18"/>
      <c r="AJB229" s="18"/>
      <c r="AJC229" s="18"/>
      <c r="AJD229" s="18"/>
      <c r="AJE229" s="18"/>
      <c r="AJF229" s="18"/>
      <c r="AJG229" s="18"/>
      <c r="AJH229" s="18"/>
      <c r="AJI229" s="18"/>
      <c r="AJJ229" s="18"/>
      <c r="AJK229" s="18"/>
      <c r="AJL229" s="18"/>
      <c r="AJM229" s="18"/>
      <c r="AJN229" s="18"/>
      <c r="AJO229" s="18"/>
      <c r="AJP229" s="18"/>
      <c r="AJQ229" s="18"/>
      <c r="AJR229" s="18"/>
      <c r="AJS229" s="18"/>
      <c r="AJT229" s="18"/>
      <c r="AJU229" s="18"/>
      <c r="AJV229" s="18"/>
      <c r="AJW229" s="18"/>
      <c r="AJX229" s="18"/>
      <c r="AJY229" s="18"/>
      <c r="AJZ229" s="18"/>
      <c r="AKA229" s="18"/>
      <c r="AKB229" s="18"/>
      <c r="AKC229" s="18"/>
      <c r="AKD229" s="18"/>
      <c r="AKE229" s="18"/>
      <c r="AKF229" s="18"/>
      <c r="AKG229" s="18"/>
      <c r="AKH229" s="18"/>
      <c r="AKI229" s="18"/>
      <c r="AKJ229" s="18"/>
      <c r="AKK229" s="18"/>
      <c r="AKL229" s="18"/>
      <c r="AKM229" s="18"/>
      <c r="AKN229" s="18"/>
      <c r="AKO229" s="18"/>
      <c r="AKP229" s="18"/>
      <c r="AKQ229" s="18"/>
      <c r="AKR229" s="18"/>
      <c r="AKS229" s="18"/>
      <c r="AKT229" s="18"/>
      <c r="AKU229" s="18"/>
      <c r="AKV229" s="18"/>
      <c r="AKW229" s="18"/>
      <c r="AKX229" s="18"/>
      <c r="AKY229" s="18"/>
      <c r="AKZ229" s="18"/>
      <c r="ALA229" s="18"/>
      <c r="ALB229" s="18"/>
      <c r="ALC229" s="18"/>
      <c r="ALD229" s="18"/>
      <c r="ALE229" s="18"/>
      <c r="ALF229" s="18"/>
      <c r="ALG229" s="18"/>
      <c r="ALH229" s="18"/>
      <c r="ALI229" s="18"/>
      <c r="ALJ229" s="18"/>
      <c r="ALK229" s="18"/>
      <c r="ALL229" s="18"/>
      <c r="ALM229" s="18"/>
      <c r="ALN229" s="18"/>
      <c r="ALO229" s="18"/>
      <c r="ALP229" s="18"/>
      <c r="ALQ229" s="18"/>
      <c r="ALR229" s="18"/>
      <c r="ALS229" s="18"/>
      <c r="ALT229" s="18"/>
      <c r="ALU229" s="18"/>
      <c r="ALV229" s="18"/>
      <c r="ALW229" s="18"/>
      <c r="ALX229" s="18"/>
      <c r="ALY229" s="18"/>
      <c r="ALZ229" s="18"/>
      <c r="AMA229" s="18"/>
      <c r="AMB229" s="18"/>
      <c r="AMC229" s="18"/>
      <c r="AMD229" s="18"/>
      <c r="AME229" s="18"/>
      <c r="AMF229" s="18"/>
      <c r="AMG229" s="18"/>
      <c r="AMH229" s="18"/>
      <c r="AMI229" s="18"/>
      <c r="AMJ229" s="18"/>
      <c r="AMK229" s="18"/>
      <c r="AML229" s="18"/>
      <c r="AMM229" s="18"/>
      <c r="AMN229" s="18"/>
      <c r="AMO229" s="18"/>
      <c r="AMP229" s="18"/>
      <c r="AMQ229" s="18"/>
      <c r="AMR229" s="18"/>
      <c r="AMS229" s="18"/>
      <c r="AMT229" s="18"/>
      <c r="AMU229" s="18"/>
      <c r="AMV229" s="18"/>
      <c r="AMW229" s="18"/>
      <c r="AMX229" s="18"/>
      <c r="AMY229" s="18"/>
      <c r="AMZ229" s="18"/>
      <c r="ANA229" s="18"/>
      <c r="ANB229" s="18"/>
      <c r="ANC229" s="18"/>
      <c r="AND229" s="18"/>
      <c r="ANE229" s="18"/>
      <c r="ANF229" s="18"/>
      <c r="ANG229" s="18"/>
      <c r="ANH229" s="18"/>
      <c r="ANI229" s="18"/>
      <c r="ANJ229" s="18"/>
      <c r="ANK229" s="18"/>
      <c r="ANL229" s="18"/>
      <c r="ANM229" s="18"/>
      <c r="ANN229" s="18"/>
      <c r="ANO229" s="18"/>
      <c r="ANP229" s="18"/>
      <c r="ANQ229" s="18"/>
      <c r="ANR229" s="18"/>
      <c r="ANS229" s="18"/>
      <c r="ANT229" s="18"/>
      <c r="ANU229" s="18"/>
      <c r="ANV229" s="18"/>
      <c r="ANW229" s="18"/>
      <c r="ANX229" s="18"/>
      <c r="ANY229" s="18"/>
      <c r="ANZ229" s="18"/>
      <c r="AOA229" s="18"/>
      <c r="AOB229" s="18"/>
      <c r="AOC229" s="18"/>
      <c r="AOD229" s="18"/>
      <c r="AOE229" s="18"/>
      <c r="AOF229" s="18"/>
      <c r="AOG229" s="18"/>
      <c r="AOH229" s="18"/>
      <c r="AOI229" s="18"/>
      <c r="AOJ229" s="18"/>
      <c r="AOK229" s="18"/>
      <c r="AOL229" s="18"/>
      <c r="AOM229" s="18"/>
      <c r="AON229" s="18"/>
      <c r="AOO229" s="18"/>
      <c r="AOP229" s="18"/>
      <c r="AOQ229" s="18"/>
      <c r="AOR229" s="18"/>
      <c r="AOS229" s="18"/>
      <c r="AOT229" s="18"/>
      <c r="AOU229" s="18"/>
      <c r="AOV229" s="18"/>
      <c r="AOW229" s="18"/>
      <c r="AOX229" s="18"/>
      <c r="AOY229" s="18"/>
      <c r="AOZ229" s="18"/>
      <c r="APA229" s="18"/>
      <c r="APB229" s="18"/>
      <c r="APC229" s="18"/>
      <c r="APD229" s="18"/>
      <c r="APE229" s="18"/>
      <c r="APF229" s="18"/>
      <c r="APG229" s="18"/>
      <c r="APH229" s="18"/>
      <c r="API229" s="18"/>
      <c r="APJ229" s="18"/>
      <c r="APK229" s="18"/>
      <c r="APL229" s="18"/>
      <c r="APM229" s="18"/>
      <c r="APN229" s="18"/>
      <c r="APO229" s="18"/>
      <c r="APP229" s="18"/>
      <c r="APQ229" s="18"/>
      <c r="APR229" s="18"/>
      <c r="APS229" s="18"/>
      <c r="APT229" s="18"/>
      <c r="APU229" s="18"/>
      <c r="APV229" s="18"/>
      <c r="APW229" s="18"/>
      <c r="APX229" s="18"/>
      <c r="APY229" s="18"/>
      <c r="APZ229" s="18"/>
      <c r="AQA229" s="18"/>
      <c r="AQB229" s="18"/>
      <c r="AQC229" s="18"/>
      <c r="AQD229" s="18"/>
      <c r="AQE229" s="18"/>
      <c r="AQF229" s="18"/>
      <c r="AQG229" s="18"/>
      <c r="AQH229" s="18"/>
      <c r="AQI229" s="18"/>
      <c r="AQJ229" s="18"/>
      <c r="AQK229" s="18"/>
      <c r="AQL229" s="18"/>
      <c r="AQM229" s="18"/>
      <c r="AQN229" s="18"/>
      <c r="AQO229" s="18"/>
      <c r="AQP229" s="18"/>
      <c r="AQQ229" s="18"/>
      <c r="AQR229" s="18"/>
      <c r="AQS229" s="18"/>
      <c r="AQT229" s="18"/>
      <c r="AQU229" s="18"/>
      <c r="AQV229" s="18"/>
      <c r="AQW229" s="18"/>
      <c r="AQX229" s="18"/>
      <c r="AQY229" s="18"/>
      <c r="AQZ229" s="18"/>
      <c r="ARA229" s="18"/>
      <c r="ARB229" s="18"/>
      <c r="ARC229" s="18"/>
      <c r="ARD229" s="18"/>
      <c r="ARE229" s="18"/>
      <c r="ARF229" s="18"/>
      <c r="ARG229" s="18"/>
      <c r="ARH229" s="18"/>
      <c r="ARI229" s="18"/>
      <c r="ARJ229" s="18"/>
      <c r="ARK229" s="18"/>
      <c r="ARL229" s="18"/>
      <c r="ARM229" s="18"/>
      <c r="ARN229" s="18"/>
      <c r="ARO229" s="18"/>
      <c r="ARP229" s="18"/>
      <c r="ARQ229" s="18"/>
      <c r="ARR229" s="18"/>
      <c r="ARS229" s="18"/>
      <c r="ART229" s="18"/>
      <c r="ARU229" s="18"/>
      <c r="ARV229" s="18"/>
      <c r="ARW229" s="18"/>
      <c r="ARX229" s="18"/>
      <c r="ARY229" s="18"/>
      <c r="ARZ229" s="18"/>
      <c r="ASA229" s="18"/>
      <c r="ASB229" s="18"/>
      <c r="ASC229" s="18"/>
      <c r="ASD229" s="18"/>
      <c r="ASE229" s="18"/>
      <c r="ASF229" s="18"/>
      <c r="ASG229" s="18"/>
      <c r="ASH229" s="18"/>
      <c r="ASI229" s="18"/>
      <c r="ASJ229" s="18"/>
      <c r="ASK229" s="18"/>
      <c r="ASL229" s="18"/>
      <c r="ASM229" s="18"/>
      <c r="ASN229" s="18"/>
      <c r="ASO229" s="18"/>
      <c r="ASP229" s="18"/>
      <c r="ASQ229" s="18"/>
      <c r="ASR229" s="18"/>
      <c r="ASS229" s="18"/>
      <c r="AST229" s="18"/>
      <c r="ASU229" s="18"/>
      <c r="ASV229" s="18"/>
      <c r="ASW229" s="18"/>
      <c r="ASX229" s="18"/>
      <c r="ASY229" s="18"/>
      <c r="ASZ229" s="18"/>
      <c r="ATA229" s="18"/>
      <c r="ATB229" s="18"/>
      <c r="ATC229" s="18"/>
      <c r="ATD229" s="18"/>
      <c r="ATE229" s="18"/>
      <c r="ATF229" s="18"/>
      <c r="ATG229" s="18"/>
      <c r="ATH229" s="18"/>
      <c r="ATI229" s="18"/>
      <c r="ATJ229" s="18"/>
      <c r="ATK229" s="18"/>
      <c r="ATL229" s="18"/>
      <c r="ATM229" s="18"/>
      <c r="ATN229" s="18"/>
      <c r="ATO229" s="18"/>
      <c r="ATP229" s="18"/>
      <c r="ATQ229" s="18"/>
      <c r="ATR229" s="18"/>
      <c r="ATS229" s="18"/>
      <c r="ATT229" s="18"/>
      <c r="ATU229" s="18"/>
      <c r="ATV229" s="18"/>
      <c r="ATW229" s="18"/>
      <c r="ATX229" s="18"/>
      <c r="ATY229" s="18"/>
      <c r="ATZ229" s="18"/>
      <c r="AUA229" s="18"/>
      <c r="AUB229" s="18"/>
      <c r="AUC229" s="18"/>
      <c r="AUD229" s="18"/>
      <c r="AUE229" s="18"/>
      <c r="AUF229" s="18"/>
      <c r="AUG229" s="18"/>
      <c r="AUH229" s="18"/>
      <c r="AUI229" s="18"/>
      <c r="AUJ229" s="18"/>
      <c r="AUK229" s="18"/>
      <c r="AUL229" s="18"/>
      <c r="AUM229" s="18"/>
      <c r="AUN229" s="18"/>
      <c r="AUO229" s="18"/>
      <c r="AUP229" s="18"/>
      <c r="AUQ229" s="18"/>
      <c r="AUR229" s="18"/>
      <c r="AUS229" s="18"/>
      <c r="AUT229" s="18"/>
      <c r="AUU229" s="18"/>
      <c r="AUV229" s="18"/>
      <c r="AUW229" s="18"/>
      <c r="AUX229" s="18"/>
      <c r="AUY229" s="18"/>
      <c r="AUZ229" s="18"/>
      <c r="AVA229" s="18"/>
      <c r="AVB229" s="18"/>
      <c r="AVC229" s="18"/>
      <c r="AVD229" s="18"/>
      <c r="AVE229" s="18"/>
      <c r="AVF229" s="18"/>
      <c r="AVG229" s="18"/>
      <c r="AVH229" s="18"/>
      <c r="AVI229" s="18"/>
      <c r="AVJ229" s="18"/>
      <c r="AVK229" s="18"/>
      <c r="AVL229" s="18"/>
      <c r="AVM229" s="18"/>
      <c r="AVN229" s="18"/>
      <c r="AVO229" s="18"/>
      <c r="AVP229" s="18"/>
      <c r="AVQ229" s="18"/>
      <c r="AVR229" s="18"/>
      <c r="AVS229" s="18"/>
      <c r="AVT229" s="18"/>
      <c r="AVU229" s="18"/>
      <c r="AVV229" s="18"/>
      <c r="AVW229" s="18"/>
      <c r="AVX229" s="18"/>
      <c r="AVY229" s="18"/>
      <c r="AVZ229" s="18"/>
      <c r="AWA229" s="18"/>
      <c r="AWB229" s="18"/>
      <c r="AWC229" s="18"/>
      <c r="AWD229" s="18"/>
      <c r="AWE229" s="18"/>
      <c r="AWF229" s="18"/>
      <c r="AWG229" s="18"/>
      <c r="AWH229" s="18"/>
      <c r="AWI229" s="18"/>
      <c r="AWJ229" s="18"/>
      <c r="AWK229" s="18"/>
      <c r="AWL229" s="18"/>
      <c r="AWM229" s="18"/>
      <c r="AWN229" s="18"/>
      <c r="AWO229" s="18"/>
      <c r="AWP229" s="18"/>
      <c r="AWQ229" s="18"/>
      <c r="AWR229" s="18"/>
      <c r="AWS229" s="18"/>
      <c r="AWT229" s="18"/>
      <c r="AWU229" s="18"/>
      <c r="AWV229" s="18"/>
      <c r="AWW229" s="18"/>
      <c r="AWX229" s="18"/>
      <c r="AWY229" s="18"/>
      <c r="AWZ229" s="18"/>
      <c r="AXA229" s="18"/>
      <c r="AXB229" s="18"/>
      <c r="AXC229" s="18"/>
      <c r="AXD229" s="18"/>
      <c r="AXE229" s="18"/>
      <c r="AXF229" s="18"/>
      <c r="AXG229" s="18"/>
      <c r="AXH229" s="18"/>
      <c r="AXI229" s="18"/>
      <c r="AXJ229" s="18"/>
      <c r="AXK229" s="18"/>
      <c r="AXL229" s="18"/>
      <c r="AXM229" s="18"/>
      <c r="AXN229" s="18"/>
      <c r="AXO229" s="18"/>
      <c r="AXP229" s="18"/>
      <c r="AXQ229" s="18"/>
      <c r="AXR229" s="18"/>
      <c r="AXS229" s="18"/>
      <c r="AXT229" s="18"/>
      <c r="AXU229" s="18"/>
      <c r="AXV229" s="18"/>
      <c r="AXW229" s="18"/>
      <c r="AXX229" s="18"/>
      <c r="AXY229" s="18"/>
      <c r="AXZ229" s="18"/>
      <c r="AYA229" s="18"/>
      <c r="AYB229" s="18"/>
      <c r="AYC229" s="18"/>
      <c r="AYD229" s="18"/>
      <c r="AYE229" s="18"/>
      <c r="AYF229" s="18"/>
      <c r="AYG229" s="18"/>
      <c r="AYH229" s="18"/>
      <c r="AYI229" s="18"/>
      <c r="AYJ229" s="18"/>
      <c r="AYK229" s="18"/>
      <c r="AYL229" s="18"/>
      <c r="AYM229" s="18"/>
      <c r="AYN229" s="18"/>
      <c r="AYO229" s="18"/>
      <c r="AYP229" s="18"/>
      <c r="AYQ229" s="18"/>
      <c r="AYR229" s="18"/>
      <c r="AYS229" s="18"/>
      <c r="AYT229" s="18"/>
      <c r="AYU229" s="18"/>
      <c r="AYV229" s="18"/>
      <c r="AYW229" s="18"/>
      <c r="AYX229" s="18"/>
      <c r="AYY229" s="18"/>
      <c r="AYZ229" s="18"/>
      <c r="AZA229" s="18"/>
      <c r="AZB229" s="18"/>
      <c r="AZC229" s="18"/>
      <c r="AZD229" s="18"/>
      <c r="AZE229" s="18"/>
      <c r="AZF229" s="18"/>
      <c r="AZG229" s="18"/>
      <c r="AZH229" s="18"/>
      <c r="AZI229" s="18"/>
      <c r="AZJ229" s="18"/>
      <c r="AZK229" s="18"/>
      <c r="AZL229" s="18"/>
      <c r="AZM229" s="18"/>
      <c r="AZN229" s="18"/>
      <c r="AZO229" s="18"/>
      <c r="AZP229" s="18"/>
      <c r="AZQ229" s="18"/>
      <c r="AZR229" s="18"/>
      <c r="AZS229" s="18"/>
      <c r="AZT229" s="18"/>
      <c r="AZU229" s="18"/>
      <c r="AZV229" s="18"/>
      <c r="AZW229" s="18"/>
      <c r="AZX229" s="18"/>
      <c r="AZY229" s="18"/>
      <c r="AZZ229" s="18"/>
      <c r="BAA229" s="18"/>
      <c r="BAB229" s="18"/>
      <c r="BAC229" s="18"/>
      <c r="BAD229" s="18"/>
      <c r="BAE229" s="18"/>
      <c r="BAF229" s="18"/>
      <c r="BAG229" s="18"/>
      <c r="BAH229" s="18"/>
      <c r="BAI229" s="18"/>
      <c r="BAJ229" s="18"/>
      <c r="BAK229" s="18"/>
      <c r="BAL229" s="18"/>
      <c r="BAM229" s="18"/>
      <c r="BAN229" s="18"/>
      <c r="BAO229" s="18"/>
      <c r="BAP229" s="18"/>
      <c r="BAQ229" s="18"/>
      <c r="BAR229" s="18"/>
      <c r="BAS229" s="18"/>
      <c r="BAT229" s="18"/>
      <c r="BAU229" s="18"/>
      <c r="BAV229" s="18"/>
      <c r="BAW229" s="18"/>
      <c r="BAX229" s="18"/>
      <c r="BAY229" s="18"/>
      <c r="BAZ229" s="18"/>
      <c r="BBA229" s="18"/>
      <c r="BBB229" s="18"/>
      <c r="BBC229" s="18"/>
      <c r="BBD229" s="18"/>
      <c r="BBE229" s="18"/>
      <c r="BBF229" s="18"/>
      <c r="BBG229" s="18"/>
      <c r="BBH229" s="18"/>
      <c r="BBI229" s="18"/>
      <c r="BBJ229" s="18"/>
      <c r="BBK229" s="18"/>
      <c r="BBL229" s="18"/>
      <c r="BBM229" s="18"/>
      <c r="BBN229" s="18"/>
      <c r="BBO229" s="18"/>
      <c r="BBP229" s="18"/>
      <c r="BBQ229" s="18"/>
      <c r="BBR229" s="18"/>
      <c r="BBS229" s="18"/>
      <c r="BBT229" s="18"/>
      <c r="BBU229" s="18"/>
      <c r="BBV229" s="18"/>
      <c r="BBW229" s="18"/>
      <c r="BBX229" s="18"/>
      <c r="BBY229" s="18"/>
      <c r="BBZ229" s="18"/>
      <c r="BCA229" s="18"/>
      <c r="BCB229" s="18"/>
      <c r="BCC229" s="18"/>
      <c r="BCD229" s="18"/>
      <c r="BCE229" s="18"/>
      <c r="BCF229" s="18"/>
      <c r="BCG229" s="18"/>
      <c r="BCH229" s="18"/>
      <c r="BCI229" s="18"/>
      <c r="BCJ229" s="18"/>
      <c r="BCK229" s="18"/>
      <c r="BCL229" s="18"/>
      <c r="BCM229" s="18"/>
      <c r="BCN229" s="18"/>
      <c r="BCO229" s="18"/>
      <c r="BCP229" s="18"/>
      <c r="BCQ229" s="18"/>
      <c r="BCR229" s="18"/>
      <c r="BCS229" s="18"/>
      <c r="BCT229" s="18"/>
      <c r="BCU229" s="18"/>
      <c r="BCV229" s="18"/>
      <c r="BCW229" s="18"/>
      <c r="BCX229" s="18"/>
      <c r="BCY229" s="18"/>
      <c r="BCZ229" s="18"/>
      <c r="BDA229" s="18"/>
      <c r="BDB229" s="18"/>
      <c r="BDC229" s="18"/>
      <c r="BDD229" s="18"/>
      <c r="BDE229" s="18"/>
      <c r="BDF229" s="18"/>
      <c r="BDG229" s="18"/>
      <c r="BDH229" s="18"/>
      <c r="BDI229" s="18"/>
      <c r="BDJ229" s="18"/>
      <c r="BDK229" s="18"/>
      <c r="BDL229" s="18"/>
      <c r="BDM229" s="18"/>
      <c r="BDN229" s="18"/>
      <c r="BDO229" s="18"/>
      <c r="BDP229" s="18"/>
      <c r="BDQ229" s="18"/>
      <c r="BDR229" s="18"/>
      <c r="BDS229" s="18"/>
      <c r="BDT229" s="18"/>
      <c r="BDU229" s="18"/>
      <c r="BDV229" s="18"/>
      <c r="BDW229" s="18"/>
      <c r="BDX229" s="18"/>
      <c r="BDY229" s="18"/>
      <c r="BDZ229" s="18"/>
      <c r="BEA229" s="18"/>
      <c r="BEB229" s="18"/>
      <c r="BEC229" s="18"/>
      <c r="BED229" s="18"/>
      <c r="BEE229" s="18"/>
      <c r="BEF229" s="18"/>
      <c r="BEG229" s="18"/>
      <c r="BEH229" s="18"/>
      <c r="BEI229" s="18"/>
      <c r="BEJ229" s="18"/>
      <c r="BEK229" s="18"/>
      <c r="BEL229" s="18"/>
      <c r="BEM229" s="18"/>
      <c r="BEN229" s="18"/>
      <c r="BEO229" s="18"/>
      <c r="BEP229" s="18"/>
      <c r="BEQ229" s="18"/>
      <c r="BER229" s="18"/>
      <c r="BES229" s="18"/>
      <c r="BET229" s="18"/>
      <c r="BEU229" s="18"/>
      <c r="BEV229" s="18"/>
      <c r="BEW229" s="18"/>
      <c r="BEX229" s="18"/>
      <c r="BEY229" s="18"/>
      <c r="BEZ229" s="18"/>
      <c r="BFA229" s="18"/>
      <c r="BFB229" s="18"/>
      <c r="BFC229" s="18"/>
      <c r="BFD229" s="18"/>
      <c r="BFE229" s="18"/>
      <c r="BFF229" s="18"/>
      <c r="BFG229" s="18"/>
      <c r="BFH229" s="18"/>
      <c r="BFI229" s="18"/>
      <c r="BFJ229" s="18"/>
      <c r="BFK229" s="18"/>
      <c r="BFL229" s="18"/>
      <c r="BFM229" s="18"/>
      <c r="BFN229" s="18"/>
      <c r="BFO229" s="18"/>
      <c r="BFP229" s="18"/>
      <c r="BFQ229" s="18"/>
      <c r="BFR229" s="18"/>
      <c r="BFS229" s="18"/>
      <c r="BFT229" s="18"/>
      <c r="BFU229" s="18"/>
      <c r="BFV229" s="18"/>
      <c r="BFW229" s="18"/>
      <c r="BFX229" s="18"/>
      <c r="BFY229" s="18"/>
      <c r="BFZ229" s="18"/>
      <c r="BGA229" s="18"/>
      <c r="BGB229" s="18"/>
      <c r="BGC229" s="18"/>
      <c r="BGD229" s="18"/>
      <c r="BGE229" s="18"/>
      <c r="BGF229" s="18"/>
      <c r="BGG229" s="18"/>
      <c r="BGH229" s="18"/>
      <c r="BGI229" s="18"/>
      <c r="BGJ229" s="18"/>
      <c r="BGK229" s="18"/>
      <c r="BGL229" s="18"/>
      <c r="BGM229" s="18"/>
      <c r="BGN229" s="18"/>
      <c r="BGO229" s="18"/>
      <c r="BGP229" s="18"/>
      <c r="BGQ229" s="18"/>
      <c r="BGR229" s="18"/>
      <c r="BGS229" s="18"/>
      <c r="BGT229" s="18"/>
      <c r="BGU229" s="18"/>
      <c r="BGV229" s="18"/>
      <c r="BGW229" s="18"/>
      <c r="BGX229" s="18"/>
      <c r="BGY229" s="18"/>
      <c r="BGZ229" s="18"/>
      <c r="BHA229" s="18"/>
      <c r="BHB229" s="18"/>
      <c r="BHC229" s="18"/>
      <c r="BHD229" s="18"/>
      <c r="BHE229" s="18"/>
      <c r="BHF229" s="18"/>
      <c r="BHG229" s="18"/>
      <c r="BHH229" s="18"/>
      <c r="BHI229" s="18"/>
      <c r="BHJ229" s="18"/>
      <c r="BHK229" s="18"/>
      <c r="BHL229" s="18"/>
      <c r="BHM229" s="18"/>
      <c r="BHN229" s="18"/>
      <c r="BHO229" s="18"/>
      <c r="BHP229" s="18"/>
      <c r="BHQ229" s="18"/>
      <c r="BHR229" s="18"/>
      <c r="BHS229" s="18"/>
      <c r="BHT229" s="18"/>
      <c r="BHU229" s="18"/>
      <c r="BHV229" s="18"/>
      <c r="BHW229" s="18"/>
      <c r="BHX229" s="18"/>
      <c r="BHY229" s="18"/>
      <c r="BHZ229" s="18"/>
      <c r="BIA229" s="18"/>
      <c r="BIB229" s="18"/>
      <c r="BIC229" s="18"/>
      <c r="BID229" s="18"/>
      <c r="BIE229" s="18"/>
      <c r="BIF229" s="18"/>
      <c r="BIG229" s="18"/>
      <c r="BIH229" s="18"/>
      <c r="BII229" s="18"/>
      <c r="BIJ229" s="18"/>
      <c r="BIK229" s="18"/>
      <c r="BIL229" s="18"/>
      <c r="BIM229" s="18"/>
      <c r="BIN229" s="18"/>
      <c r="BIO229" s="18"/>
      <c r="BIP229" s="18"/>
      <c r="BIQ229" s="18"/>
      <c r="BIR229" s="18"/>
      <c r="BIS229" s="18"/>
      <c r="BIT229" s="18"/>
      <c r="BIU229" s="18"/>
      <c r="BIV229" s="18"/>
      <c r="BIW229" s="18"/>
      <c r="BIX229" s="18"/>
      <c r="BIY229" s="18"/>
      <c r="BIZ229" s="18"/>
      <c r="BJA229" s="18"/>
      <c r="BJB229" s="18"/>
      <c r="BJC229" s="18"/>
      <c r="BJD229" s="18"/>
      <c r="BJE229" s="18"/>
      <c r="BJF229" s="18"/>
      <c r="BJG229" s="18"/>
      <c r="BJH229" s="18"/>
      <c r="BJI229" s="18"/>
      <c r="BJJ229" s="18"/>
      <c r="BJK229" s="18"/>
      <c r="BJL229" s="18"/>
      <c r="BJM229" s="18"/>
      <c r="BJN229" s="18"/>
      <c r="BJO229" s="18"/>
      <c r="BJP229" s="18"/>
      <c r="BJQ229" s="18"/>
      <c r="BJR229" s="18"/>
      <c r="BJS229" s="18"/>
      <c r="BJT229" s="18"/>
      <c r="BJU229" s="18"/>
      <c r="BJV229" s="18"/>
      <c r="BJW229" s="18"/>
      <c r="BJX229" s="18"/>
      <c r="BJY229" s="18"/>
      <c r="BJZ229" s="18"/>
      <c r="BKA229" s="18"/>
      <c r="BKB229" s="18"/>
      <c r="BKC229" s="18"/>
      <c r="BKD229" s="18"/>
      <c r="BKE229" s="18"/>
      <c r="BKF229" s="18"/>
      <c r="BKG229" s="18"/>
      <c r="BKH229" s="18"/>
      <c r="BKI229" s="18"/>
      <c r="BKJ229" s="18"/>
      <c r="BKK229" s="18"/>
      <c r="BKL229" s="18"/>
      <c r="BKM229" s="18"/>
      <c r="BKN229" s="18"/>
      <c r="BKO229" s="18"/>
      <c r="BKP229" s="18"/>
      <c r="BKQ229" s="18"/>
      <c r="BKR229" s="18"/>
      <c r="BKS229" s="18"/>
      <c r="BKT229" s="18"/>
      <c r="BKU229" s="18"/>
      <c r="BKV229" s="18"/>
      <c r="BKW229" s="18"/>
      <c r="BKX229" s="18"/>
      <c r="BKY229" s="18"/>
      <c r="BKZ229" s="18"/>
      <c r="BLA229" s="18"/>
      <c r="BLB229" s="18"/>
      <c r="BLC229" s="18"/>
      <c r="BLD229" s="18"/>
      <c r="BLE229" s="18"/>
      <c r="BLF229" s="18"/>
      <c r="BLG229" s="18"/>
      <c r="BLH229" s="18"/>
      <c r="BLI229" s="18"/>
      <c r="BLJ229" s="18"/>
      <c r="BLK229" s="18"/>
      <c r="BLL229" s="18"/>
      <c r="BLM229" s="18"/>
      <c r="BLN229" s="18"/>
      <c r="BLO229" s="18"/>
      <c r="BLP229" s="18"/>
      <c r="BLQ229" s="18"/>
      <c r="BLR229" s="18"/>
      <c r="BLS229" s="18"/>
      <c r="BLT229" s="18"/>
      <c r="BLU229" s="18"/>
      <c r="BLV229" s="18"/>
      <c r="BLW229" s="18"/>
      <c r="BLX229" s="18"/>
      <c r="BLY229" s="18"/>
      <c r="BLZ229" s="18"/>
      <c r="BMA229" s="18"/>
      <c r="BMB229" s="18"/>
      <c r="BMC229" s="18"/>
      <c r="BMD229" s="18"/>
      <c r="BME229" s="18"/>
      <c r="BMF229" s="18"/>
      <c r="BMG229" s="18"/>
      <c r="BMH229" s="18"/>
      <c r="BMI229" s="18"/>
      <c r="BMJ229" s="18"/>
      <c r="BMK229" s="18"/>
      <c r="BML229" s="18"/>
      <c r="BMM229" s="18"/>
      <c r="BMN229" s="18"/>
      <c r="BMO229" s="18"/>
      <c r="BMP229" s="18"/>
      <c r="BMQ229" s="18"/>
      <c r="BMR229" s="18"/>
      <c r="BMS229" s="18"/>
      <c r="BMT229" s="18"/>
      <c r="BMU229" s="18"/>
      <c r="BMV229" s="18"/>
      <c r="BMW229" s="18"/>
      <c r="BMX229" s="18"/>
      <c r="BMY229" s="18"/>
      <c r="BMZ229" s="18"/>
      <c r="BNA229" s="18"/>
      <c r="BNB229" s="18"/>
      <c r="BNC229" s="18"/>
      <c r="BND229" s="18"/>
      <c r="BNE229" s="18"/>
      <c r="BNF229" s="18"/>
      <c r="BNG229" s="18"/>
      <c r="BNH229" s="18"/>
      <c r="BNI229" s="18"/>
      <c r="BNJ229" s="18"/>
      <c r="BNK229" s="18"/>
      <c r="BNL229" s="18"/>
      <c r="BNM229" s="18"/>
      <c r="BNN229" s="18"/>
      <c r="BNO229" s="18"/>
      <c r="BNP229" s="18"/>
      <c r="BNQ229" s="18"/>
      <c r="BNR229" s="18"/>
      <c r="BNS229" s="18"/>
      <c r="BNT229" s="18"/>
      <c r="BNU229" s="18"/>
      <c r="BNV229" s="18"/>
      <c r="BNW229" s="18"/>
      <c r="BNX229" s="18"/>
      <c r="BNY229" s="18"/>
      <c r="BNZ229" s="18"/>
      <c r="BOA229" s="18"/>
      <c r="BOB229" s="18"/>
      <c r="BOC229" s="18"/>
      <c r="BOD229" s="18"/>
      <c r="BOE229" s="18"/>
      <c r="BOF229" s="18"/>
      <c r="BOG229" s="18"/>
      <c r="BOH229" s="18"/>
      <c r="BOI229" s="18"/>
      <c r="BOJ229" s="18"/>
      <c r="BOK229" s="18"/>
      <c r="BOL229" s="18"/>
      <c r="BOM229" s="18"/>
      <c r="BON229" s="18"/>
      <c r="BOO229" s="18"/>
      <c r="BOP229" s="18"/>
      <c r="BOQ229" s="18"/>
      <c r="BOR229" s="18"/>
      <c r="BOS229" s="18"/>
      <c r="BOT229" s="18"/>
      <c r="BOU229" s="18"/>
      <c r="BOV229" s="18"/>
      <c r="BOW229" s="18"/>
      <c r="BOX229" s="18"/>
      <c r="BOY229" s="18"/>
      <c r="BOZ229" s="18"/>
      <c r="BPA229" s="18"/>
      <c r="BPB229" s="18"/>
      <c r="BPC229" s="18"/>
      <c r="BPD229" s="18"/>
      <c r="BPE229" s="18"/>
      <c r="BPF229" s="18"/>
      <c r="BPG229" s="18"/>
      <c r="BPH229" s="18"/>
      <c r="BPI229" s="18"/>
      <c r="BPJ229" s="18"/>
      <c r="BPK229" s="18"/>
      <c r="BPL229" s="18"/>
      <c r="BPM229" s="18"/>
      <c r="BPN229" s="18"/>
      <c r="BPO229" s="18"/>
      <c r="BPP229" s="18"/>
      <c r="BPQ229" s="18"/>
      <c r="BPR229" s="18"/>
      <c r="BPS229" s="18"/>
      <c r="BPT229" s="18"/>
      <c r="BPU229" s="18"/>
      <c r="BPV229" s="18"/>
      <c r="BPW229" s="18"/>
      <c r="BPX229" s="18"/>
      <c r="BPY229" s="18"/>
      <c r="BPZ229" s="18"/>
      <c r="BQA229" s="18"/>
      <c r="BQB229" s="18"/>
      <c r="BQC229" s="18"/>
      <c r="BQD229" s="18"/>
      <c r="BQE229" s="18"/>
      <c r="BQF229" s="18"/>
      <c r="BQG229" s="18"/>
      <c r="BQH229" s="18"/>
      <c r="BQI229" s="18"/>
      <c r="BQJ229" s="18"/>
      <c r="BQK229" s="18"/>
      <c r="BQL229" s="18"/>
      <c r="BQM229" s="18"/>
      <c r="BQN229" s="18"/>
      <c r="BQO229" s="18"/>
      <c r="BQP229" s="18"/>
      <c r="BQQ229" s="18"/>
      <c r="BQR229" s="18"/>
      <c r="BQS229" s="18"/>
      <c r="BQT229" s="18"/>
      <c r="BQU229" s="18"/>
      <c r="BQV229" s="18"/>
      <c r="BQW229" s="18"/>
      <c r="BQX229" s="18"/>
      <c r="BQY229" s="18"/>
      <c r="BQZ229" s="18"/>
      <c r="BRA229" s="18"/>
      <c r="BRB229" s="18"/>
      <c r="BRC229" s="18"/>
      <c r="BRD229" s="18"/>
      <c r="BRE229" s="18"/>
      <c r="BRF229" s="18"/>
      <c r="BRG229" s="18"/>
      <c r="BRH229" s="18"/>
      <c r="BRI229" s="18"/>
      <c r="BRJ229" s="18"/>
      <c r="BRK229" s="18"/>
      <c r="BRL229" s="18"/>
      <c r="BRM229" s="18"/>
      <c r="BRN229" s="18"/>
      <c r="BRO229" s="18"/>
      <c r="BRP229" s="18"/>
      <c r="BRQ229" s="18"/>
      <c r="BRR229" s="18"/>
      <c r="BRS229" s="18"/>
      <c r="BRT229" s="18"/>
      <c r="BRU229" s="18"/>
      <c r="BRV229" s="18"/>
      <c r="BRW229" s="18"/>
      <c r="BRX229" s="18"/>
      <c r="BRY229" s="18"/>
      <c r="BRZ229" s="18"/>
      <c r="BSA229" s="18"/>
      <c r="BSB229" s="18"/>
      <c r="BSC229" s="18"/>
      <c r="BSD229" s="18"/>
      <c r="BSE229" s="18"/>
      <c r="BSF229" s="18"/>
      <c r="BSG229" s="18"/>
      <c r="BSH229" s="18"/>
      <c r="BSI229" s="18"/>
      <c r="BSJ229" s="18"/>
      <c r="BSK229" s="18"/>
      <c r="BSL229" s="18"/>
      <c r="BSM229" s="18"/>
      <c r="BSN229" s="18"/>
      <c r="BSO229" s="18"/>
      <c r="BSP229" s="18"/>
      <c r="BSQ229" s="18"/>
      <c r="BSR229" s="18"/>
      <c r="BSS229" s="18"/>
      <c r="BST229" s="18"/>
      <c r="BSU229" s="18"/>
      <c r="BSV229" s="18"/>
      <c r="BSW229" s="18"/>
      <c r="BSX229" s="18"/>
      <c r="BSY229" s="18"/>
      <c r="BSZ229" s="18"/>
      <c r="BTA229" s="18"/>
      <c r="BTB229" s="18"/>
      <c r="BTC229" s="18"/>
      <c r="BTD229" s="18"/>
      <c r="BTE229" s="18"/>
      <c r="BTF229" s="18"/>
      <c r="BTG229" s="18"/>
      <c r="BTH229" s="18"/>
      <c r="BTI229" s="18"/>
    </row>
    <row r="230" spans="1:1881" ht="35.25" customHeight="1" x14ac:dyDescent="0.3">
      <c r="A230" s="100"/>
      <c r="B230" s="489" t="s">
        <v>25</v>
      </c>
      <c r="C230" s="499"/>
      <c r="D230" s="492"/>
      <c r="E230" s="506"/>
      <c r="F230" s="506"/>
      <c r="G230" s="474"/>
      <c r="H230" s="17"/>
      <c r="I230" s="17"/>
      <c r="J230" s="72"/>
      <c r="K230"/>
      <c r="L230" s="547"/>
    </row>
    <row r="231" spans="1:1881" ht="151.19999999999999" customHeight="1" x14ac:dyDescent="0.3">
      <c r="A231" s="117">
        <v>621</v>
      </c>
      <c r="B231" s="117" t="s">
        <v>324</v>
      </c>
      <c r="C231" s="117" t="s">
        <v>354</v>
      </c>
      <c r="D231" s="116" t="s">
        <v>659</v>
      </c>
      <c r="E231" s="371" t="e">
        <f>INDEX('PY1 Data(H)'!$A$1:$CZ$265,MATCH('Unit Data from Audit Worksheet'!$A231,'PY1 Data(H)'!$A$1:$A$258,0),MATCH('Unit Data from Audit Worksheet'!$D$2,'PY1 Data(H)'!$A$1:$CZ$1,0))</f>
        <v>#N/A</v>
      </c>
      <c r="F231" s="795">
        <v>0</v>
      </c>
      <c r="G231" s="430" t="s">
        <v>660</v>
      </c>
      <c r="I231" s="309"/>
      <c r="K231"/>
      <c r="L231" s="547"/>
    </row>
    <row r="232" spans="1:1881" ht="178.2" customHeight="1" x14ac:dyDescent="0.3">
      <c r="A232" s="100">
        <v>547</v>
      </c>
      <c r="B232" s="373"/>
      <c r="C232" s="373" t="s">
        <v>159</v>
      </c>
      <c r="D232" s="741" t="s">
        <v>1546</v>
      </c>
      <c r="E232" s="371" t="e">
        <f>INDEX('PY1 Data(H)'!$A$1:$CZ$265,MATCH('Unit Data from Audit Worksheet'!$A232,'PY1 Data(H)'!$A$1:$A$258,0),MATCH('Unit Data from Audit Worksheet'!$D$2,'PY1 Data(H)'!$A$1:$CZ$1,0))</f>
        <v>#N/A</v>
      </c>
      <c r="F232" s="184"/>
      <c r="G232" s="429" t="str">
        <f>IF(F232&lt;1,"Please answer this question","")</f>
        <v>Please answer this question</v>
      </c>
      <c r="H232" s="402"/>
      <c r="I232" s="402"/>
      <c r="J232" s="403"/>
      <c r="K232"/>
      <c r="L232" s="547"/>
    </row>
    <row r="233" spans="1:1881" s="18" customFormat="1" ht="120" customHeight="1" x14ac:dyDescent="0.3">
      <c r="A233" s="189">
        <v>659</v>
      </c>
      <c r="B233" s="460" t="s">
        <v>58</v>
      </c>
      <c r="C233" s="460" t="s">
        <v>344</v>
      </c>
      <c r="D233" s="192" t="s">
        <v>661</v>
      </c>
      <c r="E233" s="371" t="e">
        <f>INDEX('PY1 Data(H)'!$A$1:$CZ$265,MATCH('Unit Data from Audit Worksheet'!$A233,'PY1 Data(H)'!$A$1:$A$258,0),MATCH('Unit Data from Audit Worksheet'!$D$2,'PY1 Data(H)'!$A$1:$CZ$1,0))</f>
        <v>#N/A</v>
      </c>
      <c r="F233" s="795">
        <v>0</v>
      </c>
      <c r="G233" s="430" t="s">
        <v>662</v>
      </c>
      <c r="H233" s="401">
        <f>IF(F230&lt;0,"Error: Enter as positive.",)</f>
        <v>0</v>
      </c>
      <c r="I233" s="242"/>
      <c r="J233" s="242"/>
      <c r="K233"/>
      <c r="L233" s="547"/>
      <c r="M233"/>
      <c r="O233" s="186"/>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row>
    <row r="234" spans="1:1881" ht="65.25" customHeight="1" x14ac:dyDescent="0.3">
      <c r="A234" s="189">
        <v>660</v>
      </c>
      <c r="B234" s="460" t="s">
        <v>58</v>
      </c>
      <c r="C234" s="460" t="s">
        <v>344</v>
      </c>
      <c r="D234" s="192" t="s">
        <v>663</v>
      </c>
      <c r="E234" s="371" t="e">
        <f>INDEX('PY1 Data(H)'!$A$1:$CZ$265,MATCH('Unit Data from Audit Worksheet'!$A234,'PY1 Data(H)'!$A$1:$A$258,0),MATCH('Unit Data from Audit Worksheet'!$D$2,'PY1 Data(H)'!$A$1:$CZ$1,0))</f>
        <v>#N/A</v>
      </c>
      <c r="F234" s="795">
        <v>0</v>
      </c>
      <c r="G234" s="430" t="str">
        <f>IF(ISBLANK(F234),"Please do not leave blank","")</f>
        <v/>
      </c>
      <c r="H234" s="401">
        <f>IF(F231&lt;0,"Note: Number is normally positive.",)</f>
        <v>0</v>
      </c>
      <c r="I234" s="17"/>
      <c r="J234" s="17"/>
      <c r="K234"/>
      <c r="L234" s="547"/>
    </row>
    <row r="235" spans="1:1881" ht="94.5" customHeight="1" x14ac:dyDescent="0.3">
      <c r="A235" s="189">
        <v>661</v>
      </c>
      <c r="B235" s="460" t="s">
        <v>58</v>
      </c>
      <c r="C235" s="460" t="s">
        <v>346</v>
      </c>
      <c r="D235" s="343" t="s">
        <v>664</v>
      </c>
      <c r="E235" s="371" t="e">
        <f>INDEX('PY1 Data(H)'!$A$1:$CZ$265,MATCH('Unit Data from Audit Worksheet'!$A235,'PY1 Data(H)'!$A$1:$A$258,0),MATCH('Unit Data from Audit Worksheet'!$D$2,'PY1 Data(H)'!$A$1:$CZ$1,0))</f>
        <v>#N/A</v>
      </c>
      <c r="F235" s="797">
        <v>0</v>
      </c>
      <c r="G235" s="430" t="str">
        <f>IF(ISBLANK(F235),"Please do not leave blank ",IF(F235=H235,"","Please review percentage"))</f>
        <v/>
      </c>
      <c r="H235" s="798">
        <f>ROUND(IFERROR((F234/F233)*100,0),1)</f>
        <v>0</v>
      </c>
      <c r="I235" s="431"/>
      <c r="J235" s="431"/>
      <c r="K235"/>
      <c r="L235" s="547"/>
    </row>
    <row r="236" spans="1:1881" ht="111.75" customHeight="1" x14ac:dyDescent="0.3">
      <c r="A236" s="100"/>
      <c r="B236" s="373"/>
      <c r="C236" s="373"/>
      <c r="D236" s="24" t="s">
        <v>26</v>
      </c>
      <c r="E236" s="371"/>
      <c r="F236" s="375"/>
      <c r="G236" s="430"/>
      <c r="H236" s="431"/>
      <c r="I236" s="1025"/>
      <c r="J236" s="432"/>
      <c r="K236"/>
      <c r="L236" s="547"/>
    </row>
    <row r="237" spans="1:1881" ht="32.25" customHeight="1" x14ac:dyDescent="0.3">
      <c r="A237" s="100"/>
      <c r="B237" s="489" t="s">
        <v>27</v>
      </c>
      <c r="C237" s="499"/>
      <c r="D237" s="492"/>
      <c r="E237" s="505"/>
      <c r="F237" s="505"/>
      <c r="G237" s="474"/>
      <c r="H237" s="17"/>
      <c r="I237" s="17"/>
      <c r="J237" s="72"/>
      <c r="K237"/>
      <c r="L237" s="547"/>
    </row>
    <row r="238" spans="1:1881" ht="63.75" customHeight="1" x14ac:dyDescent="0.3">
      <c r="A238" s="30">
        <v>371</v>
      </c>
      <c r="B238" s="4" t="s">
        <v>55</v>
      </c>
      <c r="C238" s="4" t="s">
        <v>160</v>
      </c>
      <c r="D238" s="21" t="s">
        <v>757</v>
      </c>
      <c r="E238" s="371" t="e">
        <f>INDEX('PY1 Data(H)'!$A$1:$CZ$265,MATCH('Unit Data from Audit Worksheet'!$A238,'PY1 Data(H)'!$A$1:$A$258,0),MATCH('Unit Data from Audit Worksheet'!$D$2,'PY1 Data(H)'!$A$1:$CZ$1,0))</f>
        <v>#N/A</v>
      </c>
      <c r="F238" s="795">
        <v>0</v>
      </c>
      <c r="G238" s="401">
        <f>IF(F238&lt;0,"Error: Enter as positive.",)</f>
        <v>0</v>
      </c>
      <c r="H238" s="17"/>
      <c r="I238" s="17"/>
      <c r="J238" s="72"/>
      <c r="K238"/>
      <c r="L238" s="547"/>
    </row>
    <row r="239" spans="1:1881" ht="63.75" customHeight="1" x14ac:dyDescent="0.3">
      <c r="A239" s="100">
        <v>1075</v>
      </c>
      <c r="B239" s="458" t="s">
        <v>58</v>
      </c>
      <c r="C239" s="373" t="s">
        <v>160</v>
      </c>
      <c r="D239" s="783" t="s">
        <v>1863</v>
      </c>
      <c r="E239" s="371" t="e">
        <f>INDEX('PY1 Data(H)'!$A$1:$CZ$265,MATCH('Unit Data from Audit Worksheet'!$A239,'PY1 Data(H)'!$A$1:$A$258,0),MATCH('Unit Data from Audit Worksheet'!$D$2,'PY1 Data(H)'!$A$1:$CZ$1,0))</f>
        <v>#N/A</v>
      </c>
      <c r="F239" s="795">
        <v>0</v>
      </c>
      <c r="G239" s="401"/>
      <c r="H239" s="17"/>
      <c r="I239" s="17"/>
      <c r="J239" s="72"/>
      <c r="K239" s="180"/>
      <c r="L239" s="547"/>
      <c r="M239" s="180"/>
      <c r="Z239" s="180"/>
      <c r="AA239" s="180"/>
      <c r="AB239" s="180"/>
      <c r="AC239" s="180"/>
      <c r="AD239" s="180"/>
      <c r="AE239" s="180"/>
      <c r="AF239" s="180"/>
      <c r="AG239" s="180"/>
      <c r="AH239" s="180"/>
      <c r="AI239" s="180"/>
      <c r="AJ239" s="180"/>
      <c r="AK239" s="180"/>
      <c r="AL239" s="180"/>
      <c r="AM239" s="180"/>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180"/>
      <c r="BN239" s="180"/>
      <c r="BO239" s="180"/>
      <c r="BP239" s="180"/>
      <c r="BQ239" s="180"/>
      <c r="BR239" s="180"/>
      <c r="BS239" s="180"/>
      <c r="BT239" s="180"/>
      <c r="BU239" s="180"/>
      <c r="BV239" s="180"/>
      <c r="BW239" s="180"/>
      <c r="BX239" s="180"/>
      <c r="BY239" s="180"/>
      <c r="BZ239" s="180"/>
      <c r="CA239" s="180"/>
      <c r="CB239" s="180"/>
      <c r="CC239" s="180"/>
      <c r="CD239" s="180"/>
      <c r="CE239" s="180"/>
      <c r="CF239" s="180"/>
      <c r="CG239" s="180"/>
      <c r="CH239" s="180"/>
      <c r="CI239" s="180"/>
      <c r="CJ239" s="180"/>
      <c r="CK239" s="180"/>
      <c r="CL239" s="180"/>
      <c r="CM239" s="180"/>
      <c r="CN239" s="180"/>
      <c r="CO239" s="180"/>
      <c r="CP239" s="180"/>
      <c r="CQ239" s="180"/>
      <c r="CR239" s="180"/>
      <c r="CS239" s="180"/>
      <c r="CT239" s="180"/>
      <c r="CU239" s="180"/>
      <c r="CV239" s="180"/>
      <c r="CW239" s="180"/>
      <c r="CX239" s="180"/>
      <c r="CY239" s="180"/>
      <c r="CZ239" s="180"/>
      <c r="DA239" s="180"/>
      <c r="DB239" s="180"/>
      <c r="DC239" s="180"/>
      <c r="DD239" s="180"/>
      <c r="DE239" s="180"/>
      <c r="DF239" s="180"/>
      <c r="DG239" s="180"/>
      <c r="DH239" s="180"/>
      <c r="DI239" s="180"/>
      <c r="DJ239" s="180"/>
      <c r="DK239" s="180"/>
      <c r="DL239" s="180"/>
      <c r="DM239" s="180"/>
      <c r="DN239" s="180"/>
      <c r="DO239" s="180"/>
      <c r="DP239" s="180"/>
      <c r="DQ239" s="180"/>
      <c r="DR239" s="180"/>
      <c r="DS239" s="180"/>
    </row>
    <row r="240" spans="1:1881" ht="63.75" customHeight="1" x14ac:dyDescent="0.3">
      <c r="A240" s="100">
        <v>1076</v>
      </c>
      <c r="B240" s="458" t="s">
        <v>58</v>
      </c>
      <c r="C240" s="373" t="s">
        <v>160</v>
      </c>
      <c r="D240" s="783" t="s">
        <v>1864</v>
      </c>
      <c r="E240" s="371" t="e">
        <f>INDEX('PY1 Data(H)'!$A$1:$CZ$265,MATCH('Unit Data from Audit Worksheet'!$A240,'PY1 Data(H)'!$A$1:$A$258,0),MATCH('Unit Data from Audit Worksheet'!$D$2,'PY1 Data(H)'!$A$1:$CZ$1,0))</f>
        <v>#N/A</v>
      </c>
      <c r="F240" s="795">
        <v>0</v>
      </c>
      <c r="G240" s="401"/>
      <c r="H240" s="17"/>
      <c r="I240" s="17"/>
      <c r="J240" s="72"/>
      <c r="K240" s="180"/>
      <c r="L240" s="547"/>
      <c r="M240" s="180"/>
      <c r="Z240" s="180"/>
      <c r="AA240" s="180"/>
      <c r="AB240" s="180"/>
      <c r="AC240" s="180"/>
      <c r="AD240" s="180"/>
      <c r="AE240" s="180"/>
      <c r="AF240" s="180"/>
      <c r="AG240" s="180"/>
      <c r="AH240" s="180"/>
      <c r="AI240" s="180"/>
      <c r="AJ240" s="180"/>
      <c r="AK240" s="180"/>
      <c r="AL240" s="180"/>
      <c r="AM240" s="180"/>
      <c r="AN240" s="180"/>
      <c r="AO240" s="180"/>
      <c r="AP240" s="180"/>
      <c r="AQ240" s="180"/>
      <c r="AR240" s="180"/>
      <c r="AS240" s="180"/>
      <c r="AT240" s="180"/>
      <c r="AU240" s="180"/>
      <c r="AV240" s="180"/>
      <c r="AW240" s="180"/>
      <c r="AX240" s="180"/>
      <c r="AY240" s="180"/>
      <c r="AZ240" s="180"/>
      <c r="BA240" s="180"/>
      <c r="BB240" s="180"/>
      <c r="BC240" s="180"/>
      <c r="BD240" s="180"/>
      <c r="BE240" s="180"/>
      <c r="BF240" s="180"/>
      <c r="BG240" s="180"/>
      <c r="BH240" s="180"/>
      <c r="BI240" s="180"/>
      <c r="BJ240" s="180"/>
      <c r="BK240" s="180"/>
      <c r="BL240" s="180"/>
      <c r="BM240" s="180"/>
      <c r="BN240" s="180"/>
      <c r="BO240" s="180"/>
      <c r="BP240" s="180"/>
      <c r="BQ240" s="180"/>
      <c r="BR240" s="180"/>
      <c r="BS240" s="180"/>
      <c r="BT240" s="180"/>
      <c r="BU240" s="180"/>
      <c r="BV240" s="180"/>
      <c r="BW240" s="180"/>
      <c r="BX240" s="180"/>
      <c r="BY240" s="180"/>
      <c r="BZ240" s="180"/>
      <c r="CA240" s="180"/>
      <c r="CB240" s="180"/>
      <c r="CC240" s="180"/>
      <c r="CD240" s="180"/>
      <c r="CE240" s="180"/>
      <c r="CF240" s="180"/>
      <c r="CG240" s="180"/>
      <c r="CH240" s="180"/>
      <c r="CI240" s="180"/>
      <c r="CJ240" s="180"/>
      <c r="CK240" s="180"/>
      <c r="CL240" s="180"/>
      <c r="CM240" s="180"/>
      <c r="CN240" s="180"/>
      <c r="CO240" s="180"/>
      <c r="CP240" s="180"/>
      <c r="CQ240" s="180"/>
      <c r="CR240" s="180"/>
      <c r="CS240" s="180"/>
      <c r="CT240" s="180"/>
      <c r="CU240" s="180"/>
      <c r="CV240" s="180"/>
      <c r="CW240" s="180"/>
      <c r="CX240" s="180"/>
      <c r="CY240" s="180"/>
      <c r="CZ240" s="180"/>
      <c r="DA240" s="180"/>
      <c r="DB240" s="180"/>
      <c r="DC240" s="180"/>
      <c r="DD240" s="180"/>
      <c r="DE240" s="180"/>
      <c r="DF240" s="180"/>
      <c r="DG240" s="180"/>
      <c r="DH240" s="180"/>
      <c r="DI240" s="180"/>
      <c r="DJ240" s="180"/>
      <c r="DK240" s="180"/>
      <c r="DL240" s="180"/>
      <c r="DM240" s="180"/>
      <c r="DN240" s="180"/>
      <c r="DO240" s="180"/>
      <c r="DP240" s="180"/>
      <c r="DQ240" s="180"/>
      <c r="DR240" s="180"/>
      <c r="DS240" s="180"/>
    </row>
    <row r="241" spans="1:123" ht="100.8" x14ac:dyDescent="0.3">
      <c r="A241" s="100">
        <v>1077</v>
      </c>
      <c r="B241" s="458" t="s">
        <v>58</v>
      </c>
      <c r="C241" s="707" t="s">
        <v>1867</v>
      </c>
      <c r="D241" s="783" t="s">
        <v>1944</v>
      </c>
      <c r="E241" s="371" t="e">
        <f>INDEX('PY1 Data(H)'!$A$1:$CZ$265,MATCH('Unit Data from Audit Worksheet'!$A241,'PY1 Data(H)'!$A$1:$A$258,0),MATCH('Unit Data from Audit Worksheet'!$D$2,'PY1 Data(H)'!$A$1:$CZ$1,0))</f>
        <v>#N/A</v>
      </c>
      <c r="F241" s="795">
        <v>0</v>
      </c>
      <c r="G241" s="401"/>
      <c r="H241" s="17"/>
      <c r="I241" s="17"/>
      <c r="J241" s="72"/>
      <c r="K241" s="180"/>
      <c r="L241" s="547"/>
      <c r="M241" s="180"/>
      <c r="Z241" s="180"/>
      <c r="AA241" s="180"/>
      <c r="AB241" s="180"/>
      <c r="AC241" s="180"/>
      <c r="AD241" s="180"/>
      <c r="AE241" s="180"/>
      <c r="AF241" s="180"/>
      <c r="AG241" s="180"/>
      <c r="AH241" s="180"/>
      <c r="AI241" s="180"/>
      <c r="AJ241" s="180"/>
      <c r="AK241" s="180"/>
      <c r="AL241" s="180"/>
      <c r="AM241" s="180"/>
      <c r="AN241" s="180"/>
      <c r="AO241" s="180"/>
      <c r="AP241" s="180"/>
      <c r="AQ241" s="180"/>
      <c r="AR241" s="180"/>
      <c r="AS241" s="180"/>
      <c r="AT241" s="180"/>
      <c r="AU241" s="180"/>
      <c r="AV241" s="180"/>
      <c r="AW241" s="180"/>
      <c r="AX241" s="180"/>
      <c r="AY241" s="180"/>
      <c r="AZ241" s="180"/>
      <c r="BA241" s="180"/>
      <c r="BB241" s="180"/>
      <c r="BC241" s="180"/>
      <c r="BD241" s="180"/>
      <c r="BE241" s="180"/>
      <c r="BF241" s="180"/>
      <c r="BG241" s="180"/>
      <c r="BH241" s="180"/>
      <c r="BI241" s="180"/>
      <c r="BJ241" s="180"/>
      <c r="BK241" s="180"/>
      <c r="BL241" s="180"/>
      <c r="BM241" s="180"/>
      <c r="BN241" s="180"/>
      <c r="BO241" s="180"/>
      <c r="BP241" s="180"/>
      <c r="BQ241" s="180"/>
      <c r="BR241" s="180"/>
      <c r="BS241" s="180"/>
      <c r="BT241" s="180"/>
      <c r="BU241" s="180"/>
      <c r="BV241" s="180"/>
      <c r="BW241" s="180"/>
      <c r="BX241" s="180"/>
      <c r="BY241" s="180"/>
      <c r="BZ241" s="180"/>
      <c r="CA241" s="180"/>
      <c r="CB241" s="180"/>
      <c r="CC241" s="180"/>
      <c r="CD241" s="180"/>
      <c r="CE241" s="180"/>
      <c r="CF241" s="180"/>
      <c r="CG241" s="180"/>
      <c r="CH241" s="180"/>
      <c r="CI241" s="180"/>
      <c r="CJ241" s="180"/>
      <c r="CK241" s="180"/>
      <c r="CL241" s="180"/>
      <c r="CM241" s="180"/>
      <c r="CN241" s="180"/>
      <c r="CO241" s="180"/>
      <c r="CP241" s="180"/>
      <c r="CQ241" s="180"/>
      <c r="CR241" s="180"/>
      <c r="CS241" s="180"/>
      <c r="CT241" s="180"/>
      <c r="CU241" s="180"/>
      <c r="CV241" s="180"/>
      <c r="CW241" s="180"/>
      <c r="CX241" s="180"/>
      <c r="CY241" s="180"/>
      <c r="CZ241" s="180"/>
      <c r="DA241" s="180"/>
      <c r="DB241" s="180"/>
      <c r="DC241" s="180"/>
      <c r="DD241" s="180"/>
      <c r="DE241" s="180"/>
      <c r="DF241" s="180"/>
      <c r="DG241" s="180"/>
      <c r="DH241" s="180"/>
      <c r="DI241" s="180"/>
      <c r="DJ241" s="180"/>
      <c r="DK241" s="180"/>
      <c r="DL241" s="180"/>
      <c r="DM241" s="180"/>
      <c r="DN241" s="180"/>
      <c r="DO241" s="180"/>
      <c r="DP241" s="180"/>
      <c r="DQ241" s="180"/>
      <c r="DR241" s="180"/>
      <c r="DS241" s="180"/>
    </row>
    <row r="242" spans="1:123" ht="70.5" customHeight="1" x14ac:dyDescent="0.3">
      <c r="A242" s="100">
        <v>513</v>
      </c>
      <c r="B242" s="458" t="s">
        <v>57</v>
      </c>
      <c r="C242" s="4" t="s">
        <v>160</v>
      </c>
      <c r="D242" s="21" t="s">
        <v>758</v>
      </c>
      <c r="E242" s="794" t="e">
        <f>INDEX('PY1 Data(H)'!$A$1:$CZ$265,MATCH('Unit Data from Audit Worksheet'!$A242,'PY1 Data(H)'!$A$1:$A$258,0),MATCH('Unit Data from Audit Worksheet'!$D$2,'PY1 Data(H)'!$A$1:$CZ$1,0))</f>
        <v>#N/A</v>
      </c>
      <c r="F242" s="184">
        <v>0</v>
      </c>
      <c r="G242" s="401">
        <f>IF(F242&lt;0,"Error: Enter as positive.",)</f>
        <v>0</v>
      </c>
      <c r="H242" s="402"/>
      <c r="I242" s="402"/>
      <c r="J242" s="403"/>
      <c r="K242"/>
      <c r="L242" s="547"/>
    </row>
    <row r="243" spans="1:123" ht="80.25" customHeight="1" x14ac:dyDescent="0.3">
      <c r="A243" s="100">
        <v>514</v>
      </c>
      <c r="B243" s="458" t="s">
        <v>57</v>
      </c>
      <c r="C243" s="4" t="s">
        <v>160</v>
      </c>
      <c r="D243" s="21" t="s">
        <v>759</v>
      </c>
      <c r="E243" s="794" t="e">
        <f>INDEX('PY1 Data(H)'!$A$1:$CZ$265,MATCH('Unit Data from Audit Worksheet'!$A243,'PY1 Data(H)'!$A$1:$A$258,0),MATCH('Unit Data from Audit Worksheet'!$D$2,'PY1 Data(H)'!$A$1:$CZ$1,0))</f>
        <v>#N/A</v>
      </c>
      <c r="F243" s="184">
        <v>0</v>
      </c>
      <c r="G243" s="401">
        <f>IF(F243&lt;0,"Error: Enter as positive.",)</f>
        <v>0</v>
      </c>
      <c r="H243" s="17"/>
      <c r="I243" s="402"/>
      <c r="J243" s="403"/>
      <c r="K243"/>
      <c r="L243" s="547"/>
    </row>
    <row r="244" spans="1:123" ht="80.25" customHeight="1" x14ac:dyDescent="0.3">
      <c r="A244" s="100">
        <v>990</v>
      </c>
      <c r="B244" s="951" t="s">
        <v>1910</v>
      </c>
      <c r="C244" s="373" t="s">
        <v>160</v>
      </c>
      <c r="D244" s="21" t="s">
        <v>1434</v>
      </c>
      <c r="E244" s="794" t="e">
        <f>INDEX('PY1 Data(H)'!$A$1:$CZ$265,MATCH('Unit Data from Audit Worksheet'!$A244,'PY1 Data(H)'!$A$1:$A$258,0),MATCH('Unit Data from Audit Worksheet'!$D$2,'PY1 Data(H)'!$A$1:$CZ$1,0))</f>
        <v>#N/A</v>
      </c>
      <c r="F244" s="184">
        <v>0</v>
      </c>
      <c r="G244" s="401">
        <f>IF(F244&lt;0,"Error: Enter as positive.",)</f>
        <v>0</v>
      </c>
      <c r="H244" s="17"/>
      <c r="I244" s="402"/>
      <c r="J244" s="403"/>
      <c r="K244"/>
      <c r="L244" s="547"/>
    </row>
    <row r="245" spans="1:123" ht="96" customHeight="1" x14ac:dyDescent="0.3">
      <c r="A245" s="373">
        <v>1051</v>
      </c>
      <c r="B245" s="953" t="s">
        <v>1906</v>
      </c>
      <c r="C245" s="707" t="s">
        <v>1439</v>
      </c>
      <c r="D245" s="783" t="s">
        <v>1430</v>
      </c>
      <c r="E245" s="794" t="e">
        <f>INDEX('PY1 Data(H)'!$A$1:$CZ$265,MATCH('Unit Data from Audit Worksheet'!$A245,'PY1 Data(H)'!$A$1:$A$258,0),MATCH('Unit Data from Audit Worksheet'!$D$2,'PY1 Data(H)'!$A$1:$CZ$1,0))</f>
        <v>#N/A</v>
      </c>
      <c r="F245" s="184">
        <v>0</v>
      </c>
      <c r="G245" s="401">
        <f>IF(F245&lt;0,"Error: Enter as positive.",)</f>
        <v>0</v>
      </c>
      <c r="H245" s="17"/>
      <c r="I245" s="402"/>
      <c r="J245" s="403"/>
      <c r="K245" s="180"/>
      <c r="L245" s="547"/>
      <c r="M245" s="180"/>
      <c r="Z245" s="180"/>
      <c r="AA245" s="180"/>
      <c r="AB245" s="180"/>
      <c r="AC245" s="180"/>
      <c r="AD245" s="180"/>
      <c r="AE245" s="180"/>
      <c r="AF245" s="180"/>
      <c r="AG245" s="180"/>
      <c r="AH245" s="180"/>
      <c r="AI245" s="180"/>
      <c r="AJ245" s="180"/>
      <c r="AK245" s="180"/>
      <c r="AL245" s="180"/>
      <c r="AM245" s="180"/>
      <c r="AN245" s="180"/>
      <c r="AO245" s="180"/>
      <c r="AP245" s="180"/>
      <c r="AQ245" s="180"/>
      <c r="AR245" s="180"/>
      <c r="AS245" s="180"/>
      <c r="AT245" s="180"/>
      <c r="AU245" s="180"/>
      <c r="AV245" s="180"/>
      <c r="AW245" s="180"/>
      <c r="AX245" s="180"/>
      <c r="AY245" s="180"/>
      <c r="AZ245" s="180"/>
      <c r="BA245" s="180"/>
      <c r="BB245" s="180"/>
      <c r="BC245" s="180"/>
      <c r="BD245" s="180"/>
      <c r="BE245" s="180"/>
      <c r="BF245" s="180"/>
      <c r="BG245" s="180"/>
      <c r="BH245" s="180"/>
      <c r="BI245" s="180"/>
      <c r="BJ245" s="180"/>
      <c r="BK245" s="180"/>
      <c r="BL245" s="180"/>
      <c r="BM245" s="180"/>
      <c r="BN245" s="180"/>
      <c r="BO245" s="180"/>
      <c r="BP245" s="180"/>
      <c r="BQ245" s="180"/>
      <c r="BR245" s="180"/>
      <c r="BS245" s="180"/>
      <c r="BT245" s="180"/>
      <c r="BU245" s="180"/>
      <c r="BV245" s="180"/>
      <c r="BW245" s="180"/>
      <c r="BX245" s="180"/>
      <c r="BY245" s="180"/>
      <c r="BZ245" s="180"/>
      <c r="CA245" s="180"/>
      <c r="CB245" s="180"/>
      <c r="CC245" s="180"/>
      <c r="CD245" s="180"/>
      <c r="CE245" s="180"/>
      <c r="CF245" s="180"/>
      <c r="CG245" s="180"/>
      <c r="CH245" s="180"/>
      <c r="CI245" s="180"/>
      <c r="CJ245" s="180"/>
      <c r="CK245" s="180"/>
      <c r="CL245" s="180"/>
      <c r="CM245" s="180"/>
      <c r="CN245" s="180"/>
      <c r="CO245" s="180"/>
      <c r="CP245" s="180"/>
      <c r="CQ245" s="180"/>
      <c r="CR245" s="180"/>
      <c r="CS245" s="180"/>
      <c r="CT245" s="180"/>
      <c r="CU245" s="180"/>
      <c r="CV245" s="180"/>
      <c r="CW245" s="180"/>
      <c r="CX245" s="180"/>
      <c r="CY245" s="180"/>
      <c r="CZ245" s="180"/>
      <c r="DA245" s="180"/>
      <c r="DB245" s="180"/>
      <c r="DC245" s="180"/>
      <c r="DD245" s="180"/>
      <c r="DE245" s="180"/>
      <c r="DF245" s="180"/>
      <c r="DG245" s="180"/>
      <c r="DH245" s="180"/>
      <c r="DI245" s="180"/>
      <c r="DJ245" s="180"/>
      <c r="DK245" s="180"/>
      <c r="DL245" s="180"/>
      <c r="DM245" s="180"/>
      <c r="DN245" s="180"/>
      <c r="DO245" s="180"/>
      <c r="DP245" s="180"/>
      <c r="DQ245" s="180"/>
      <c r="DR245" s="180"/>
      <c r="DS245" s="180"/>
    </row>
    <row r="246" spans="1:123" ht="32.25" customHeight="1" x14ac:dyDescent="0.3">
      <c r="A246" s="100"/>
      <c r="B246" s="489" t="s">
        <v>28</v>
      </c>
      <c r="C246" s="499"/>
      <c r="D246" s="492"/>
      <c r="E246" s="474"/>
      <c r="F246" s="474"/>
      <c r="G246" s="474"/>
      <c r="H246" s="17"/>
      <c r="I246" s="17"/>
      <c r="J246" s="72"/>
      <c r="K246"/>
      <c r="L246" s="547"/>
    </row>
    <row r="247" spans="1:123" ht="68.25" customHeight="1" x14ac:dyDescent="0.3">
      <c r="A247" s="100">
        <v>6</v>
      </c>
      <c r="B247" s="950" t="s">
        <v>1891</v>
      </c>
      <c r="C247" s="4" t="s">
        <v>161</v>
      </c>
      <c r="D247" s="21" t="s">
        <v>760</v>
      </c>
      <c r="E247" s="371" t="e">
        <f>INDEX('PY1 Data(H)'!$A$1:$CZ$265,MATCH('Unit Data from Audit Worksheet'!$A247,'PY1 Data(H)'!$A$1:$A$258,0),MATCH('Unit Data from Audit Worksheet'!$D$2,'PY1 Data(H)'!$A$1:$CZ$1,0))</f>
        <v>#N/A</v>
      </c>
      <c r="F247" s="795">
        <v>0</v>
      </c>
      <c r="G247" s="401">
        <f>IF(F247&lt;0,"Error: Enter as positive.",)</f>
        <v>0</v>
      </c>
      <c r="H247" s="17"/>
      <c r="I247" s="17"/>
      <c r="J247" s="72"/>
      <c r="K247"/>
      <c r="L247" s="547"/>
    </row>
    <row r="248" spans="1:123" ht="33" customHeight="1" x14ac:dyDescent="0.3">
      <c r="A248" s="100"/>
      <c r="B248" s="489" t="s">
        <v>172</v>
      </c>
      <c r="C248" s="499"/>
      <c r="D248" s="492"/>
      <c r="E248" s="484"/>
      <c r="F248" s="484"/>
      <c r="G248" s="484"/>
      <c r="H248" s="402"/>
      <c r="I248" s="402"/>
      <c r="J248" s="403"/>
      <c r="K248"/>
      <c r="L248" s="547"/>
    </row>
    <row r="249" spans="1:123" ht="141" customHeight="1" x14ac:dyDescent="0.3">
      <c r="A249" s="100">
        <v>541</v>
      </c>
      <c r="B249" s="373" t="s">
        <v>58</v>
      </c>
      <c r="C249" s="373" t="s">
        <v>761</v>
      </c>
      <c r="D249" s="370" t="s">
        <v>762</v>
      </c>
      <c r="E249" s="371" t="e">
        <f>INDEX('PY1 Data(H)'!$A$1:$CZ$265,MATCH('Unit Data from Audit Worksheet'!$A249,'PY1 Data(H)'!$A$1:$A$258,0),MATCH('Unit Data from Audit Worksheet'!$D$2,'PY1 Data(H)'!$A$1:$CZ$1,0))</f>
        <v>#N/A</v>
      </c>
      <c r="F249" s="795">
        <v>0</v>
      </c>
      <c r="G249" s="401"/>
      <c r="H249" s="402"/>
      <c r="I249" s="402"/>
      <c r="J249" s="403"/>
      <c r="K249"/>
      <c r="L249" s="547"/>
    </row>
    <row r="250" spans="1:123" ht="28.5" customHeight="1" x14ac:dyDescent="0.3">
      <c r="A250" s="100"/>
      <c r="B250" s="489" t="s">
        <v>49</v>
      </c>
      <c r="C250" s="499"/>
      <c r="D250" s="492"/>
      <c r="E250" s="503"/>
      <c r="F250" s="503"/>
      <c r="G250" s="503"/>
      <c r="H250" s="402"/>
      <c r="I250" s="402"/>
      <c r="J250" s="403"/>
      <c r="K250"/>
      <c r="L250" s="547"/>
    </row>
    <row r="251" spans="1:123" ht="91.95" customHeight="1" x14ac:dyDescent="0.3">
      <c r="A251" s="100">
        <v>542</v>
      </c>
      <c r="B251" s="373" t="s">
        <v>58</v>
      </c>
      <c r="C251" s="464" t="s">
        <v>763</v>
      </c>
      <c r="D251" s="26" t="s">
        <v>162</v>
      </c>
      <c r="E251" s="371" t="e">
        <f>INDEX('PY1 Data(H)'!$A$1:$CZ$265,MATCH('Unit Data from Audit Worksheet'!$A251,'PY1 Data(H)'!$A$1:$A$258,0),MATCH('Unit Data from Audit Worksheet'!$D$2,'PY1 Data(H)'!$A$1:$CZ$1,0))</f>
        <v>#N/A</v>
      </c>
      <c r="F251" s="795">
        <v>0</v>
      </c>
      <c r="G251" s="401"/>
      <c r="H251" s="402"/>
      <c r="I251" s="433"/>
      <c r="J251" s="433"/>
      <c r="K251"/>
      <c r="L251" s="547"/>
    </row>
    <row r="252" spans="1:123" ht="21.6" customHeight="1" x14ac:dyDescent="0.3">
      <c r="A252" s="100"/>
      <c r="B252" s="489" t="s">
        <v>764</v>
      </c>
      <c r="C252" s="706"/>
      <c r="D252" s="467"/>
      <c r="E252" s="486"/>
      <c r="F252" s="486"/>
      <c r="G252" s="486"/>
      <c r="H252" s="17"/>
      <c r="I252" s="17"/>
      <c r="J252" s="72"/>
      <c r="K252"/>
      <c r="L252" s="547"/>
    </row>
    <row r="253" spans="1:123" ht="12.6" customHeight="1" x14ac:dyDescent="0.3">
      <c r="A253" s="100"/>
      <c r="B253" s="740" t="s">
        <v>12</v>
      </c>
      <c r="C253" s="713"/>
      <c r="D253" s="467"/>
      <c r="E253" s="507"/>
      <c r="F253" s="507"/>
      <c r="G253" s="486"/>
      <c r="H253" s="17"/>
      <c r="I253" s="17"/>
      <c r="J253" s="72"/>
      <c r="K253"/>
      <c r="L253" s="547"/>
    </row>
    <row r="254" spans="1:123" ht="77.25" customHeight="1" x14ac:dyDescent="0.3">
      <c r="A254" s="100">
        <v>528</v>
      </c>
      <c r="B254" s="373" t="s">
        <v>54</v>
      </c>
      <c r="C254" s="4" t="s">
        <v>163</v>
      </c>
      <c r="D254" s="322" t="s">
        <v>1874</v>
      </c>
      <c r="E254" s="371" t="e">
        <f>INDEX('PY1 Data(H)'!$A$1:$CZ$265,MATCH('Unit Data from Audit Worksheet'!$A254,'PY1 Data(H)'!$A$1:$A$258,0),MATCH('Unit Data from Audit Worksheet'!$D$2,'PY1 Data(H)'!$A$1:$CZ$1,0))</f>
        <v>#N/A</v>
      </c>
      <c r="F254" s="795">
        <v>0</v>
      </c>
      <c r="G254" s="401">
        <f>IF(F254="","Error: Unit must enter this information if they levy taxes.",)</f>
        <v>0</v>
      </c>
      <c r="H254" s="434"/>
      <c r="I254" s="17"/>
      <c r="J254" s="72"/>
      <c r="K254"/>
      <c r="L254" s="547"/>
    </row>
    <row r="255" spans="1:123" ht="69" customHeight="1" x14ac:dyDescent="0.3">
      <c r="A255" s="100">
        <v>529</v>
      </c>
      <c r="B255" s="373" t="s">
        <v>54</v>
      </c>
      <c r="C255" s="4" t="s">
        <v>163</v>
      </c>
      <c r="D255" s="322" t="s">
        <v>765</v>
      </c>
      <c r="E255" s="371" t="e">
        <f>INDEX('PY1 Data(H)'!$A$1:$CZ$265,MATCH('Unit Data from Audit Worksheet'!$A255,'PY1 Data(H)'!$A$1:$A$258,0),MATCH('Unit Data from Audit Worksheet'!$D$2,'PY1 Data(H)'!$A$1:$CZ$1,0))</f>
        <v>#N/A</v>
      </c>
      <c r="F255" s="795">
        <v>0</v>
      </c>
      <c r="G255" s="401">
        <f>IF(F255="","Error: Unit must enter this information if they levy taxes.",)</f>
        <v>0</v>
      </c>
      <c r="H255" s="17"/>
      <c r="I255" s="17"/>
      <c r="J255" s="72"/>
      <c r="K255"/>
      <c r="L255" s="547"/>
    </row>
    <row r="256" spans="1:123" ht="69" customHeight="1" x14ac:dyDescent="0.3">
      <c r="A256" s="100">
        <v>530</v>
      </c>
      <c r="B256" s="373" t="s">
        <v>54</v>
      </c>
      <c r="C256" s="4" t="s">
        <v>163</v>
      </c>
      <c r="D256" s="465" t="s">
        <v>766</v>
      </c>
      <c r="E256" s="371" t="e">
        <f>INDEX('PY1 Data(H)'!$A$1:$CZ$265,MATCH('Unit Data from Audit Worksheet'!$A256,'PY1 Data(H)'!$A$1:$A$258,0),MATCH('Unit Data from Audit Worksheet'!$D$2,'PY1 Data(H)'!$A$1:$CZ$1,0))</f>
        <v>#N/A</v>
      </c>
      <c r="F256" s="795">
        <v>0</v>
      </c>
      <c r="G256" s="401">
        <f>IF(F256="","Error: Unit must enter this information if they levy taxes.",)</f>
        <v>0</v>
      </c>
      <c r="H256" s="17"/>
      <c r="I256" s="17"/>
      <c r="J256" s="72"/>
      <c r="K256"/>
      <c r="L256" s="547"/>
    </row>
    <row r="257" spans="1:33" ht="55.5" customHeight="1" x14ac:dyDescent="0.3">
      <c r="A257" s="100">
        <v>531</v>
      </c>
      <c r="B257" s="373" t="s">
        <v>54</v>
      </c>
      <c r="C257" s="4" t="s">
        <v>163</v>
      </c>
      <c r="D257" s="465" t="s">
        <v>767</v>
      </c>
      <c r="E257" s="371" t="e">
        <f>INDEX('PY1 Data(H)'!$A$1:$CZ$265,MATCH('Unit Data from Audit Worksheet'!$A257,'PY1 Data(H)'!$A$1:$A$258,0),MATCH('Unit Data from Audit Worksheet'!$D$2,'PY1 Data(H)'!$A$1:$CZ$1,0))</f>
        <v>#N/A</v>
      </c>
      <c r="F257" s="795">
        <v>0</v>
      </c>
      <c r="G257" s="401">
        <f>IF(F257="","Error: Unit must enter this information if they levy taxes.",)</f>
        <v>0</v>
      </c>
      <c r="H257" s="17"/>
      <c r="I257" s="17"/>
      <c r="J257" s="72"/>
      <c r="K257"/>
      <c r="L257" s="547"/>
    </row>
    <row r="258" spans="1:33" ht="69" customHeight="1" x14ac:dyDescent="0.3">
      <c r="A258" s="100">
        <v>61</v>
      </c>
      <c r="B258" s="4" t="s">
        <v>58</v>
      </c>
      <c r="C258" s="4" t="s">
        <v>163</v>
      </c>
      <c r="D258" s="26" t="s">
        <v>768</v>
      </c>
      <c r="E258" s="802" t="e">
        <f>INDEX('PY1 Data(H)'!$A$1:$CZ$265,MATCH('Unit Data from Audit Worksheet'!$A258,'PY1 Data(H)'!$A$1:$A$258,0),MATCH('Unit Data from Audit Worksheet'!$D$2,'PY1 Data(H)'!$A$1:$CZ$1,0))</f>
        <v>#N/A</v>
      </c>
      <c r="F258" s="803">
        <v>0</v>
      </c>
      <c r="G258" s="401" t="e">
        <f>IF(F258=H258," ","Please check values in account 528, 529, 530 and  531.")</f>
        <v>#DIV/0!</v>
      </c>
      <c r="H258" s="435" t="e">
        <f>ROUND((F254+F255-F256-F257)/(F254+F255)*100,2)</f>
        <v>#DIV/0!</v>
      </c>
      <c r="I258" s="17"/>
      <c r="J258" s="72"/>
      <c r="K258"/>
      <c r="L258" s="547"/>
    </row>
    <row r="259" spans="1:33" ht="69" customHeight="1" x14ac:dyDescent="0.3">
      <c r="A259" s="100">
        <v>102</v>
      </c>
      <c r="B259" s="4" t="s">
        <v>58</v>
      </c>
      <c r="C259" s="4" t="s">
        <v>163</v>
      </c>
      <c r="D259" s="53" t="s">
        <v>769</v>
      </c>
      <c r="E259" s="802" t="e">
        <f>INDEX('PY1 Data(H)'!$A$1:$CZ$265,MATCH('Unit Data from Audit Worksheet'!$A259,'PY1 Data(H)'!$A$1:$A$258,0),MATCH('Unit Data from Audit Worksheet'!$D$2,'PY1 Data(H)'!$A$1:$CZ$1,0))</f>
        <v>#N/A</v>
      </c>
      <c r="F259" s="803">
        <v>0</v>
      </c>
      <c r="G259" s="401" t="e">
        <f>IF(F259=H259," ","Please check values in account 528 and 530.")</f>
        <v>#DIV/0!</v>
      </c>
      <c r="H259" s="435" t="e">
        <f>ROUND((F254-F256)/(F254)*100,2)</f>
        <v>#DIV/0!</v>
      </c>
      <c r="I259" s="17"/>
      <c r="J259" s="72"/>
      <c r="K259"/>
      <c r="L259" s="547"/>
    </row>
    <row r="260" spans="1:33" ht="63.75" customHeight="1" x14ac:dyDescent="0.3">
      <c r="A260" s="100">
        <v>103</v>
      </c>
      <c r="B260" s="4" t="s">
        <v>58</v>
      </c>
      <c r="C260" s="4" t="s">
        <v>163</v>
      </c>
      <c r="D260" s="26" t="s">
        <v>770</v>
      </c>
      <c r="E260" s="802" t="e">
        <f>INDEX('PY1 Data(H)'!$A$1:$CZ$265,MATCH('Unit Data from Audit Worksheet'!$A260,'PY1 Data(H)'!$A$1:$A$258,0),MATCH('Unit Data from Audit Worksheet'!$D$2,'PY1 Data(H)'!$A$1:$CZ$1,0))</f>
        <v>#N/A</v>
      </c>
      <c r="F260" s="803">
        <v>0</v>
      </c>
      <c r="G260" s="401" t="e">
        <f>IF(F260=H260," ","Please check values in account 529 and 531.")</f>
        <v>#DIV/0!</v>
      </c>
      <c r="H260" s="435" t="e">
        <f>ROUND((F255-F257)/F255*100,2)</f>
        <v>#DIV/0!</v>
      </c>
      <c r="I260" s="17"/>
      <c r="J260" s="72"/>
      <c r="K260"/>
      <c r="L260" s="547"/>
      <c r="N260" s="18" t="s">
        <v>555</v>
      </c>
    </row>
    <row r="261" spans="1:33" ht="72" customHeight="1" x14ac:dyDescent="0.3">
      <c r="A261" s="100">
        <v>544</v>
      </c>
      <c r="B261" s="373" t="s">
        <v>58</v>
      </c>
      <c r="C261" s="373" t="s">
        <v>163</v>
      </c>
      <c r="D261" s="21" t="s">
        <v>771</v>
      </c>
      <c r="E261" s="654" t="e">
        <f>INDEX('PY1 Data(H)'!$A$1:$CZ$265,MATCH('Unit Data from Audit Worksheet'!$A261,'PY1 Data(H)'!$A$1:$A$258,0),MATCH('Unit Data from Audit Worksheet'!$D$2,'PY1 Data(H)'!$A$1:$CZ$1,0))</f>
        <v>#N/A</v>
      </c>
      <c r="F261" s="799">
        <v>0</v>
      </c>
      <c r="G261" s="401"/>
      <c r="H261" s="17"/>
      <c r="I261" s="707"/>
      <c r="J261" s="100"/>
      <c r="K261"/>
      <c r="L261" s="547"/>
      <c r="N261" s="18" t="s">
        <v>50</v>
      </c>
    </row>
    <row r="262" spans="1:33" ht="73.5" customHeight="1" x14ac:dyDescent="0.3">
      <c r="A262" s="100">
        <v>545</v>
      </c>
      <c r="B262" s="373" t="s">
        <v>58</v>
      </c>
      <c r="C262" s="373" t="s">
        <v>163</v>
      </c>
      <c r="D262" s="21" t="s">
        <v>772</v>
      </c>
      <c r="E262" s="529"/>
      <c r="F262" s="799">
        <v>0</v>
      </c>
      <c r="G262" s="401"/>
      <c r="H262" s="17"/>
      <c r="I262" s="1026"/>
      <c r="J262" s="127"/>
      <c r="K262"/>
      <c r="L262" s="547"/>
      <c r="N262" s="18" t="s">
        <v>51</v>
      </c>
    </row>
    <row r="263" spans="1:33" ht="66" customHeight="1" x14ac:dyDescent="0.3">
      <c r="A263" s="117">
        <v>624</v>
      </c>
      <c r="B263" s="117" t="s">
        <v>58</v>
      </c>
      <c r="C263" s="117"/>
      <c r="D263" s="116" t="s">
        <v>355</v>
      </c>
      <c r="E263" s="529"/>
      <c r="F263" s="705"/>
      <c r="G263" s="429" t="str">
        <f>IF(+F263&lt;1,"Please answer this question","")</f>
        <v>Please answer this question</v>
      </c>
      <c r="H263" s="17"/>
      <c r="I263" s="707"/>
      <c r="J263" s="100"/>
      <c r="K263"/>
      <c r="L263" s="547"/>
      <c r="N263" s="18" t="s">
        <v>556</v>
      </c>
    </row>
    <row r="264" spans="1:33" ht="70.5" customHeight="1" x14ac:dyDescent="0.3">
      <c r="A264" s="117">
        <v>648</v>
      </c>
      <c r="B264" s="955" t="s">
        <v>1909</v>
      </c>
      <c r="C264" s="117" t="s">
        <v>163</v>
      </c>
      <c r="D264" s="116" t="s">
        <v>657</v>
      </c>
      <c r="E264" s="654" t="e">
        <f>INDEX('PY1 Data(H)'!$A$1:$CZ$265,MATCH('Unit Data from Audit Worksheet'!$A264,'PY1 Data(H)'!$A$1:$A$258,0),MATCH('Unit Data from Audit Worksheet'!$D$2,'PY1 Data(H)'!$A$1:$CZ$1,0))</f>
        <v>#N/A</v>
      </c>
      <c r="F264" s="799">
        <v>0</v>
      </c>
      <c r="G264" s="429"/>
      <c r="H264" s="17"/>
      <c r="I264" s="707"/>
      <c r="J264" s="100"/>
      <c r="K264"/>
      <c r="L264" s="547"/>
    </row>
    <row r="265" spans="1:33" ht="180" customHeight="1" x14ac:dyDescent="0.3">
      <c r="A265" s="117">
        <v>991</v>
      </c>
      <c r="B265" s="955" t="s">
        <v>1906</v>
      </c>
      <c r="C265" s="117"/>
      <c r="D265" s="743" t="s">
        <v>1951</v>
      </c>
      <c r="E265" s="522"/>
      <c r="F265" s="705"/>
      <c r="G265" s="429"/>
      <c r="H265" s="1048" t="s">
        <v>1971</v>
      </c>
      <c r="I265" s="180"/>
      <c r="J265" s="180"/>
      <c r="K265" s="180"/>
      <c r="L265" s="180"/>
      <c r="M265" s="180"/>
      <c r="N265" s="180"/>
      <c r="O265" s="180"/>
      <c r="P265" s="180"/>
      <c r="Q265" s="180"/>
      <c r="R265" s="180"/>
      <c r="S265" s="180"/>
      <c r="T265" s="180"/>
      <c r="U265" s="180"/>
      <c r="V265" s="180"/>
      <c r="W265" s="180"/>
      <c r="X265" s="180"/>
      <c r="Y265" s="180"/>
      <c r="Z265" s="180"/>
      <c r="AA265" s="180"/>
      <c r="AB265" s="180"/>
      <c r="AC265" s="180"/>
      <c r="AD265" s="180"/>
      <c r="AE265" s="180"/>
      <c r="AF265" s="180"/>
      <c r="AG265" s="180"/>
    </row>
    <row r="266" spans="1:33" ht="27.75" customHeight="1" x14ac:dyDescent="0.3">
      <c r="A266" s="100"/>
      <c r="B266" s="489" t="s">
        <v>348</v>
      </c>
      <c r="C266" s="489"/>
      <c r="D266" s="489"/>
      <c r="E266" s="508"/>
      <c r="F266" s="508"/>
      <c r="G266" s="509"/>
      <c r="H266" s="17"/>
      <c r="I266" s="707"/>
      <c r="J266" s="100"/>
      <c r="K266"/>
      <c r="L266" s="547"/>
      <c r="N266" s="18" t="s">
        <v>576</v>
      </c>
    </row>
    <row r="267" spans="1:33" ht="84.6" customHeight="1" x14ac:dyDescent="0.3">
      <c r="A267" s="100">
        <v>620</v>
      </c>
      <c r="B267" s="373" t="s">
        <v>58</v>
      </c>
      <c r="C267" s="373"/>
      <c r="D267" s="741" t="s">
        <v>1547</v>
      </c>
      <c r="E267" s="522"/>
      <c r="F267" s="705"/>
      <c r="G267" s="429" t="str">
        <f>IF(F267&lt;1,"Please answer this question","")</f>
        <v>Please answer this question</v>
      </c>
      <c r="H267" s="17"/>
      <c r="I267" s="707"/>
      <c r="J267" s="100"/>
      <c r="K267"/>
      <c r="L267" s="547"/>
      <c r="N267" s="18" t="s">
        <v>577</v>
      </c>
    </row>
    <row r="268" spans="1:33" ht="123.75" customHeight="1" x14ac:dyDescent="0.3">
      <c r="A268" s="708"/>
      <c r="B268" s="1074" t="s">
        <v>458</v>
      </c>
      <c r="C268" s="1074"/>
      <c r="D268" s="1074"/>
      <c r="E268" s="519"/>
      <c r="F268" s="519"/>
      <c r="G268" s="519"/>
      <c r="H268" s="17"/>
      <c r="I268" s="707"/>
      <c r="J268" s="100"/>
      <c r="K268"/>
      <c r="N268" s="18" t="s">
        <v>461</v>
      </c>
    </row>
    <row r="269" spans="1:33" ht="63" customHeight="1" x14ac:dyDescent="0.3">
      <c r="A269" s="189">
        <v>947</v>
      </c>
      <c r="B269" s="460"/>
      <c r="C269" s="460"/>
      <c r="D269" s="343" t="s">
        <v>420</v>
      </c>
      <c r="E269" s="569"/>
      <c r="F269" s="800"/>
      <c r="G269" s="429" t="str">
        <f>IF(ISBLANK(F269),"Please do not leave blank","")</f>
        <v>Please do not leave blank</v>
      </c>
      <c r="H269" s="17"/>
      <c r="I269" s="324"/>
      <c r="J269" s="186"/>
      <c r="K269"/>
      <c r="L269" s="186"/>
      <c r="N269" s="186"/>
      <c r="P269" s="186"/>
    </row>
    <row r="270" spans="1:33" ht="65.25" customHeight="1" x14ac:dyDescent="0.3">
      <c r="A270" s="189">
        <v>948</v>
      </c>
      <c r="B270" s="460"/>
      <c r="C270" s="460"/>
      <c r="D270" s="343" t="s">
        <v>421</v>
      </c>
      <c r="E270" s="569"/>
      <c r="F270" s="800"/>
      <c r="G270" s="429" t="str">
        <f t="shared" ref="G270:G272" si="4">IF(ISBLANK(F270),"Please do not leave blank","")</f>
        <v>Please do not leave blank</v>
      </c>
      <c r="H270" s="17"/>
      <c r="I270" s="324"/>
      <c r="J270" s="186"/>
      <c r="K270"/>
      <c r="L270" s="186"/>
      <c r="N270" s="186"/>
      <c r="P270" s="186"/>
    </row>
    <row r="271" spans="1:33" ht="76.5" customHeight="1" x14ac:dyDescent="0.3">
      <c r="A271" s="189">
        <v>949</v>
      </c>
      <c r="B271" s="460"/>
      <c r="C271" s="460"/>
      <c r="D271" s="343" t="s">
        <v>422</v>
      </c>
      <c r="E271" s="569"/>
      <c r="F271" s="800"/>
      <c r="G271" s="429" t="str">
        <f t="shared" si="4"/>
        <v>Please do not leave blank</v>
      </c>
      <c r="H271" s="17"/>
      <c r="I271" s="324"/>
      <c r="J271" s="186"/>
      <c r="K271"/>
      <c r="L271" s="186"/>
      <c r="N271" s="186"/>
      <c r="P271" s="186"/>
    </row>
    <row r="272" spans="1:33" ht="60" customHeight="1" x14ac:dyDescent="0.3">
      <c r="A272" s="189">
        <v>950</v>
      </c>
      <c r="B272" s="460"/>
      <c r="C272" s="460"/>
      <c r="D272" s="343" t="s">
        <v>1567</v>
      </c>
      <c r="E272" s="569"/>
      <c r="F272" s="800"/>
      <c r="G272" s="429" t="str">
        <f t="shared" si="4"/>
        <v>Please do not leave blank</v>
      </c>
      <c r="H272" s="17"/>
      <c r="I272" s="324"/>
      <c r="J272" s="186"/>
      <c r="K272"/>
      <c r="L272" s="186"/>
      <c r="N272" s="186"/>
      <c r="P272" s="186"/>
    </row>
    <row r="273" spans="1:16" ht="80.400000000000006" customHeight="1" x14ac:dyDescent="0.3">
      <c r="A273" s="189">
        <v>952</v>
      </c>
      <c r="B273" s="460"/>
      <c r="C273" s="460"/>
      <c r="D273" s="414" t="s">
        <v>1543</v>
      </c>
      <c r="E273" s="569"/>
      <c r="F273" s="801"/>
      <c r="G273" s="429" t="s">
        <v>791</v>
      </c>
      <c r="H273" s="17"/>
      <c r="I273" s="1027"/>
      <c r="J273" s="436"/>
      <c r="K273"/>
      <c r="L273" s="186"/>
      <c r="N273" s="186"/>
      <c r="P273" s="186"/>
    </row>
    <row r="274" spans="1:16" ht="33" customHeight="1" thickBot="1" x14ac:dyDescent="0.35">
      <c r="A274" s="100"/>
      <c r="B274" s="510"/>
      <c r="C274" s="511"/>
      <c r="D274" s="512" t="s">
        <v>411</v>
      </c>
      <c r="E274" s="498"/>
      <c r="F274" s="513"/>
      <c r="G274" s="514"/>
      <c r="H274" s="515"/>
      <c r="I274" s="324"/>
      <c r="J274" s="186"/>
      <c r="K274"/>
      <c r="L274" s="186"/>
      <c r="N274" s="186"/>
      <c r="P274" s="186"/>
    </row>
    <row r="275" spans="1:16" ht="15" thickBot="1" x14ac:dyDescent="0.35">
      <c r="B275" s="1071" t="s">
        <v>459</v>
      </c>
      <c r="C275" s="1072"/>
      <c r="D275" s="1072"/>
      <c r="E275" s="1073"/>
      <c r="F275" s="72"/>
      <c r="G275" s="429"/>
      <c r="H275" s="17"/>
      <c r="I275" s="707"/>
      <c r="J275" s="100"/>
      <c r="K275"/>
    </row>
    <row r="276" spans="1:16" ht="75.75" customHeight="1" x14ac:dyDescent="0.3">
      <c r="B276" s="1078" t="s">
        <v>460</v>
      </c>
      <c r="C276" s="1078"/>
      <c r="D276" s="1078"/>
      <c r="E276" s="1078"/>
      <c r="F276" s="72"/>
      <c r="G276" s="429"/>
      <c r="H276" s="17"/>
      <c r="I276" s="707"/>
      <c r="J276" s="100"/>
      <c r="K276"/>
    </row>
    <row r="277" spans="1:16" ht="15" thickBot="1" x14ac:dyDescent="0.35">
      <c r="A277" s="710"/>
      <c r="B277" s="437"/>
      <c r="C277" s="437"/>
      <c r="D277" s="438"/>
      <c r="E277" s="371"/>
      <c r="F277" s="72"/>
      <c r="G277" s="429"/>
      <c r="H277" s="17"/>
      <c r="I277" s="707"/>
      <c r="J277" s="100"/>
      <c r="K277"/>
    </row>
    <row r="278" spans="1:16" ht="15" thickBot="1" x14ac:dyDescent="0.35">
      <c r="B278" s="149" t="s">
        <v>400</v>
      </c>
      <c r="C278" s="150" t="s">
        <v>401</v>
      </c>
      <c r="D278" s="439"/>
      <c r="E278" s="440"/>
      <c r="F278" s="92"/>
      <c r="G278" s="429"/>
      <c r="H278" s="17"/>
      <c r="I278" s="707"/>
      <c r="J278" s="100"/>
      <c r="K278"/>
    </row>
    <row r="279" spans="1:16" ht="44.25" customHeight="1" thickBot="1" x14ac:dyDescent="0.35">
      <c r="B279" s="153" t="s">
        <v>425</v>
      </c>
      <c r="C279" s="152"/>
      <c r="D279" s="151"/>
      <c r="E279" s="374"/>
      <c r="F279" s="441"/>
      <c r="G279" s="429"/>
      <c r="H279" s="17"/>
      <c r="I279" s="707"/>
      <c r="J279" s="100"/>
      <c r="K279"/>
    </row>
    <row r="280" spans="1:16" ht="44.25" customHeight="1" thickBot="1" x14ac:dyDescent="0.35">
      <c r="B280" s="153"/>
      <c r="C280" s="159"/>
      <c r="D280" s="442" t="s">
        <v>449</v>
      </c>
      <c r="E280" s="443"/>
      <c r="F280" s="444"/>
      <c r="G280" s="444"/>
      <c r="H280" s="17"/>
      <c r="I280" s="707"/>
      <c r="J280" s="100"/>
    </row>
    <row r="281" spans="1:16" ht="32.4" customHeight="1" thickBot="1" x14ac:dyDescent="0.35">
      <c r="A281" s="277">
        <v>960</v>
      </c>
      <c r="B281" s="1085" t="s">
        <v>426</v>
      </c>
      <c r="C281" s="1086"/>
      <c r="D281" s="1033"/>
      <c r="E281" s="644" t="str">
        <f>IF(ISBLANK($D281),"&lt;&lt;&lt;&lt;&lt;&lt;&lt;&lt;&lt;&lt;&lt;&lt;&lt;&lt;&lt;","")</f>
        <v>&lt;&lt;&lt;&lt;&lt;&lt;&lt;&lt;&lt;&lt;&lt;&lt;&lt;&lt;&lt;</v>
      </c>
      <c r="F281" s="645" t="str">
        <f>IF(ISBLANK($D281),"Required","")</f>
        <v>Required</v>
      </c>
      <c r="G281" s="520"/>
      <c r="H281" s="402"/>
      <c r="I281" s="707"/>
      <c r="J281" s="100"/>
    </row>
    <row r="282" spans="1:16" ht="32.4" customHeight="1" thickBot="1" x14ac:dyDescent="0.35">
      <c r="A282" s="277">
        <v>962</v>
      </c>
      <c r="B282" s="1083" t="s">
        <v>402</v>
      </c>
      <c r="C282" s="1084"/>
      <c r="D282" s="1033"/>
      <c r="E282" s="644" t="str">
        <f>IF(ISBLANK($D282),"&lt;&lt;&lt;&lt;&lt;&lt;&lt;&lt;&lt;&lt;&lt;&lt;&lt;&lt;&lt;","")</f>
        <v>&lt;&lt;&lt;&lt;&lt;&lt;&lt;&lt;&lt;&lt;&lt;&lt;&lt;&lt;&lt;</v>
      </c>
      <c r="F282" s="645" t="str">
        <f>IF(ISBLANK($D282),"Required","")</f>
        <v>Required</v>
      </c>
      <c r="H282" s="17"/>
      <c r="I282" s="707"/>
      <c r="J282" s="100"/>
    </row>
    <row r="283" spans="1:16" ht="32.4" customHeight="1" thickBot="1" x14ac:dyDescent="0.35">
      <c r="A283" s="277">
        <v>964</v>
      </c>
      <c r="B283" s="1083" t="s">
        <v>403</v>
      </c>
      <c r="C283" s="1084"/>
      <c r="D283" s="1034"/>
      <c r="E283" s="644" t="str">
        <f>IF(ISBLANK($D283),"&lt;&lt;&lt;&lt;&lt;&lt;&lt;&lt;&lt;&lt;&lt;&lt;&lt;&lt;&lt;","")</f>
        <v>&lt;&lt;&lt;&lt;&lt;&lt;&lt;&lt;&lt;&lt;&lt;&lt;&lt;&lt;&lt;</v>
      </c>
      <c r="F283" s="645" t="str">
        <f>IF(ISBLANK($D283),"Required","")</f>
        <v>Required</v>
      </c>
      <c r="H283" s="17"/>
      <c r="I283" s="1028"/>
      <c r="J283" s="234"/>
    </row>
    <row r="284" spans="1:16" ht="32.4" customHeight="1" thickBot="1" x14ac:dyDescent="0.35">
      <c r="A284" s="643">
        <v>966</v>
      </c>
      <c r="B284" s="1079" t="s">
        <v>1541</v>
      </c>
      <c r="C284" s="1080"/>
      <c r="D284" s="1035"/>
      <c r="E284" s="644" t="str">
        <f>IF(ISBLANK($D284),"&lt;&lt;&lt;&lt;&lt;&lt;&lt;&lt;&lt;&lt;&lt;&lt;&lt;&lt;&lt;","")</f>
        <v>&lt;&lt;&lt;&lt;&lt;&lt;&lt;&lt;&lt;&lt;&lt;&lt;&lt;&lt;&lt;</v>
      </c>
      <c r="F284" s="645" t="str">
        <f>IF(ISBLANK($D284),"Required","")</f>
        <v>Required</v>
      </c>
      <c r="G284"/>
      <c r="H284" s="17"/>
      <c r="I284" s="707"/>
      <c r="J284" s="100"/>
    </row>
    <row r="285" spans="1:16" ht="32.4" customHeight="1" thickBot="1" x14ac:dyDescent="0.35">
      <c r="A285" s="643"/>
      <c r="B285" s="1079" t="s">
        <v>1542</v>
      </c>
      <c r="C285" s="1080"/>
      <c r="D285" s="1033"/>
      <c r="E285" s="646"/>
      <c r="F285" s="645"/>
      <c r="G285"/>
      <c r="H285" s="17"/>
      <c r="I285" s="707"/>
      <c r="J285" s="100"/>
    </row>
    <row r="286" spans="1:16" ht="32.4" customHeight="1" thickBot="1" x14ac:dyDescent="0.35">
      <c r="A286" s="277">
        <v>968</v>
      </c>
      <c r="B286" s="1081" t="s">
        <v>405</v>
      </c>
      <c r="C286" s="1082"/>
      <c r="D286" s="1036"/>
      <c r="E286" s="647" t="str">
        <f>IF(ISBLANK($D286),"&lt;&lt;&lt;&lt;&lt;&lt;&lt;&lt;&lt;&lt;&lt;&lt;&lt;&lt;&lt;","")</f>
        <v>&lt;&lt;&lt;&lt;&lt;&lt;&lt;&lt;&lt;&lt;&lt;&lt;&lt;&lt;&lt;</v>
      </c>
      <c r="F286" s="645" t="str">
        <f>IF(ISBLANK($D286),"Required","")</f>
        <v>Required</v>
      </c>
      <c r="H286" s="17"/>
      <c r="I286" s="707"/>
      <c r="J286" s="100"/>
    </row>
    <row r="287" spans="1:16" ht="17.399999999999999" customHeight="1" x14ac:dyDescent="0.3">
      <c r="A287" s="100"/>
      <c r="B287" s="516"/>
      <c r="C287" s="516"/>
      <c r="D287" s="521" t="s">
        <v>45</v>
      </c>
      <c r="E287" s="517"/>
      <c r="F287" s="517"/>
      <c r="G287" s="517"/>
      <c r="H287" s="518"/>
      <c r="I287" s="100"/>
      <c r="J287" s="100"/>
    </row>
    <row r="288" spans="1:16" x14ac:dyDescent="0.3">
      <c r="A288" s="100"/>
      <c r="B288" s="373"/>
      <c r="C288" s="373"/>
      <c r="D288" s="157"/>
      <c r="E288" s="187"/>
      <c r="F288" s="445"/>
      <c r="G288" s="445"/>
      <c r="H288" s="17"/>
      <c r="I288" s="100"/>
      <c r="J288" s="100"/>
    </row>
    <row r="289" spans="1:10" x14ac:dyDescent="0.3">
      <c r="A289" s="100"/>
      <c r="B289" s="373"/>
      <c r="C289" s="373"/>
      <c r="D289" s="21"/>
      <c r="E289" s="371"/>
      <c r="F289" s="445"/>
      <c r="G289" s="445"/>
      <c r="H289" s="17"/>
      <c r="I289" s="100"/>
      <c r="J289" s="100"/>
    </row>
    <row r="290" spans="1:10" x14ac:dyDescent="0.3">
      <c r="A290" s="711">
        <f>SUBTOTAL(109,A9:A286)</f>
        <v>106600</v>
      </c>
      <c r="E290" s="547"/>
    </row>
    <row r="291" spans="1:10" x14ac:dyDescent="0.3">
      <c r="A291" s="100"/>
      <c r="B291" s="466"/>
      <c r="C291" s="466"/>
      <c r="D291" s="446"/>
      <c r="E291" s="250"/>
      <c r="F291" s="18"/>
      <c r="G291" s="447"/>
      <c r="H291" s="17"/>
      <c r="I291" s="100"/>
      <c r="J291" s="100"/>
    </row>
    <row r="292" spans="1:10" x14ac:dyDescent="0.3">
      <c r="B292" s="277"/>
      <c r="C292" s="277"/>
      <c r="D292" s="446" t="s">
        <v>1668</v>
      </c>
      <c r="E292" s="250" t="e">
        <f>SUM(E9:E267)</f>
        <v>#N/A</v>
      </c>
      <c r="F292" s="186"/>
      <c r="G292" s="447"/>
      <c r="H292" s="17"/>
      <c r="I292" s="100"/>
      <c r="J292" s="100"/>
    </row>
    <row r="293" spans="1:10" x14ac:dyDescent="0.3">
      <c r="B293" s="277"/>
      <c r="C293" s="277"/>
      <c r="D293" s="448"/>
      <c r="E293" s="250" t="e">
        <f>E191</f>
        <v>#N/A</v>
      </c>
      <c r="F293" s="186"/>
      <c r="G293" s="447"/>
      <c r="H293" s="17"/>
      <c r="I293" s="100"/>
      <c r="J293" s="100"/>
    </row>
    <row r="294" spans="1:10" x14ac:dyDescent="0.3">
      <c r="B294" s="277"/>
      <c r="C294" s="277"/>
      <c r="D294" s="448"/>
      <c r="E294" s="250" t="e">
        <f>E198</f>
        <v>#N/A</v>
      </c>
      <c r="F294" s="186"/>
      <c r="G294" s="447"/>
      <c r="H294" s="17"/>
      <c r="I294" s="100"/>
      <c r="J294" s="100"/>
    </row>
    <row r="295" spans="1:10" x14ac:dyDescent="0.3">
      <c r="B295" s="277"/>
      <c r="C295" s="277"/>
      <c r="D295" s="448"/>
      <c r="E295" s="250" t="e">
        <f>E204</f>
        <v>#N/A</v>
      </c>
      <c r="F295" s="186"/>
      <c r="G295" s="447"/>
      <c r="H295" s="17"/>
      <c r="I295" s="100"/>
      <c r="J295" s="100"/>
    </row>
    <row r="296" spans="1:10" x14ac:dyDescent="0.3">
      <c r="B296" s="277"/>
      <c r="C296" s="277"/>
      <c r="D296" s="448"/>
      <c r="E296" s="250" t="e">
        <f>E210</f>
        <v>#N/A</v>
      </c>
      <c r="F296" s="186"/>
      <c r="G296" s="447"/>
      <c r="H296" s="17"/>
      <c r="I296" s="100"/>
      <c r="J296" s="100"/>
    </row>
    <row r="297" spans="1:10" x14ac:dyDescent="0.3">
      <c r="D297" s="314"/>
      <c r="E297" s="250" t="e">
        <f>E211</f>
        <v>#N/A</v>
      </c>
      <c r="F297" s="186"/>
      <c r="H297" s="17"/>
      <c r="I297" s="100"/>
      <c r="J297" s="100"/>
    </row>
    <row r="298" spans="1:10" x14ac:dyDescent="0.3">
      <c r="D298" s="314"/>
      <c r="E298" s="251"/>
      <c r="F298" s="186"/>
      <c r="H298" s="17"/>
      <c r="I298" s="100"/>
      <c r="J298" s="100"/>
    </row>
    <row r="299" spans="1:10" x14ac:dyDescent="0.3">
      <c r="D299" s="314"/>
      <c r="E299" s="250" t="e">
        <f>E292-E293-E294-E295-E296-E297</f>
        <v>#N/A</v>
      </c>
      <c r="F299" s="186"/>
      <c r="H299" s="17"/>
      <c r="I299" s="100"/>
      <c r="J299" s="100"/>
    </row>
    <row r="300" spans="1:10" x14ac:dyDescent="0.3">
      <c r="D300" s="314"/>
      <c r="E300" s="187"/>
      <c r="F300" s="186"/>
      <c r="I300" s="100"/>
      <c r="J300" s="100"/>
    </row>
    <row r="301" spans="1:10" x14ac:dyDescent="0.3">
      <c r="E301" s="249"/>
      <c r="F301" s="186"/>
      <c r="G301" s="450"/>
      <c r="I301" s="100"/>
      <c r="J301" s="100"/>
    </row>
    <row r="302" spans="1:10" x14ac:dyDescent="0.3">
      <c r="E302" s="187"/>
      <c r="F302" s="186"/>
      <c r="I302" s="100"/>
      <c r="J302" s="100"/>
    </row>
    <row r="303" spans="1:10" x14ac:dyDescent="0.3">
      <c r="E303" s="187"/>
      <c r="F303" s="186"/>
      <c r="I303" s="100"/>
      <c r="J303" s="100"/>
    </row>
    <row r="304" spans="1:10" x14ac:dyDescent="0.3">
      <c r="E304" s="187"/>
      <c r="F304" s="186"/>
      <c r="I304" s="100"/>
      <c r="J304" s="100"/>
    </row>
    <row r="305" spans="9:12" x14ac:dyDescent="0.3">
      <c r="I305" s="100"/>
      <c r="J305" s="100"/>
    </row>
    <row r="306" spans="9:12" x14ac:dyDescent="0.3">
      <c r="I306" s="100"/>
      <c r="J306" s="100"/>
    </row>
    <row r="307" spans="9:12" x14ac:dyDescent="0.3">
      <c r="I307" s="100"/>
      <c r="J307" s="100"/>
    </row>
    <row r="308" spans="9:12" x14ac:dyDescent="0.3">
      <c r="I308" s="100"/>
      <c r="J308" s="100"/>
    </row>
    <row r="309" spans="9:12" x14ac:dyDescent="0.3">
      <c r="I309" s="100"/>
      <c r="J309" s="100"/>
    </row>
    <row r="310" spans="9:12" x14ac:dyDescent="0.3">
      <c r="I310" s="100"/>
      <c r="J310" s="100"/>
    </row>
    <row r="311" spans="9:12" x14ac:dyDescent="0.3">
      <c r="I311" s="100"/>
      <c r="J311" s="100"/>
    </row>
    <row r="312" spans="9:12" x14ac:dyDescent="0.3">
      <c r="I312" s="186"/>
      <c r="J312" s="186"/>
    </row>
    <row r="313" spans="9:12" x14ac:dyDescent="0.3">
      <c r="I313" s="186"/>
      <c r="J313" s="186"/>
      <c r="L313" s="187"/>
    </row>
    <row r="314" spans="9:12" x14ac:dyDescent="0.3">
      <c r="I314" s="186"/>
      <c r="J314" s="186"/>
      <c r="L314" s="187"/>
    </row>
    <row r="315" spans="9:12" x14ac:dyDescent="0.3">
      <c r="I315" s="186"/>
      <c r="J315" s="186"/>
      <c r="L315" s="187"/>
    </row>
    <row r="316" spans="9:12" x14ac:dyDescent="0.3">
      <c r="I316" s="186"/>
      <c r="J316" s="186"/>
      <c r="L316" s="187"/>
    </row>
    <row r="317" spans="9:12" x14ac:dyDescent="0.3">
      <c r="I317" s="186"/>
      <c r="J317" s="186"/>
      <c r="L317" s="187"/>
    </row>
    <row r="318" spans="9:12" x14ac:dyDescent="0.3">
      <c r="I318" s="186"/>
      <c r="J318" s="186"/>
      <c r="L318" s="187"/>
    </row>
    <row r="319" spans="9:12" x14ac:dyDescent="0.3">
      <c r="I319" s="100"/>
      <c r="J319" s="100"/>
      <c r="L319" s="187"/>
    </row>
    <row r="320" spans="9:12" x14ac:dyDescent="0.3">
      <c r="I320" s="100"/>
      <c r="J320" s="100"/>
      <c r="K320" s="187"/>
      <c r="L320" s="187"/>
    </row>
    <row r="321" spans="9:12" x14ac:dyDescent="0.3">
      <c r="I321" s="100"/>
      <c r="J321" s="100"/>
      <c r="K321" s="187"/>
      <c r="L321" s="187"/>
    </row>
    <row r="322" spans="9:12" x14ac:dyDescent="0.3">
      <c r="I322" s="100"/>
      <c r="J322" s="100"/>
      <c r="K322" s="187"/>
      <c r="L322" s="187"/>
    </row>
    <row r="323" spans="9:12" x14ac:dyDescent="0.3">
      <c r="I323" s="100"/>
      <c r="J323" s="100"/>
      <c r="K323" s="187"/>
      <c r="L323" s="187"/>
    </row>
    <row r="324" spans="9:12" x14ac:dyDescent="0.3">
      <c r="I324" s="100"/>
      <c r="J324" s="100"/>
      <c r="K324" s="187"/>
      <c r="L324" s="187"/>
    </row>
    <row r="325" spans="9:12" x14ac:dyDescent="0.3">
      <c r="I325" s="100"/>
      <c r="J325" s="100"/>
      <c r="K325" s="187"/>
      <c r="L325" s="187"/>
    </row>
    <row r="326" spans="9:12" x14ac:dyDescent="0.3">
      <c r="I326" s="100"/>
      <c r="J326" s="100"/>
      <c r="K326" s="187"/>
      <c r="L326" s="187"/>
    </row>
    <row r="327" spans="9:12" x14ac:dyDescent="0.3">
      <c r="I327" s="100"/>
      <c r="J327" s="100"/>
      <c r="K327" s="187"/>
      <c r="L327" s="187"/>
    </row>
    <row r="328" spans="9:12" x14ac:dyDescent="0.3">
      <c r="I328" s="186"/>
      <c r="J328" s="186"/>
      <c r="K328" s="187"/>
      <c r="L328" s="187"/>
    </row>
    <row r="329" spans="9:12" x14ac:dyDescent="0.3">
      <c r="I329" s="186"/>
      <c r="J329" s="186"/>
      <c r="K329" s="187"/>
      <c r="L329" s="187"/>
    </row>
    <row r="330" spans="9:12" x14ac:dyDescent="0.3">
      <c r="I330" s="186"/>
      <c r="J330" s="186"/>
      <c r="K330" s="187"/>
      <c r="L330" s="187"/>
    </row>
    <row r="331" spans="9:12" x14ac:dyDescent="0.3">
      <c r="I331" s="186"/>
      <c r="J331" s="186"/>
      <c r="K331" s="187"/>
      <c r="L331" s="187"/>
    </row>
    <row r="332" spans="9:12" x14ac:dyDescent="0.3">
      <c r="I332" s="186"/>
      <c r="J332" s="186"/>
      <c r="K332" s="187"/>
      <c r="L332" s="187"/>
    </row>
    <row r="333" spans="9:12" x14ac:dyDescent="0.3">
      <c r="I333" s="186"/>
      <c r="J333" s="186"/>
      <c r="K333" s="187"/>
      <c r="L333" s="187"/>
    </row>
    <row r="334" spans="9:12" x14ac:dyDescent="0.3">
      <c r="I334" s="186"/>
      <c r="J334" s="186"/>
      <c r="K334" s="187"/>
      <c r="L334" s="187"/>
    </row>
    <row r="335" spans="9:12" x14ac:dyDescent="0.3">
      <c r="I335" s="186"/>
      <c r="J335" s="186"/>
      <c r="K335" s="187"/>
      <c r="L335" s="187"/>
    </row>
    <row r="336" spans="9:12" x14ac:dyDescent="0.3">
      <c r="I336" s="186"/>
      <c r="J336" s="186"/>
      <c r="K336" s="187"/>
      <c r="L336" s="187"/>
    </row>
    <row r="337" spans="8:12" x14ac:dyDescent="0.3">
      <c r="I337" s="186"/>
      <c r="J337" s="186"/>
      <c r="K337" s="187"/>
      <c r="L337" s="187"/>
    </row>
    <row r="338" spans="8:12" x14ac:dyDescent="0.3">
      <c r="I338" s="186"/>
      <c r="J338" s="186"/>
      <c r="K338" s="187"/>
      <c r="L338" s="187"/>
    </row>
    <row r="339" spans="8:12" x14ac:dyDescent="0.3">
      <c r="I339" s="186"/>
      <c r="J339" s="186"/>
      <c r="K339" s="187"/>
      <c r="L339" s="187"/>
    </row>
    <row r="340" spans="8:12" x14ac:dyDescent="0.3">
      <c r="I340" s="186"/>
      <c r="J340" s="186"/>
      <c r="K340" s="187"/>
      <c r="L340" s="187"/>
    </row>
    <row r="341" spans="8:12" x14ac:dyDescent="0.3">
      <c r="I341" s="186"/>
      <c r="J341" s="186"/>
      <c r="K341" s="187"/>
      <c r="L341" s="187"/>
    </row>
    <row r="342" spans="8:12" x14ac:dyDescent="0.3">
      <c r="I342" s="186"/>
      <c r="J342" s="186"/>
      <c r="K342" s="187"/>
      <c r="L342" s="187"/>
    </row>
    <row r="343" spans="8:12" x14ac:dyDescent="0.3">
      <c r="I343" s="186"/>
      <c r="J343" s="186"/>
      <c r="K343" s="187"/>
      <c r="L343" s="187"/>
    </row>
    <row r="344" spans="8:12" x14ac:dyDescent="0.3">
      <c r="I344" s="186"/>
      <c r="J344" s="186"/>
      <c r="K344" s="187"/>
      <c r="L344" s="187"/>
    </row>
    <row r="345" spans="8:12" x14ac:dyDescent="0.3">
      <c r="I345" s="186"/>
      <c r="J345" s="186"/>
      <c r="K345" s="187"/>
      <c r="L345" s="187"/>
    </row>
    <row r="346" spans="8:12" x14ac:dyDescent="0.3">
      <c r="H346" s="309" t="s">
        <v>1862</v>
      </c>
      <c r="I346" s="186"/>
      <c r="J346" s="186"/>
      <c r="K346" s="187"/>
      <c r="L346" s="187"/>
    </row>
    <row r="347" spans="8:12" x14ac:dyDescent="0.3">
      <c r="I347" s="186"/>
      <c r="J347" s="186"/>
      <c r="K347" s="187"/>
      <c r="L347" s="187"/>
    </row>
    <row r="348" spans="8:12" x14ac:dyDescent="0.3">
      <c r="I348" s="186"/>
      <c r="J348" s="186"/>
      <c r="K348" s="187"/>
      <c r="L348" s="187"/>
    </row>
    <row r="349" spans="8:12" x14ac:dyDescent="0.3">
      <c r="I349" s="186"/>
      <c r="J349" s="186"/>
      <c r="K349" s="187"/>
      <c r="L349" s="187"/>
    </row>
    <row r="350" spans="8:12" x14ac:dyDescent="0.3">
      <c r="I350" s="186"/>
      <c r="J350" s="186"/>
      <c r="K350" s="187"/>
      <c r="L350" s="187"/>
    </row>
    <row r="351" spans="8:12" x14ac:dyDescent="0.3">
      <c r="I351" s="186"/>
      <c r="J351" s="186"/>
      <c r="K351" s="187"/>
      <c r="L351" s="187"/>
    </row>
    <row r="352" spans="8:12" x14ac:dyDescent="0.3">
      <c r="I352" s="186"/>
      <c r="J352" s="186"/>
      <c r="K352" s="187"/>
      <c r="L352" s="187"/>
    </row>
    <row r="353" spans="9:12" x14ac:dyDescent="0.3">
      <c r="I353" s="186"/>
      <c r="J353" s="186"/>
      <c r="K353" s="187"/>
      <c r="L353" s="187"/>
    </row>
    <row r="354" spans="9:12" x14ac:dyDescent="0.3">
      <c r="I354" s="186"/>
      <c r="J354" s="186"/>
      <c r="K354" s="187"/>
      <c r="L354" s="187"/>
    </row>
    <row r="355" spans="9:12" x14ac:dyDescent="0.3">
      <c r="I355" s="186"/>
      <c r="J355" s="186"/>
      <c r="K355" s="187"/>
      <c r="L355" s="187"/>
    </row>
    <row r="356" spans="9:12" x14ac:dyDescent="0.3">
      <c r="I356" s="186"/>
      <c r="J356" s="186"/>
      <c r="K356" s="187"/>
      <c r="L356" s="187"/>
    </row>
    <row r="357" spans="9:12" x14ac:dyDescent="0.3">
      <c r="I357" s="186"/>
      <c r="J357" s="186"/>
      <c r="K357" s="187"/>
      <c r="L357" s="187"/>
    </row>
    <row r="358" spans="9:12" x14ac:dyDescent="0.3">
      <c r="I358" s="186"/>
      <c r="J358" s="186"/>
      <c r="K358" s="187"/>
      <c r="L358" s="187"/>
    </row>
    <row r="359" spans="9:12" x14ac:dyDescent="0.3">
      <c r="I359" s="186"/>
      <c r="J359" s="186"/>
      <c r="K359" s="187"/>
      <c r="L359" s="187"/>
    </row>
    <row r="360" spans="9:12" x14ac:dyDescent="0.3">
      <c r="I360" s="186"/>
      <c r="J360" s="186"/>
      <c r="K360" s="187"/>
      <c r="L360" s="187"/>
    </row>
    <row r="361" spans="9:12" x14ac:dyDescent="0.3">
      <c r="I361" s="186"/>
      <c r="J361" s="186"/>
      <c r="K361" s="187"/>
      <c r="L361" s="187"/>
    </row>
    <row r="362" spans="9:12" x14ac:dyDescent="0.3">
      <c r="I362" s="186"/>
      <c r="J362" s="186"/>
      <c r="K362" s="187"/>
      <c r="L362" s="187"/>
    </row>
    <row r="363" spans="9:12" x14ac:dyDescent="0.3">
      <c r="I363" s="186"/>
      <c r="J363" s="186"/>
      <c r="K363" s="187"/>
      <c r="L363" s="187"/>
    </row>
    <row r="364" spans="9:12" x14ac:dyDescent="0.3">
      <c r="I364" s="186"/>
      <c r="J364" s="186"/>
      <c r="K364" s="187"/>
      <c r="L364" s="187"/>
    </row>
    <row r="365" spans="9:12" x14ac:dyDescent="0.3">
      <c r="I365" s="186"/>
      <c r="J365" s="186"/>
      <c r="K365" s="187"/>
      <c r="L365" s="187"/>
    </row>
    <row r="366" spans="9:12" x14ac:dyDescent="0.3">
      <c r="I366" s="186"/>
      <c r="J366" s="186"/>
      <c r="K366" s="187"/>
      <c r="L366" s="187"/>
    </row>
    <row r="367" spans="9:12" x14ac:dyDescent="0.3">
      <c r="I367" s="186"/>
      <c r="J367" s="186"/>
      <c r="K367" s="187"/>
      <c r="L367" s="187"/>
    </row>
    <row r="368" spans="9:12" x14ac:dyDescent="0.3">
      <c r="I368" s="186"/>
      <c r="J368" s="186"/>
      <c r="K368" s="187"/>
      <c r="L368" s="187"/>
    </row>
    <row r="369" spans="9:12" x14ac:dyDescent="0.3">
      <c r="I369" s="186"/>
      <c r="J369" s="186"/>
      <c r="K369" s="187"/>
      <c r="L369" s="187"/>
    </row>
    <row r="370" spans="9:12" x14ac:dyDescent="0.3">
      <c r="I370" s="186"/>
      <c r="J370" s="186"/>
      <c r="K370" s="187"/>
      <c r="L370" s="187"/>
    </row>
    <row r="371" spans="9:12" x14ac:dyDescent="0.3">
      <c r="I371" s="186"/>
      <c r="J371" s="186"/>
      <c r="K371" s="187"/>
      <c r="L371" s="187"/>
    </row>
    <row r="372" spans="9:12" x14ac:dyDescent="0.3">
      <c r="I372" s="186"/>
      <c r="J372" s="186"/>
      <c r="K372" s="187"/>
      <c r="L372" s="187"/>
    </row>
    <row r="373" spans="9:12" x14ac:dyDescent="0.3">
      <c r="I373" s="186"/>
      <c r="J373" s="186"/>
      <c r="K373" s="187"/>
      <c r="L373" s="187"/>
    </row>
    <row r="374" spans="9:12" x14ac:dyDescent="0.3">
      <c r="I374" s="186"/>
      <c r="J374" s="186"/>
      <c r="K374" s="187"/>
      <c r="L374" s="187"/>
    </row>
    <row r="375" spans="9:12" x14ac:dyDescent="0.3">
      <c r="I375" s="186"/>
      <c r="J375" s="186"/>
      <c r="K375" s="187"/>
      <c r="L375" s="187"/>
    </row>
    <row r="376" spans="9:12" x14ac:dyDescent="0.3">
      <c r="I376" s="186"/>
      <c r="J376" s="186"/>
      <c r="K376" s="187"/>
      <c r="L376" s="187"/>
    </row>
    <row r="377" spans="9:12" x14ac:dyDescent="0.3">
      <c r="I377" s="186"/>
      <c r="J377" s="186"/>
      <c r="K377" s="187"/>
      <c r="L377" s="187"/>
    </row>
    <row r="378" spans="9:12" x14ac:dyDescent="0.3">
      <c r="I378" s="186"/>
      <c r="J378" s="186"/>
      <c r="K378" s="187"/>
      <c r="L378" s="187"/>
    </row>
    <row r="379" spans="9:12" x14ac:dyDescent="0.3">
      <c r="I379" s="186"/>
      <c r="J379" s="186"/>
      <c r="K379" s="187"/>
      <c r="L379" s="187"/>
    </row>
    <row r="380" spans="9:12" x14ac:dyDescent="0.3">
      <c r="I380" s="186"/>
      <c r="J380" s="186"/>
      <c r="K380" s="187"/>
      <c r="L380" s="187"/>
    </row>
    <row r="381" spans="9:12" x14ac:dyDescent="0.3">
      <c r="I381" s="186"/>
      <c r="J381" s="186"/>
      <c r="K381" s="187"/>
      <c r="L381" s="187"/>
    </row>
    <row r="382" spans="9:12" x14ac:dyDescent="0.3">
      <c r="I382" s="186"/>
      <c r="J382" s="186"/>
      <c r="K382" s="187"/>
    </row>
    <row r="383" spans="9:12" x14ac:dyDescent="0.3">
      <c r="I383" s="186"/>
      <c r="J383" s="186"/>
      <c r="K383" s="187"/>
    </row>
    <row r="384" spans="9:12" x14ac:dyDescent="0.3">
      <c r="I384" s="186"/>
      <c r="J384" s="186"/>
      <c r="K384" s="187"/>
    </row>
    <row r="385" spans="9:11" x14ac:dyDescent="0.3">
      <c r="I385" s="186"/>
      <c r="J385" s="186"/>
      <c r="K385" s="187"/>
    </row>
    <row r="386" spans="9:11" x14ac:dyDescent="0.3">
      <c r="I386" s="186"/>
      <c r="J386" s="186"/>
      <c r="K386" s="187"/>
    </row>
    <row r="387" spans="9:11" x14ac:dyDescent="0.3">
      <c r="I387" s="186"/>
      <c r="J387" s="186"/>
      <c r="K387" s="187"/>
    </row>
    <row r="388" spans="9:11" x14ac:dyDescent="0.3">
      <c r="I388" s="186"/>
      <c r="J388" s="186"/>
      <c r="K388" s="187"/>
    </row>
    <row r="389" spans="9:11" x14ac:dyDescent="0.3">
      <c r="I389" s="186"/>
      <c r="J389" s="186"/>
    </row>
    <row r="390" spans="9:11" x14ac:dyDescent="0.3">
      <c r="I390" s="186"/>
      <c r="J390" s="186"/>
    </row>
    <row r="391" spans="9:11" x14ac:dyDescent="0.3">
      <c r="I391" s="186"/>
      <c r="J391" s="186"/>
    </row>
    <row r="392" spans="9:11" x14ac:dyDescent="0.3">
      <c r="I392" s="186"/>
      <c r="J392" s="186"/>
    </row>
    <row r="393" spans="9:11" x14ac:dyDescent="0.3">
      <c r="I393" s="186"/>
      <c r="J393" s="186"/>
    </row>
    <row r="394" spans="9:11" x14ac:dyDescent="0.3">
      <c r="I394" s="186"/>
      <c r="J394" s="186"/>
    </row>
    <row r="395" spans="9:11" x14ac:dyDescent="0.3">
      <c r="I395" s="186"/>
      <c r="J395" s="186"/>
    </row>
    <row r="396" spans="9:11" x14ac:dyDescent="0.3">
      <c r="I396" s="186"/>
      <c r="J396" s="186"/>
    </row>
    <row r="397" spans="9:11" x14ac:dyDescent="0.3">
      <c r="I397" s="100"/>
      <c r="J397" s="100"/>
    </row>
    <row r="398" spans="9:11" x14ac:dyDescent="0.3">
      <c r="I398" s="100"/>
      <c r="J398" s="100"/>
    </row>
    <row r="399" spans="9:11" x14ac:dyDescent="0.3">
      <c r="I399" s="100"/>
      <c r="J399" s="100"/>
    </row>
    <row r="400" spans="9:11" x14ac:dyDescent="0.3">
      <c r="I400" s="100"/>
      <c r="J400" s="100"/>
    </row>
    <row r="401" spans="9:10" x14ac:dyDescent="0.3">
      <c r="I401" s="100"/>
      <c r="J401" s="100"/>
    </row>
    <row r="402" spans="9:10" x14ac:dyDescent="0.3">
      <c r="I402" s="100"/>
      <c r="J402" s="100"/>
    </row>
    <row r="403" spans="9:10" x14ac:dyDescent="0.3">
      <c r="I403" s="100"/>
      <c r="J403" s="100"/>
    </row>
    <row r="404" spans="9:10" x14ac:dyDescent="0.3">
      <c r="I404" s="100"/>
      <c r="J404" s="100"/>
    </row>
    <row r="405" spans="9:10" x14ac:dyDescent="0.3">
      <c r="I405" s="100"/>
      <c r="J405" s="100"/>
    </row>
    <row r="406" spans="9:10" x14ac:dyDescent="0.3">
      <c r="I406" s="100"/>
      <c r="J406" s="100"/>
    </row>
  </sheetData>
  <sheetProtection algorithmName="SHA-512" hashValue="szf+eiZ9I9cw/J6adCIJ8Tbv4NoJimztMzzfjrBIMhKgB3W+i4tMLSoduqCsV+oeXjijM0wuujiZ5Dee0pkLYg==" saltValue="vPSKVlUS+DPChWMwXGzMAQ==" spinCount="100000" sheet="1" formatCells="0"/>
  <dataConsolidate link="1"/>
  <mergeCells count="14">
    <mergeCell ref="B276:E276"/>
    <mergeCell ref="B284:C284"/>
    <mergeCell ref="B286:C286"/>
    <mergeCell ref="B283:C283"/>
    <mergeCell ref="B281:C281"/>
    <mergeCell ref="B282:C282"/>
    <mergeCell ref="B285:C285"/>
    <mergeCell ref="E2:G2"/>
    <mergeCell ref="B2:C2"/>
    <mergeCell ref="B124:D124"/>
    <mergeCell ref="B275:E275"/>
    <mergeCell ref="B268:D268"/>
    <mergeCell ref="B6:G6"/>
    <mergeCell ref="B7:G7"/>
  </mergeCells>
  <phoneticPr fontId="54" type="noConversion"/>
  <conditionalFormatting sqref="H155">
    <cfRule type="cellIs" dxfId="117" priority="106" stopIfTrue="1" operator="notEqual">
      <formula>0</formula>
    </cfRule>
  </conditionalFormatting>
  <conditionalFormatting sqref="G254:G257 G261:G262">
    <cfRule type="cellIs" dxfId="116" priority="105" stopIfTrue="1" operator="notEqual">
      <formula>0</formula>
    </cfRule>
  </conditionalFormatting>
  <conditionalFormatting sqref="H25">
    <cfRule type="cellIs" dxfId="115" priority="104" stopIfTrue="1" operator="notEqual">
      <formula>0</formula>
    </cfRule>
  </conditionalFormatting>
  <conditionalFormatting sqref="H39:H40">
    <cfRule type="cellIs" dxfId="114" priority="103" stopIfTrue="1" operator="notEqual">
      <formula>0</formula>
    </cfRule>
  </conditionalFormatting>
  <conditionalFormatting sqref="H59">
    <cfRule type="cellIs" dxfId="113" priority="102" stopIfTrue="1" operator="notEqual">
      <formula>0</formula>
    </cfRule>
  </conditionalFormatting>
  <conditionalFormatting sqref="H103">
    <cfRule type="cellIs" dxfId="112" priority="100" stopIfTrue="1" operator="notEqual">
      <formula>0</formula>
    </cfRule>
  </conditionalFormatting>
  <conditionalFormatting sqref="H122">
    <cfRule type="cellIs" dxfId="111" priority="99" stopIfTrue="1" operator="notEqual">
      <formula>0</formula>
    </cfRule>
  </conditionalFormatting>
  <conditionalFormatting sqref="H137">
    <cfRule type="cellIs" dxfId="110" priority="98" stopIfTrue="1" operator="notEqual">
      <formula>0</formula>
    </cfRule>
  </conditionalFormatting>
  <conditionalFormatting sqref="H138">
    <cfRule type="cellIs" dxfId="109" priority="97" stopIfTrue="1" operator="notEqual">
      <formula>0</formula>
    </cfRule>
  </conditionalFormatting>
  <conditionalFormatting sqref="G236">
    <cfRule type="cellIs" priority="69" stopIfTrue="1" operator="equal">
      <formula>";;;"</formula>
    </cfRule>
  </conditionalFormatting>
  <conditionalFormatting sqref="G236">
    <cfRule type="cellIs" dxfId="108" priority="68" stopIfTrue="1" operator="equal">
      <formula>0</formula>
    </cfRule>
  </conditionalFormatting>
  <conditionalFormatting sqref="G235">
    <cfRule type="cellIs" priority="66" stopIfTrue="1" operator="equal">
      <formula>";;;"</formula>
    </cfRule>
  </conditionalFormatting>
  <conditionalFormatting sqref="G235">
    <cfRule type="cellIs" dxfId="107" priority="65" stopIfTrue="1" operator="equal">
      <formula>0</formula>
    </cfRule>
  </conditionalFormatting>
  <conditionalFormatting sqref="G235">
    <cfRule type="cellIs" dxfId="106" priority="64" stopIfTrue="1" operator="equal">
      <formula>0</formula>
    </cfRule>
  </conditionalFormatting>
  <conditionalFormatting sqref="G234">
    <cfRule type="cellIs" priority="54" stopIfTrue="1" operator="equal">
      <formula>";;;"</formula>
    </cfRule>
  </conditionalFormatting>
  <conditionalFormatting sqref="G234">
    <cfRule type="cellIs" dxfId="105" priority="53" stopIfTrue="1" operator="equal">
      <formula>0</formula>
    </cfRule>
  </conditionalFormatting>
  <conditionalFormatting sqref="G234">
    <cfRule type="cellIs" dxfId="104" priority="52" stopIfTrue="1" operator="equal">
      <formula>0</formula>
    </cfRule>
  </conditionalFormatting>
  <conditionalFormatting sqref="G229">
    <cfRule type="cellIs" priority="21" stopIfTrue="1" operator="equal">
      <formula>";;;"</formula>
    </cfRule>
  </conditionalFormatting>
  <conditionalFormatting sqref="G229">
    <cfRule type="cellIs" dxfId="103" priority="20" stopIfTrue="1" operator="equal">
      <formula>0</formula>
    </cfRule>
  </conditionalFormatting>
  <conditionalFormatting sqref="G229">
    <cfRule type="cellIs" dxfId="102" priority="19" stopIfTrue="1" operator="equal">
      <formula>0</formula>
    </cfRule>
  </conditionalFormatting>
  <conditionalFormatting sqref="G227">
    <cfRule type="cellIs" priority="18" stopIfTrue="1" operator="equal">
      <formula>";;;"</formula>
    </cfRule>
  </conditionalFormatting>
  <conditionalFormatting sqref="G227">
    <cfRule type="cellIs" dxfId="101" priority="17" stopIfTrue="1" operator="equal">
      <formula>0</formula>
    </cfRule>
  </conditionalFormatting>
  <conditionalFormatting sqref="G227">
    <cfRule type="cellIs" dxfId="100" priority="16" stopIfTrue="1" operator="equal">
      <formula>0</formula>
    </cfRule>
  </conditionalFormatting>
  <conditionalFormatting sqref="G228">
    <cfRule type="cellIs" priority="15" stopIfTrue="1" operator="equal">
      <formula>";;;"</formula>
    </cfRule>
  </conditionalFormatting>
  <conditionalFormatting sqref="G228">
    <cfRule type="cellIs" dxfId="99" priority="14" stopIfTrue="1" operator="equal">
      <formula>0</formula>
    </cfRule>
  </conditionalFormatting>
  <conditionalFormatting sqref="G228">
    <cfRule type="cellIs" dxfId="98" priority="13" stopIfTrue="1" operator="equal">
      <formula>0</formula>
    </cfRule>
  </conditionalFormatting>
  <conditionalFormatting sqref="G231">
    <cfRule type="cellIs" priority="12" stopIfTrue="1" operator="equal">
      <formula>";;;"</formula>
    </cfRule>
  </conditionalFormatting>
  <conditionalFormatting sqref="G231">
    <cfRule type="cellIs" dxfId="97" priority="11" stopIfTrue="1" operator="equal">
      <formula>0</formula>
    </cfRule>
  </conditionalFormatting>
  <conditionalFormatting sqref="G231">
    <cfRule type="cellIs" dxfId="96" priority="10" stopIfTrue="1" operator="equal">
      <formula>0</formula>
    </cfRule>
  </conditionalFormatting>
  <conditionalFormatting sqref="G233">
    <cfRule type="cellIs" priority="4" stopIfTrue="1" operator="equal">
      <formula>";;;"</formula>
    </cfRule>
  </conditionalFormatting>
  <conditionalFormatting sqref="G233">
    <cfRule type="cellIs" dxfId="95" priority="3" stopIfTrue="1" operator="equal">
      <formula>0</formula>
    </cfRule>
  </conditionalFormatting>
  <conditionalFormatting sqref="G233">
    <cfRule type="cellIs" dxfId="94" priority="2" stopIfTrue="1" operator="equal">
      <formula>0</formula>
    </cfRule>
  </conditionalFormatting>
  <conditionalFormatting sqref="H77">
    <cfRule type="expression" dxfId="93" priority="1">
      <formula>$F$77=""</formula>
    </cfRule>
  </conditionalFormatting>
  <dataValidations xWindow="829" yWindow="690" count="19">
    <dataValidation type="list" allowBlank="1" showInputMessage="1" showErrorMessage="1" prompt="Please select your answer from the drop-down list." sqref="F85" xr:uid="{00000000-0002-0000-0100-000005000000}">
      <formula1>$O$2:$O$4</formula1>
    </dataValidation>
    <dataValidation type="list" allowBlank="1" showInputMessage="1" showErrorMessage="1" prompt="Please select your answer from the drop down list." sqref="F267 F263 F224" xr:uid="{FCE57F22-20D9-4CFA-AFE5-1751E216D3C1}">
      <formula1>$P$1:$P$2</formula1>
    </dataValidation>
    <dataValidation type="list" allowBlank="1" showInputMessage="1" showErrorMessage="1" prompt="Please select your answer from the drop down list." sqref="F232" xr:uid="{2CD3BDAD-30EF-425F-BB01-D3FF43CDAA81}">
      <formula1>$P$1:$P$4</formula1>
    </dataValidation>
    <dataValidation type="list" allowBlank="1" showInputMessage="1" showErrorMessage="1" prompt="Please select your response from the drop-down menu." sqref="F271" xr:uid="{DB0EB8F5-2DE0-4833-AFDF-F7BB7A8D56E1}">
      <formula1>$N$8:$N$10</formula1>
    </dataValidation>
    <dataValidation type="list" allowBlank="1" showInputMessage="1" showErrorMessage="1" prompt="Please select your answer from the drop down list." sqref="F265" xr:uid="{7FCE12A8-B6A0-48F9-9BA0-C3D89D188CEE}">
      <formula1>"20,21,22,23"</formula1>
    </dataValidation>
    <dataValidation type="list" operator="greaterThan" allowBlank="1" showInputMessage="1" showErrorMessage="1" prompt="Please select appropriate answer from drop down list." sqref="F185"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177 F173 F157 F30:F41 F27:F28 F46:F61 F63:F76 F160:F169 F86:F103 F105:F122 F125:F138 F142:F155 F81 F181:F183 F20:F25 F78:F79 F43:F44" xr:uid="{B5815DCD-160E-4CA9-A461-76D5F396E4F1}">
      <formula1>ISNUMBER(F20)</formula1>
    </dataValidation>
    <dataValidation type="custom" allowBlank="1" showErrorMessage="1" error="Please enter a numeric value.  If this data is not applicable to your unit of government, the cell should be populated with zero." prompt="_x000a__x000a_" sqref="F221 F200:F203 F206:F209 F194:F197 F218:F219 F214:F216" xr:uid="{DA17F63A-7740-447E-B0DD-1FD94F0BE4C8}">
      <formula1>ISNUMBER(F194)</formula1>
    </dataValidation>
    <dataValidation type="custom" allowBlank="1" showErrorMessage="1" error="Please enter a numeric value.  If this data is not applicable to your unit of government, the cell should be populated with zero." sqref="F264 F254:F262 F251 F247 F226:F229 F233:F235 F249 F238:F245" xr:uid="{6656F482-2030-43E8-B669-24F0F4187CE8}">
      <formula1>ISNUMBER(F226)</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30" xr:uid="{8DAFED68-C7CC-4E4B-B0DE-1B3BA6E17585}">
      <formula1>-ISNUMBER(221)</formula1>
    </dataValidation>
    <dataValidation type="list" allowBlank="1" showInputMessage="1" showErrorMessage="1" prompt="Please select appropriate answer from drop down list." sqref="F184" xr:uid="{15C60609-2D17-4E28-A2AB-41834F9A09EE}">
      <formula1>"1,2"</formula1>
    </dataValidation>
    <dataValidation type="custom" allowBlank="1" showInputMessage="1" showErrorMessage="1" error="Please enter a numeric value. If this data is not applicable to your unit of government, the cell should be populated with zero." sqref="F9:F19" xr:uid="{2B8A4F99-9CD2-4D02-A062-E988EF3799E5}">
      <formula1>ISNUMBER(F9)</formula1>
    </dataValidation>
    <dataValidation type="list" allowBlank="1" showInputMessage="1" showErrorMessage="1" prompt="Please select your answer from drop down list." sqref="F175 F139:F140" xr:uid="{B28A4ED8-9280-4348-99A1-3B99F5248D33}">
      <formula1>$P$1:$P$2</formula1>
    </dataValidation>
    <dataValidation type="custom" allowBlank="1" showErrorMessage="1" error="Please enter a numeric value.  If this data is not applicable to your unit of government, the cell should be populated wih zero." sqref="F231" xr:uid="{EE3DADAD-5656-406D-A714-9D6C22BCD542}">
      <formula1>ISNUMBER(F231)</formula1>
    </dataValidation>
    <dataValidation type="list" allowBlank="1" showInputMessage="1" showErrorMessage="1" error="Please enter a numeric value.  If this data is not applicable to your unit of government, the cell should be populated with zero." prompt="Please select your answer from the drop down list._x000a_" sqref="F171" xr:uid="{D5C6965D-2887-4BB7-9AAD-B150E1F049E6}">
      <formula1>"1, 2,3"</formula1>
    </dataValidation>
    <dataValidation type="list" allowBlank="1" showInputMessage="1" showErrorMessage="1" error="Please enter a numeric value.  If this data is not applicable to your unit of government, the cell should be populated with zero." prompt="Please select your answer from the drop down list." sqref="F170" xr:uid="{CB2C6E7F-7BC8-4064-AC01-4376819B3BBA}">
      <formula1>"1, 2,3"</formula1>
    </dataValidation>
    <dataValidation type="list" allowBlank="1" showInputMessage="1" showErrorMessage="1" prompt="Please select your response from the drop-down menu." sqref="F272" xr:uid="{4AB0A0E0-96FC-4194-B5A7-E7BCBCE1281A}">
      <formula1>$N$1:$N$2</formula1>
    </dataValidation>
    <dataValidation type="list" allowBlank="1" showInputMessage="1" showErrorMessage="1" prompt="Please select your answer  from the drop down list." sqref="F77" xr:uid="{A85FF889-D99F-45B3-A284-6701B76512B6}">
      <formula1>$N$4:$N$6</formula1>
    </dataValidation>
    <dataValidation type="date" operator="greaterThan" allowBlank="1" showInputMessage="1" showErrorMessage="1" sqref="D283" xr:uid="{87987CFB-254C-4218-8C1E-4ED20C439C6B}">
      <formula1>45107</formula1>
    </dataValidation>
  </dataValidations>
  <printOptions headings="1" gridLines="1"/>
  <pageMargins left="0.25" right="0.25" top="0.25" bottom="0.75" header="0.3" footer="0.3"/>
  <pageSetup scale="74" fitToHeight="0" orientation="portrait" r:id="rId1"/>
  <headerFooter>
    <oddFooter>&amp;LPage &amp;P&amp;R&amp;Z&amp;F</oddFooter>
  </headerFooter>
  <ignoredErrors>
    <ignoredError sqref="H258:H260"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Names(H)'!$A$1:$A$86</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5F4B-0208-438D-B7E1-1D455154237E}">
  <sheetPr codeName="Sheet3"/>
  <dimension ref="A1:M52"/>
  <sheetViews>
    <sheetView zoomScaleNormal="100" workbookViewId="0">
      <selection activeCell="C11" sqref="C11"/>
    </sheetView>
  </sheetViews>
  <sheetFormatPr defaultRowHeight="14.4" x14ac:dyDescent="0.3"/>
  <cols>
    <col min="1" max="1" width="5.88671875" style="155" customWidth="1"/>
    <col min="2" max="2" width="86.33203125" customWidth="1"/>
    <col min="3" max="3" width="19" customWidth="1"/>
    <col min="4" max="4" width="50.33203125" style="524" customWidth="1"/>
    <col min="5" max="5" width="25.5546875" customWidth="1"/>
    <col min="6" max="6" width="23" customWidth="1"/>
    <col min="7" max="7" width="32.109375" customWidth="1"/>
    <col min="8" max="9" width="8.88671875" style="626"/>
    <col min="10" max="10" width="1.6640625" style="626" customWidth="1"/>
    <col min="11" max="12" width="8.88671875" style="626" hidden="1" customWidth="1"/>
    <col min="13" max="13" width="13" style="626" customWidth="1"/>
  </cols>
  <sheetData>
    <row r="1" spans="1:13" s="559" customFormat="1" ht="12" customHeight="1" thickBot="1" x14ac:dyDescent="0.35">
      <c r="A1" s="558"/>
      <c r="D1" s="620"/>
      <c r="E1"/>
      <c r="F1"/>
      <c r="G1"/>
      <c r="H1" s="625"/>
      <c r="I1" s="625"/>
      <c r="J1" s="625"/>
      <c r="K1" s="625"/>
      <c r="L1" s="625"/>
      <c r="M1" s="625"/>
    </row>
    <row r="2" spans="1:13" ht="34.950000000000003" customHeight="1" thickBot="1" x14ac:dyDescent="0.35">
      <c r="A2" s="1089" t="s">
        <v>1463</v>
      </c>
      <c r="B2" s="1090"/>
      <c r="C2" s="1090"/>
      <c r="D2" s="1091"/>
    </row>
    <row r="3" spans="1:13" s="559" customFormat="1" ht="8.4" customHeight="1" thickBot="1" x14ac:dyDescent="0.35">
      <c r="A3" s="619"/>
      <c r="D3" s="620"/>
      <c r="E3"/>
      <c r="F3"/>
      <c r="G3"/>
      <c r="H3" s="625"/>
      <c r="I3" s="625"/>
      <c r="J3" s="625"/>
      <c r="K3" s="625"/>
      <c r="L3" s="625"/>
      <c r="M3" s="625"/>
    </row>
    <row r="4" spans="1:13" ht="16.95" customHeight="1" thickBot="1" x14ac:dyDescent="0.35">
      <c r="A4" s="1092" t="s">
        <v>1464</v>
      </c>
      <c r="B4" s="1093"/>
      <c r="C4" s="1093"/>
      <c r="D4" s="1094"/>
    </row>
    <row r="5" spans="1:13" ht="9" customHeight="1" thickBot="1" x14ac:dyDescent="0.35">
      <c r="A5"/>
      <c r="D5"/>
      <c r="H5"/>
      <c r="I5"/>
      <c r="J5"/>
      <c r="K5"/>
      <c r="L5"/>
      <c r="M5"/>
    </row>
    <row r="6" spans="1:13" ht="18.600000000000001" customHeight="1" thickBot="1" x14ac:dyDescent="0.35">
      <c r="A6" s="1095" t="s">
        <v>859</v>
      </c>
      <c r="B6" s="1096"/>
      <c r="C6" s="1096"/>
      <c r="D6" s="1097"/>
    </row>
    <row r="7" spans="1:13" s="180" customFormat="1" ht="7.95" customHeight="1" thickBot="1" x14ac:dyDescent="0.35"/>
    <row r="8" spans="1:13" s="180" customFormat="1" ht="36.6" customHeight="1" thickBot="1" x14ac:dyDescent="0.4">
      <c r="A8" s="1098" t="s">
        <v>1879</v>
      </c>
      <c r="B8" s="1099"/>
      <c r="C8" s="1099"/>
      <c r="D8" s="1100"/>
    </row>
    <row r="9" spans="1:13" s="559" customFormat="1" ht="13.95" customHeight="1" thickBot="1" x14ac:dyDescent="0.35">
      <c r="A9" s="621"/>
      <c r="B9" s="622"/>
      <c r="C9" s="622"/>
      <c r="D9" s="624"/>
      <c r="E9" s="1087" t="s">
        <v>1890</v>
      </c>
      <c r="F9"/>
      <c r="G9"/>
      <c r="H9" s="625"/>
      <c r="I9" s="625"/>
      <c r="J9" s="625"/>
      <c r="K9" s="625"/>
      <c r="L9" s="625"/>
      <c r="M9" s="625"/>
    </row>
    <row r="10" spans="1:13" ht="47.25" customHeight="1" x14ac:dyDescent="0.3">
      <c r="A10" s="758" t="s">
        <v>799</v>
      </c>
      <c r="B10" s="759"/>
      <c r="C10" s="759"/>
      <c r="D10" s="760"/>
      <c r="E10" s="1088"/>
    </row>
    <row r="11" spans="1:13" s="535" customFormat="1" ht="40.200000000000003" customHeight="1" x14ac:dyDescent="0.3">
      <c r="A11" s="650">
        <v>906</v>
      </c>
      <c r="B11" s="651" t="s">
        <v>462</v>
      </c>
      <c r="C11" s="744"/>
      <c r="D11" s="931" t="str">
        <f t="shared" ref="D11:D32" si="0">IF(C11="","This Question must be answered before uploading, the report will not be processed if left blank","")</f>
        <v>This Question must be answered before uploading, the report will not be processed if left blank</v>
      </c>
      <c r="E11" s="1021"/>
      <c r="F11"/>
      <c r="G11"/>
      <c r="H11" s="627"/>
      <c r="I11" s="627"/>
      <c r="J11" s="627"/>
      <c r="K11" s="627"/>
      <c r="L11" s="627"/>
      <c r="M11" s="627"/>
    </row>
    <row r="12" spans="1:13" ht="40.200000000000003" customHeight="1" x14ac:dyDescent="0.3">
      <c r="A12" s="650">
        <v>907</v>
      </c>
      <c r="B12" s="651" t="s">
        <v>1446</v>
      </c>
      <c r="C12" s="744"/>
      <c r="D12" s="931" t="str">
        <f t="shared" si="0"/>
        <v>This Question must be answered before uploading, the report will not be processed if left blank</v>
      </c>
      <c r="E12" s="1022"/>
      <c r="H12" s="627"/>
      <c r="I12" s="627"/>
      <c r="J12" s="627"/>
      <c r="K12" s="627"/>
      <c r="L12" s="627"/>
    </row>
    <row r="13" spans="1:13" s="180" customFormat="1" ht="51.6" customHeight="1" x14ac:dyDescent="0.3">
      <c r="A13" s="779">
        <v>1055</v>
      </c>
      <c r="B13" s="651" t="s">
        <v>1875</v>
      </c>
      <c r="C13" s="744"/>
      <c r="D13" s="714" t="str">
        <f>IF(C13="","This question must be answered before uploading. The report will not be processed if left blank.",IF(C13="Yes","Financial Performance Indicator of Concern that requires a response.  Please provide source document and page number in cell E13.",""))</f>
        <v>This question must be answered before uploading. The report will not be processed if left blank.</v>
      </c>
      <c r="E13" s="1023"/>
      <c r="F13"/>
      <c r="G13"/>
      <c r="H13" s="627"/>
      <c r="I13" s="627"/>
      <c r="J13" s="627"/>
      <c r="K13" s="627"/>
      <c r="L13" s="627"/>
      <c r="M13" s="626"/>
    </row>
    <row r="14" spans="1:13" s="180" customFormat="1" ht="48.6" customHeight="1" x14ac:dyDescent="0.3">
      <c r="A14" s="779">
        <v>1056</v>
      </c>
      <c r="B14" s="651" t="s">
        <v>1443</v>
      </c>
      <c r="C14" s="744"/>
      <c r="D14" s="931" t="str">
        <f>IF(C14="","This question must be answered before uploading. The report will not be processed if left blank.",IF(C14="Yes"," Financial Performance Indicator of Concern that requires a response.  Please provide source document and page number in cell E14.",""))</f>
        <v>This question must be answered before uploading. The report will not be processed if left blank.</v>
      </c>
      <c r="E14" s="1023"/>
      <c r="F14"/>
      <c r="G14"/>
      <c r="H14" s="627"/>
      <c r="I14" s="627"/>
      <c r="J14" s="627"/>
      <c r="K14" s="627"/>
      <c r="L14" s="627"/>
      <c r="M14" s="626"/>
    </row>
    <row r="15" spans="1:13" s="180" customFormat="1" ht="55.2" customHeight="1" x14ac:dyDescent="0.3">
      <c r="A15" s="650">
        <v>1057</v>
      </c>
      <c r="B15" s="651" t="s">
        <v>1886</v>
      </c>
      <c r="C15" s="744"/>
      <c r="D15" s="931" t="str">
        <f>IF(C15="","This question must be answered before uploading. The report will not be processed if left blank.",IF(C15="Yes","Financial Performance Indicator of Concern that requires a response.  Please provide source document and page number in cell E15.",""))</f>
        <v>This question must be answered before uploading. The report will not be processed if left blank.</v>
      </c>
      <c r="E15" s="1022"/>
      <c r="F15"/>
      <c r="G15"/>
      <c r="H15" s="627"/>
      <c r="I15" s="627"/>
      <c r="J15" s="627"/>
      <c r="K15" s="627"/>
      <c r="L15" s="627"/>
      <c r="M15" s="626"/>
    </row>
    <row r="16" spans="1:13" ht="57" customHeight="1" x14ac:dyDescent="0.3">
      <c r="A16" s="779">
        <v>1058</v>
      </c>
      <c r="B16" s="651" t="s">
        <v>1887</v>
      </c>
      <c r="C16" s="744"/>
      <c r="D16" s="931" t="str">
        <f>IF(C16="","This question must be answered before uploading. The report will not be processed if left blank.",IF(C16="Yes","Financial Performance Indicator of Concern that requires a response.  Please provide source document and page number in cell E16.",""))</f>
        <v>This question must be answered before uploading. The report will not be processed if left blank.</v>
      </c>
      <c r="E16" s="1022"/>
    </row>
    <row r="17" spans="1:13" ht="113.4" customHeight="1" x14ac:dyDescent="0.3">
      <c r="A17" s="650">
        <v>1059</v>
      </c>
      <c r="B17" s="651" t="s">
        <v>1911</v>
      </c>
      <c r="C17" s="744"/>
      <c r="D17" s="931" t="str">
        <f>IF(C17="","This question must be answered before uploading. The report will not be processed if left blank.",IF(C17="No","Financial Performance Indicator of Concern that requires a response.  Please provide source document and page number in cell E17.",""))</f>
        <v>This question must be answered before uploading. The report will not be processed if left blank.</v>
      </c>
      <c r="E17" s="1022"/>
      <c r="H17" s="627"/>
      <c r="I17" s="627"/>
      <c r="J17" s="627"/>
      <c r="K17" s="627"/>
      <c r="L17" s="627"/>
    </row>
    <row r="18" spans="1:13" s="180" customFormat="1" ht="113.4" customHeight="1" x14ac:dyDescent="0.3">
      <c r="A18" s="650">
        <v>1078</v>
      </c>
      <c r="B18" s="651" t="s">
        <v>1925</v>
      </c>
      <c r="C18" s="744"/>
      <c r="D18" s="931" t="str">
        <f>IF(C18="","This question must be answered before uploading. The report will not be processed if left blank.",IF(C18="Yes","Please provide source document and page number in cell E18.",""))</f>
        <v>This question must be answered before uploading. The report will not be processed if left blank.</v>
      </c>
      <c r="E18" s="1022"/>
      <c r="F18"/>
      <c r="H18" s="627"/>
      <c r="I18" s="627"/>
      <c r="J18" s="627"/>
      <c r="K18" s="627"/>
      <c r="L18" s="627"/>
      <c r="M18" s="626"/>
    </row>
    <row r="19" spans="1:13" s="180" customFormat="1" ht="78.599999999999994" customHeight="1" x14ac:dyDescent="0.3">
      <c r="A19" s="766">
        <v>1067</v>
      </c>
      <c r="B19" s="776" t="s">
        <v>1671</v>
      </c>
      <c r="C19" s="744"/>
      <c r="D19" s="931" t="str">
        <f>IF(C19="","This question must be answered before uploading. The report will not be processed if left blank.",IF(C19="No","Financial Performance Indicator of Concern that requires a response.  Please provide source document and page number in cell E19.",""))</f>
        <v>This question must be answered before uploading. The report will not be processed if left blank.</v>
      </c>
      <c r="E19" s="1022"/>
      <c r="G19"/>
      <c r="H19" s="627"/>
      <c r="I19" s="627"/>
      <c r="J19" s="627"/>
      <c r="K19" s="627"/>
      <c r="L19" s="627"/>
      <c r="M19" s="626"/>
    </row>
    <row r="20" spans="1:13" ht="40.200000000000003" customHeight="1" x14ac:dyDescent="0.3">
      <c r="A20" s="650">
        <v>951</v>
      </c>
      <c r="B20" s="651" t="s">
        <v>1447</v>
      </c>
      <c r="C20" s="744"/>
      <c r="D20" s="931" t="str">
        <f t="shared" si="0"/>
        <v>This Question must be answered before uploading, the report will not be processed if left blank</v>
      </c>
      <c r="E20" s="1022"/>
      <c r="H20" s="627"/>
      <c r="I20" s="627"/>
      <c r="J20" s="627"/>
      <c r="K20" s="627"/>
      <c r="L20" s="627"/>
    </row>
    <row r="21" spans="1:13" ht="40.200000000000003" customHeight="1" x14ac:dyDescent="0.3">
      <c r="A21" s="650">
        <v>953</v>
      </c>
      <c r="B21" s="651" t="s">
        <v>1574</v>
      </c>
      <c r="C21" s="744"/>
      <c r="D21" s="931" t="str">
        <f t="shared" si="0"/>
        <v>This Question must be answered before uploading, the report will not be processed if left blank</v>
      </c>
      <c r="E21" s="1022"/>
      <c r="H21" s="627"/>
      <c r="I21" s="627"/>
      <c r="J21" s="627"/>
      <c r="K21" s="627"/>
      <c r="L21" s="627"/>
    </row>
    <row r="22" spans="1:13" ht="52.95" customHeight="1" x14ac:dyDescent="0.3">
      <c r="A22" s="779">
        <v>955</v>
      </c>
      <c r="B22" s="651" t="s">
        <v>1575</v>
      </c>
      <c r="C22" s="744"/>
      <c r="D22" s="931" t="str">
        <f>IF(C22="","This question must be answered before uploading. The report will not be processed if left blank.",IF(C22&gt;0,"Financial Performance Indicator of Concern that requires a response.  Please provide source document and page number in E22.",""))</f>
        <v>This question must be answered before uploading. The report will not be processed if left blank.</v>
      </c>
      <c r="E22" s="1022"/>
      <c r="H22" s="627"/>
      <c r="I22" s="627"/>
      <c r="J22" s="627"/>
      <c r="K22" s="627"/>
      <c r="L22" s="627"/>
    </row>
    <row r="23" spans="1:13" ht="48" customHeight="1" x14ac:dyDescent="0.3">
      <c r="A23" s="779">
        <v>957</v>
      </c>
      <c r="B23" s="651" t="s">
        <v>1578</v>
      </c>
      <c r="C23" s="744"/>
      <c r="D23" s="931" t="str">
        <f>IF(C23="","This question must be answered before uploading. The report will not be processed if left blank.",IF(C23&gt;0,"Financial Performance Indicator of Concern that requires a response.",""))</f>
        <v>This question must be answered before uploading. The report will not be processed if left blank.</v>
      </c>
      <c r="E23" s="1022"/>
      <c r="H23" s="627"/>
      <c r="I23" s="627"/>
      <c r="J23" s="627"/>
      <c r="K23" s="627"/>
      <c r="L23" s="627"/>
    </row>
    <row r="24" spans="1:13" s="180" customFormat="1" ht="115.8" customHeight="1" x14ac:dyDescent="0.3">
      <c r="A24" s="650">
        <v>973</v>
      </c>
      <c r="B24" s="651" t="s">
        <v>1888</v>
      </c>
      <c r="C24" s="744"/>
      <c r="D24" s="931" t="str">
        <f>IF(C24="","This question must be answered before uploading. The report will not be processed if left blank.",IF(C24&gt;0,"Financial Performance Indicator of Concern that requires a response.",""))</f>
        <v>This question must be answered before uploading. The report will not be processed if left blank.</v>
      </c>
      <c r="E24" s="1022"/>
      <c r="F24"/>
      <c r="G24"/>
      <c r="H24" s="627"/>
      <c r="I24" s="627"/>
      <c r="J24" s="627"/>
      <c r="K24" s="627"/>
      <c r="L24" s="627"/>
      <c r="M24" s="626"/>
    </row>
    <row r="25" spans="1:13" s="180" customFormat="1" ht="52.8" customHeight="1" x14ac:dyDescent="0.3">
      <c r="A25" s="650">
        <v>959</v>
      </c>
      <c r="B25" s="651" t="s">
        <v>645</v>
      </c>
      <c r="C25" s="744"/>
      <c r="D25" s="931" t="str">
        <f>IF(C25="","This question must be answered before uploading. The report will not be processed if left blank.",IF(C25="Yes","Financial Performance Indicator of Concern that requires a response.  Please provide  source document and page number in cell E25.",""))</f>
        <v>This question must be answered before uploading. The report will not be processed if left blank.</v>
      </c>
      <c r="E25" s="1022"/>
      <c r="F25"/>
      <c r="G25"/>
      <c r="H25" s="627"/>
      <c r="I25" s="627"/>
      <c r="J25" s="627"/>
      <c r="K25" s="627"/>
      <c r="L25" s="627"/>
      <c r="M25" s="626"/>
    </row>
    <row r="26" spans="1:13" ht="93" customHeight="1" x14ac:dyDescent="0.3">
      <c r="A26" s="650">
        <v>974</v>
      </c>
      <c r="B26" s="651" t="s">
        <v>648</v>
      </c>
      <c r="C26" s="744"/>
      <c r="D26" s="931" t="str">
        <f>IF(C26="","This question must be answered before uploading. The report will not be processed if left blank.",IF(C26="Yes","Financial Performance Indicator of Concern that requires a response.  Please provide source document and page number in cell E26.",""))</f>
        <v>This question must be answered before uploading. The report will not be processed if left blank.</v>
      </c>
      <c r="E26" s="1022"/>
      <c r="H26" s="627"/>
      <c r="I26" s="627"/>
      <c r="J26" s="627"/>
      <c r="K26" s="627"/>
      <c r="L26" s="627"/>
    </row>
    <row r="27" spans="1:13" ht="40.200000000000003" customHeight="1" x14ac:dyDescent="0.3">
      <c r="A27" s="650" t="s">
        <v>599</v>
      </c>
      <c r="B27" s="651" t="s">
        <v>2067</v>
      </c>
      <c r="C27" s="744"/>
      <c r="D27" s="931" t="str">
        <f>IF(C27="","This Question must be answered before uploading, the report will not be processed if left blank",IF(C27="Yes","Please submit copy via LGC File Portal.",""))</f>
        <v>This Question must be answered before uploading, the report will not be processed if left blank</v>
      </c>
      <c r="E27" s="1022"/>
      <c r="H27" s="627"/>
      <c r="I27" s="627"/>
      <c r="J27" s="627"/>
      <c r="K27" s="627"/>
      <c r="L27" s="627"/>
    </row>
    <row r="28" spans="1:13" ht="40.200000000000003" customHeight="1" x14ac:dyDescent="0.3">
      <c r="A28" s="650" t="s">
        <v>600</v>
      </c>
      <c r="B28" s="651" t="s">
        <v>1865</v>
      </c>
      <c r="C28" s="744"/>
      <c r="D28" s="931" t="str">
        <f t="shared" ref="D28:D29" si="1">IF(C28="","This Question must be answered before uploading, the report will not be processed if left blank",IF(C28="Yes","Please submit copy via LGC File Portal.",""))</f>
        <v>This Question must be answered before uploading, the report will not be processed if left blank</v>
      </c>
      <c r="E28" s="1022"/>
      <c r="H28" s="627"/>
      <c r="I28" s="627"/>
      <c r="J28" s="627"/>
      <c r="K28" s="627"/>
      <c r="L28" s="627"/>
    </row>
    <row r="29" spans="1:13" ht="40.200000000000003" customHeight="1" x14ac:dyDescent="0.3">
      <c r="A29" s="650" t="s">
        <v>601</v>
      </c>
      <c r="B29" s="651" t="s">
        <v>1868</v>
      </c>
      <c r="C29" s="744"/>
      <c r="D29" s="931" t="str">
        <f t="shared" si="1"/>
        <v>This Question must be answered before uploading, the report will not be processed if left blank</v>
      </c>
      <c r="E29" s="1022"/>
      <c r="H29" s="627"/>
      <c r="I29" s="627"/>
      <c r="J29" s="627"/>
      <c r="K29" s="627"/>
      <c r="L29" s="627"/>
    </row>
    <row r="30" spans="1:13" s="180" customFormat="1" ht="40.200000000000003" customHeight="1" x14ac:dyDescent="0.3">
      <c r="A30" s="650" t="s">
        <v>1938</v>
      </c>
      <c r="B30" s="1000" t="s">
        <v>1965</v>
      </c>
      <c r="C30" s="745">
        <v>45473</v>
      </c>
      <c r="D30" s="999" t="s">
        <v>1972</v>
      </c>
      <c r="E30" s="1022"/>
      <c r="H30" s="627"/>
      <c r="I30" s="627"/>
      <c r="J30" s="627"/>
      <c r="K30" s="627"/>
      <c r="L30" s="627"/>
      <c r="M30" s="626"/>
    </row>
    <row r="31" spans="1:13" ht="40.200000000000003" customHeight="1" x14ac:dyDescent="0.3">
      <c r="A31" s="650">
        <v>1079</v>
      </c>
      <c r="B31" s="651" t="s">
        <v>1948</v>
      </c>
      <c r="C31" s="745"/>
      <c r="D31" s="931" t="str">
        <f>IF(C31="","This question must be answered before uploading. The report will not be processed if left blank.",IF(C31&gt;'Performance  Indicators Print'!N30,"Financial Performance Indicator of Concern that requires a response.",""))</f>
        <v>This question must be answered before uploading. The report will not be processed if left blank.</v>
      </c>
      <c r="E31" s="1023"/>
      <c r="F31" s="180"/>
      <c r="H31" s="627"/>
      <c r="I31" s="627"/>
      <c r="J31" s="627"/>
      <c r="K31" s="627"/>
      <c r="L31" s="627"/>
    </row>
    <row r="32" spans="1:13" ht="52.95" customHeight="1" x14ac:dyDescent="0.3">
      <c r="A32" s="650">
        <v>980</v>
      </c>
      <c r="B32" s="651" t="s">
        <v>1952</v>
      </c>
      <c r="C32" s="745"/>
      <c r="D32" s="931" t="str">
        <f t="shared" si="0"/>
        <v>This Question must be answered before uploading, the report will not be processed if left blank</v>
      </c>
      <c r="E32" s="1022"/>
      <c r="H32"/>
      <c r="I32"/>
      <c r="J32"/>
      <c r="K32"/>
      <c r="L32"/>
      <c r="M32"/>
    </row>
    <row r="33" spans="1:13" ht="40.200000000000003" customHeight="1" x14ac:dyDescent="0.3">
      <c r="A33" s="1013">
        <v>975</v>
      </c>
      <c r="B33" s="1029" t="s">
        <v>1889</v>
      </c>
      <c r="C33" s="1014"/>
      <c r="D33" s="1015" t="str">
        <f>IF(C33="","This question must be answered before uploading. The report will not be processed if left blank.",IF(C33="Yes","Financial Performance Indicator of Concern that requires a response.",""))</f>
        <v>This question must be answered before uploading. The report will not be processed if left blank.</v>
      </c>
      <c r="E33" s="1022"/>
      <c r="H33" s="627"/>
      <c r="I33" s="627"/>
      <c r="J33" s="627"/>
      <c r="K33" s="627"/>
      <c r="L33" s="627"/>
    </row>
    <row r="34" spans="1:13" ht="25.95" customHeight="1" x14ac:dyDescent="0.3">
      <c r="A34" s="1017" t="s">
        <v>1569</v>
      </c>
      <c r="B34" s="1018"/>
      <c r="C34" s="1019"/>
      <c r="D34" s="1020"/>
      <c r="E34" s="1024"/>
      <c r="H34"/>
      <c r="I34"/>
      <c r="J34"/>
      <c r="K34"/>
      <c r="L34"/>
      <c r="M34"/>
    </row>
    <row r="35" spans="1:13" ht="43.2" customHeight="1" x14ac:dyDescent="0.3">
      <c r="A35" s="1044">
        <v>1068</v>
      </c>
      <c r="B35" s="1045" t="s">
        <v>1570</v>
      </c>
      <c r="C35" s="1016"/>
      <c r="D35" s="1030" t="str">
        <f>IF(C35="","This Question must be answered before uploading, the report will not be processed if left blank","")</f>
        <v>This Question must be answered before uploading, the report will not be processed if left blank</v>
      </c>
      <c r="E35" s="1024"/>
      <c r="H35"/>
      <c r="I35"/>
      <c r="J35"/>
      <c r="K35"/>
      <c r="L35"/>
      <c r="M35"/>
    </row>
    <row r="36" spans="1:13" ht="43.2" customHeight="1" x14ac:dyDescent="0.3">
      <c r="A36" s="650">
        <v>1069</v>
      </c>
      <c r="B36" s="651" t="s">
        <v>1576</v>
      </c>
      <c r="C36" s="744"/>
      <c r="D36" s="714" t="str">
        <f t="shared" ref="D36:D38" si="2">IF(C36="","This Question must be answered before uploading, the report will not be processed if left blank","")</f>
        <v>This Question must be answered before uploading, the report will not be processed if left blank</v>
      </c>
      <c r="E36" s="1024"/>
      <c r="H36"/>
      <c r="I36"/>
      <c r="J36"/>
      <c r="K36"/>
      <c r="L36"/>
      <c r="M36"/>
    </row>
    <row r="37" spans="1:13" ht="43.2" customHeight="1" x14ac:dyDescent="0.3">
      <c r="A37" s="650">
        <v>1070</v>
      </c>
      <c r="B37" s="651" t="s">
        <v>1877</v>
      </c>
      <c r="C37" s="744"/>
      <c r="D37" s="714" t="str">
        <f t="shared" si="2"/>
        <v>This Question must be answered before uploading, the report will not be processed if left blank</v>
      </c>
      <c r="E37" s="1024"/>
      <c r="H37"/>
      <c r="I37"/>
      <c r="J37"/>
      <c r="K37"/>
      <c r="L37"/>
      <c r="M37"/>
    </row>
    <row r="38" spans="1:13" ht="43.2" customHeight="1" x14ac:dyDescent="0.3">
      <c r="A38" s="650">
        <v>1071</v>
      </c>
      <c r="B38" s="651" t="s">
        <v>1950</v>
      </c>
      <c r="C38" s="773"/>
      <c r="D38" s="714" t="str">
        <f t="shared" si="2"/>
        <v>This Question must be answered before uploading, the report will not be processed if left blank</v>
      </c>
      <c r="E38" s="1024"/>
      <c r="H38"/>
      <c r="I38"/>
      <c r="J38"/>
      <c r="K38"/>
      <c r="L38"/>
      <c r="M38"/>
    </row>
    <row r="39" spans="1:13" x14ac:dyDescent="0.3">
      <c r="A39"/>
      <c r="D39"/>
      <c r="E39" s="524"/>
      <c r="H39"/>
      <c r="I39"/>
      <c r="J39"/>
      <c r="K39"/>
      <c r="L39"/>
      <c r="M39"/>
    </row>
    <row r="40" spans="1:13" s="180" customFormat="1" ht="40.200000000000003" customHeight="1" x14ac:dyDescent="0.3">
      <c r="A40" s="650" t="s">
        <v>602</v>
      </c>
      <c r="B40" s="714" t="str">
        <f>IF(D40="","This Question must be answered before uploading, the report will not be processed if left blank","")</f>
        <v>This Question must be answered before uploading, the report will not be processed if left blank</v>
      </c>
      <c r="C40" s="655" t="s">
        <v>463</v>
      </c>
      <c r="D40" s="1031"/>
      <c r="E40" s="524"/>
      <c r="F40"/>
      <c r="G40"/>
      <c r="H40" s="626"/>
      <c r="I40" s="626"/>
      <c r="J40" s="626"/>
      <c r="K40" s="626"/>
      <c r="L40" s="626"/>
      <c r="M40" s="626"/>
    </row>
    <row r="41" spans="1:13" ht="14.4" customHeight="1" x14ac:dyDescent="0.3">
      <c r="A41" s="558"/>
      <c r="B41" s="620"/>
      <c r="C41" s="559"/>
      <c r="D41" s="1032"/>
      <c r="E41" s="524"/>
    </row>
    <row r="42" spans="1:13" ht="40.200000000000003" customHeight="1" x14ac:dyDescent="0.3">
      <c r="A42" s="650" t="s">
        <v>603</v>
      </c>
      <c r="B42" s="714" t="str">
        <f>IF(D42="","This Question must be answered before uploading, the report will not be processed if left blank","")</f>
        <v>This Question must be answered before uploading, the report will not be processed if left blank</v>
      </c>
      <c r="C42" s="655" t="s">
        <v>464</v>
      </c>
      <c r="D42" s="1031"/>
      <c r="E42" s="524"/>
    </row>
    <row r="43" spans="1:13" ht="14.4" customHeight="1" x14ac:dyDescent="0.3">
      <c r="A43" s="558"/>
      <c r="B43" s="620"/>
      <c r="C43" s="559"/>
      <c r="D43" s="1032"/>
      <c r="E43" s="524"/>
    </row>
    <row r="44" spans="1:13" s="180" customFormat="1" ht="40.200000000000003" customHeight="1" x14ac:dyDescent="0.3">
      <c r="A44" s="650" t="s">
        <v>857</v>
      </c>
      <c r="B44" s="714" t="str">
        <f>IF(D44="","This Question must be answered before uploading, the report will not be processed if left blank","")</f>
        <v>This Question must be answered before uploading, the report will not be processed if left blank</v>
      </c>
      <c r="C44" s="655" t="s">
        <v>1448</v>
      </c>
      <c r="D44" s="761"/>
      <c r="E44" s="524"/>
      <c r="F44"/>
      <c r="G44"/>
      <c r="H44" s="626"/>
      <c r="I44" s="626"/>
      <c r="J44" s="626"/>
      <c r="K44" s="626"/>
      <c r="L44" s="626"/>
      <c r="M44" s="626"/>
    </row>
    <row r="48" spans="1:13" x14ac:dyDescent="0.3">
      <c r="A48" s="746"/>
      <c r="B48" s="747" t="s">
        <v>465</v>
      </c>
      <c r="C48" s="748">
        <v>1</v>
      </c>
      <c r="D48" s="749"/>
    </row>
    <row r="50" spans="1:4" x14ac:dyDescent="0.3">
      <c r="A50" s="750"/>
      <c r="B50" s="751" t="s">
        <v>466</v>
      </c>
      <c r="C50" s="752">
        <v>45535</v>
      </c>
      <c r="D50" s="753"/>
    </row>
    <row r="51" spans="1:4" x14ac:dyDescent="0.3">
      <c r="B51" s="559"/>
      <c r="C51" s="620"/>
    </row>
    <row r="52" spans="1:4" x14ac:dyDescent="0.3">
      <c r="B52" s="559"/>
      <c r="C52" s="620"/>
    </row>
  </sheetData>
  <sheetProtection algorithmName="SHA-512" hashValue="m7ZvCOlvVOv8Qn3YNP6d7ZEfvHHtOyoXHdwhqWryrH4slI5o/tjsWyHfLtNr4QypwM3lC1cGwVjnrJYsdf0ajA==" saltValue="/ww7rKW8/OW1Th2lg3Ys/Q==" spinCount="100000" sheet="1" objects="1" scenarios="1"/>
  <dataConsolidate/>
  <mergeCells count="5">
    <mergeCell ref="E9:E10"/>
    <mergeCell ref="A2:D2"/>
    <mergeCell ref="A4:D4"/>
    <mergeCell ref="A6:D6"/>
    <mergeCell ref="A8:D8"/>
  </mergeCells>
  <conditionalFormatting sqref="C13">
    <cfRule type="expression" dxfId="92" priority="27">
      <formula>"IF(C13=""Yes""|"" ""| "" "")"</formula>
    </cfRule>
  </conditionalFormatting>
  <conditionalFormatting sqref="E13">
    <cfRule type="expression" dxfId="91" priority="19">
      <formula>C13="yes"</formula>
    </cfRule>
  </conditionalFormatting>
  <conditionalFormatting sqref="E14">
    <cfRule type="expression" dxfId="90" priority="18">
      <formula>C14="Yes"</formula>
    </cfRule>
  </conditionalFormatting>
  <conditionalFormatting sqref="E15">
    <cfRule type="expression" dxfId="89" priority="17">
      <formula>C15="Yes"</formula>
    </cfRule>
  </conditionalFormatting>
  <conditionalFormatting sqref="E16">
    <cfRule type="expression" dxfId="88" priority="16">
      <formula>C16="Yes"</formula>
    </cfRule>
  </conditionalFormatting>
  <conditionalFormatting sqref="E17">
    <cfRule type="expression" dxfId="87" priority="14">
      <formula>C17="No"</formula>
    </cfRule>
  </conditionalFormatting>
  <conditionalFormatting sqref="E19">
    <cfRule type="expression" dxfId="86" priority="13">
      <formula>C19="No"</formula>
    </cfRule>
  </conditionalFormatting>
  <conditionalFormatting sqref="E25">
    <cfRule type="expression" dxfId="85" priority="11">
      <formula>C25="Yes"</formula>
    </cfRule>
  </conditionalFormatting>
  <conditionalFormatting sqref="E26">
    <cfRule type="expression" dxfId="84" priority="10">
      <formula>C26="Yes"</formula>
    </cfRule>
  </conditionalFormatting>
  <conditionalFormatting sqref="E22">
    <cfRule type="expression" dxfId="83" priority="7">
      <formula>$C$22&gt;0</formula>
    </cfRule>
  </conditionalFormatting>
  <conditionalFormatting sqref="E23">
    <cfRule type="expression" dxfId="82" priority="6">
      <formula>$C$23&gt;0</formula>
    </cfRule>
  </conditionalFormatting>
  <conditionalFormatting sqref="E18">
    <cfRule type="expression" dxfId="81" priority="5">
      <formula>$C$18="Yes"</formula>
    </cfRule>
  </conditionalFormatting>
  <conditionalFormatting sqref="E31">
    <cfRule type="expression" dxfId="80" priority="1">
      <formula>$D$31="Financial Performance Indicator of Concern that requires a response."</formula>
    </cfRule>
  </conditionalFormatting>
  <dataValidations xWindow="697" yWindow="411" count="13">
    <dataValidation type="list" allowBlank="1" showInputMessage="1" showErrorMessage="1" prompt="Please select Yes or No from the drop down list" sqref="C21 C17 C37 C33:C35 C19 C15 C27:C29" xr:uid="{42DC82DB-0AE6-4795-B8A2-67794DECDEAD}">
      <formula1>"Yes, No"</formula1>
    </dataValidation>
    <dataValidation type="whole" operator="greaterThan" allowBlank="1" showInputMessage="1" showErrorMessage="1" prompt="Please enter a whole number.  If there are no findings please enter 0" sqref="C22:C24" xr:uid="{22039F36-BF2D-4D90-ACF3-F17B7FAD9827}">
      <formula1>-1</formula1>
    </dataValidation>
    <dataValidation type="list" allowBlank="1" showInputMessage="1" showErrorMessage="1" prompt="Please select Yes, No or N/A from the drop down list" sqref="C36 C26" xr:uid="{1338E819-A8A7-4AB4-965C-9AAE0E62C78A}">
      <formula1>"Yes, No, N/A"</formula1>
    </dataValidation>
    <dataValidation type="date" operator="greaterThan" showInputMessage="1" showErrorMessage="1" promptTitle="MM/DD/YYYY" prompt="This cannot be blank" sqref="C32" xr:uid="{F2F609DE-2DD8-4C56-AEA4-B39EA636E384}">
      <formula1>45107</formula1>
    </dataValidation>
    <dataValidation type="list" allowBlank="1" showInputMessage="1" showErrorMessage="1" prompt="Please select Yes or No from the drop down list" sqref="C32" xr:uid="{B4C96C02-4742-4E38-B12A-360ABBD230F0}">
      <formula1>"Yes,No"</formula1>
    </dataValidation>
    <dataValidation type="list" allowBlank="1" showInputMessage="1" showErrorMessage="1" sqref="C32" xr:uid="{C1CF9E65-608C-4B9B-B8C1-8E5A300F6B99}">
      <formula1>"Yes, No"</formula1>
    </dataValidation>
    <dataValidation type="list" allowBlank="1" showInputMessage="1" showErrorMessage="1" sqref="C32" xr:uid="{2F6B1B33-D794-41C2-9ACB-1601D80589F6}">
      <formula1>"Yes,No"</formula1>
    </dataValidation>
    <dataValidation type="date" operator="greaterThan" allowBlank="1" showInputMessage="1" showErrorMessage="1" sqref="D44" xr:uid="{C03418DF-3B42-4CD5-A316-291388505573}">
      <formula1>45107</formula1>
    </dataValidation>
    <dataValidation type="list" allowBlank="1" showInputMessage="1" showErrorMessage="1" prompt="Please select Yes or No from the drop down list." sqref="C11:C14 C20" xr:uid="{09FCC64E-5331-4E1E-8B61-60F4B5075DD5}">
      <formula1>"Yes, No"</formula1>
    </dataValidation>
    <dataValidation type="list" allowBlank="1" showInputMessage="1" showErrorMessage="1" prompt="Please select Yes, No or NA _x000a_from the drop down list" sqref="C25" xr:uid="{C0840E4D-A4F7-4799-B300-7B0B69A66EF6}">
      <formula1>"Yes, No, N/A"</formula1>
    </dataValidation>
    <dataValidation type="list" allowBlank="1" showInputMessage="1" showErrorMessage="1" prompt="Please select Yes, No or N/A from the dropdown list." sqref="C18" xr:uid="{BBD61488-A95B-4373-951D-49CD8B12B95C}">
      <formula1>"Yes, No, N/A"</formula1>
    </dataValidation>
    <dataValidation type="list" allowBlank="1" showInputMessage="1" showErrorMessage="1" prompt="Please select Yes or No from the d dropdown list._x000a_" sqref="C16" xr:uid="{468EDED7-463E-41FB-90A2-04A2B2950869}">
      <formula1>"Yes, No"</formula1>
    </dataValidation>
    <dataValidation type="custom" allowBlank="1" showInputMessage="1" showErrorMessage="1" error="Submit Date is prior to fiscal year end." sqref="C31" xr:uid="{9C37E483-AF95-4F2C-88DC-919785B2EB15}">
      <formula1>C30&lt;C31</formula1>
    </dataValidation>
  </dataValidations>
  <pageMargins left="0.7" right="0.7" top="0.75" bottom="0.75" header="0.3" footer="0.3"/>
  <pageSetup scale="51" orientation="portrait" r:id="rId1"/>
  <colBreaks count="1" manualBreakCount="1">
    <brk id="4" max="1048575"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FC707-5E48-4ACE-9ED0-D0FEE0779031}">
  <sheetPr codeName="Sheet5">
    <pageSetUpPr fitToPage="1"/>
  </sheetPr>
  <dimension ref="A1:CC47"/>
  <sheetViews>
    <sheetView showGridLines="0" zoomScale="68" zoomScaleNormal="68" workbookViewId="0">
      <selection activeCell="C5" sqref="C5:E5"/>
    </sheetView>
  </sheetViews>
  <sheetFormatPr defaultColWidth="9.109375" defaultRowHeight="14.4" x14ac:dyDescent="0.3"/>
  <cols>
    <col min="1" max="1" width="6.33203125" style="815" customWidth="1"/>
    <col min="2" max="2" width="57.6640625" style="815" customWidth="1"/>
    <col min="3" max="4" width="14.33203125" style="815" customWidth="1"/>
    <col min="5" max="7" width="17.33203125" style="815" customWidth="1"/>
    <col min="8" max="8" width="71.44140625" style="815" customWidth="1"/>
    <col min="9" max="9" width="56.77734375" style="925" customWidth="1"/>
    <col min="10" max="10" width="46.109375" style="925" customWidth="1"/>
    <col min="11" max="11" width="9.109375" style="924" customWidth="1"/>
    <col min="12" max="12" width="23.6640625" style="812" hidden="1" customWidth="1"/>
    <col min="13" max="13" width="21.109375" style="812" hidden="1" customWidth="1"/>
    <col min="14" max="14" width="24" style="812" hidden="1" customWidth="1"/>
    <col min="15" max="15" width="21" style="812" hidden="1" customWidth="1"/>
    <col min="16" max="16" width="25" style="813" hidden="1" customWidth="1"/>
    <col min="17" max="17" width="25.6640625" style="814" hidden="1" customWidth="1"/>
    <col min="18" max="18" width="33.77734375" style="814" customWidth="1"/>
    <col min="19" max="19" width="9.109375" style="814" customWidth="1"/>
    <col min="20" max="59" width="9.109375" style="814"/>
    <col min="60" max="16384" width="9.109375" style="815"/>
  </cols>
  <sheetData>
    <row r="1" spans="1:78" ht="40.5" customHeight="1" thickBot="1" x14ac:dyDescent="0.35">
      <c r="A1" s="810"/>
      <c r="B1" s="1131" t="s">
        <v>1066</v>
      </c>
      <c r="C1" s="1131"/>
      <c r="D1" s="1131"/>
      <c r="E1" s="1131"/>
      <c r="F1" s="1131"/>
      <c r="G1" s="1131"/>
      <c r="H1" s="1132"/>
      <c r="I1" s="1129"/>
      <c r="J1" s="1130"/>
      <c r="K1" s="811"/>
    </row>
    <row r="2" spans="1:78" ht="72" customHeight="1" thickBot="1" x14ac:dyDescent="0.35">
      <c r="A2" s="816"/>
      <c r="B2" s="1133" t="s">
        <v>1067</v>
      </c>
      <c r="C2" s="1134"/>
      <c r="D2" s="1134"/>
      <c r="E2" s="1134"/>
      <c r="F2" s="1134"/>
      <c r="G2" s="1134"/>
      <c r="H2" s="1135"/>
      <c r="I2" s="1148" t="s">
        <v>1068</v>
      </c>
      <c r="J2" s="1151" t="s">
        <v>1475</v>
      </c>
      <c r="K2" s="817"/>
    </row>
    <row r="3" spans="1:78" ht="15" customHeight="1" thickBot="1" x14ac:dyDescent="0.35">
      <c r="A3" s="818"/>
      <c r="B3" s="819"/>
      <c r="C3" s="820"/>
      <c r="D3" s="820"/>
      <c r="E3" s="820"/>
      <c r="F3" s="820"/>
      <c r="G3" s="821"/>
      <c r="H3" s="822"/>
      <c r="I3" s="1149"/>
      <c r="J3" s="1152"/>
      <c r="K3" s="817"/>
    </row>
    <row r="4" spans="1:78" ht="21.75" customHeight="1" thickBot="1" x14ac:dyDescent="0.35">
      <c r="A4" s="823"/>
      <c r="B4" s="824" t="s">
        <v>598</v>
      </c>
      <c r="C4" s="1136" t="str">
        <f>'Unit Data from Audit Worksheet'!D2</f>
        <v>Select Unit Name from Drop Down List</v>
      </c>
      <c r="D4" s="1137"/>
      <c r="E4" s="1138"/>
      <c r="F4" s="1139" t="s">
        <v>1966</v>
      </c>
      <c r="G4" s="1140"/>
      <c r="H4" s="1143" t="s">
        <v>1472</v>
      </c>
      <c r="I4" s="1149"/>
      <c r="J4" s="1152"/>
      <c r="K4" s="825"/>
      <c r="L4" s="826"/>
    </row>
    <row r="5" spans="1:78" ht="21.6" thickBot="1" x14ac:dyDescent="0.35">
      <c r="A5" s="827"/>
      <c r="B5" s="828" t="s">
        <v>579</v>
      </c>
      <c r="C5" s="1145" t="e">
        <f>'Unit Data from Audit Worksheet'!D3</f>
        <v>#N/A</v>
      </c>
      <c r="D5" s="1146"/>
      <c r="E5" s="1147"/>
      <c r="F5" s="1141"/>
      <c r="G5" s="1142"/>
      <c r="H5" s="1144"/>
      <c r="I5" s="1149"/>
      <c r="J5" s="1152"/>
      <c r="K5" s="829"/>
      <c r="L5" s="830" t="s">
        <v>588</v>
      </c>
    </row>
    <row r="6" spans="1:78" ht="18.75" customHeight="1" x14ac:dyDescent="0.3">
      <c r="A6" s="818"/>
      <c r="B6" s="1154" t="s">
        <v>1425</v>
      </c>
      <c r="C6" s="1154"/>
      <c r="D6" s="1154"/>
      <c r="E6" s="1154"/>
      <c r="F6" s="1154"/>
      <c r="G6" s="1154"/>
      <c r="H6" s="1155"/>
      <c r="I6" s="1149"/>
      <c r="J6" s="1152"/>
      <c r="K6" s="829"/>
      <c r="L6" s="830"/>
    </row>
    <row r="7" spans="1:78" ht="116.25" customHeight="1" thickBot="1" x14ac:dyDescent="0.35">
      <c r="A7" s="831"/>
      <c r="B7" s="1156"/>
      <c r="C7" s="1156"/>
      <c r="D7" s="1156"/>
      <c r="E7" s="1156"/>
      <c r="F7" s="1156"/>
      <c r="G7" s="1156"/>
      <c r="H7" s="1157"/>
      <c r="I7" s="1150"/>
      <c r="J7" s="1153"/>
      <c r="K7" s="829"/>
      <c r="L7" s="830"/>
    </row>
    <row r="8" spans="1:78" ht="185.1" customHeight="1" thickBot="1" x14ac:dyDescent="0.35">
      <c r="A8" s="832"/>
      <c r="B8" s="1123"/>
      <c r="C8" s="1123"/>
      <c r="D8" s="1123"/>
      <c r="E8" s="1123"/>
      <c r="F8" s="1123"/>
      <c r="G8" s="1124"/>
      <c r="H8" s="1160" t="s">
        <v>1071</v>
      </c>
      <c r="I8" s="833"/>
      <c r="J8" s="1158"/>
      <c r="K8" s="829"/>
      <c r="L8" s="834" t="b">
        <f>IF($L$9&gt;10000000,"25%",IF($L$9&gt;999999,"34%",IF($L$9&gt;99999,"71%",IF($L$9&gt;1,"100%"))))</f>
        <v>0</v>
      </c>
      <c r="N8" s="835"/>
    </row>
    <row r="9" spans="1:78" ht="132" customHeight="1" thickBot="1" x14ac:dyDescent="0.35">
      <c r="A9" s="832"/>
      <c r="B9" s="1125"/>
      <c r="C9" s="1125"/>
      <c r="D9" s="1125"/>
      <c r="E9" s="1125"/>
      <c r="F9" s="1125"/>
      <c r="G9" s="1126"/>
      <c r="H9" s="1161"/>
      <c r="I9" s="833"/>
      <c r="J9" s="1159"/>
      <c r="K9" s="829"/>
      <c r="L9" s="834">
        <f>Import!L59+Import!L65+Import!L62-Import!L63-Import!L64-Import!L60</f>
        <v>0</v>
      </c>
      <c r="N9" s="835"/>
    </row>
    <row r="10" spans="1:78" ht="91.8" customHeight="1" thickBot="1" x14ac:dyDescent="0.35">
      <c r="A10" s="836"/>
      <c r="B10" s="1109" t="s">
        <v>1917</v>
      </c>
      <c r="C10" s="1110"/>
      <c r="D10" s="1110"/>
      <c r="E10" s="1110"/>
      <c r="F10" s="837" t="s">
        <v>651</v>
      </c>
      <c r="G10" s="837" t="s">
        <v>847</v>
      </c>
      <c r="H10" s="838"/>
      <c r="I10" s="839"/>
      <c r="J10" s="839"/>
      <c r="K10" s="840"/>
      <c r="L10" s="812">
        <v>2022</v>
      </c>
      <c r="M10" s="826">
        <v>2023</v>
      </c>
      <c r="N10" s="812">
        <v>2024</v>
      </c>
      <c r="O10" s="841"/>
      <c r="P10" s="842"/>
    </row>
    <row r="11" spans="1:78" ht="261.60000000000002" customHeight="1" thickBot="1" x14ac:dyDescent="0.35">
      <c r="A11" s="832" t="s">
        <v>1069</v>
      </c>
      <c r="B11" s="1103"/>
      <c r="C11" s="1104"/>
      <c r="D11" s="1104"/>
      <c r="E11" s="1105"/>
      <c r="F11" s="805" t="b">
        <f>IF($L$9&gt;10000000,"25% -- Average of similar units is 46%",IF($L$9&gt;999999,"34% -- Average of similar units is 63%",IF($L$9&gt;99999,"71% -- Average of similar units is 132%",IF($L$9&gt;1,"100 %-- Average of similar units is 260%"))))</f>
        <v>0</v>
      </c>
      <c r="G11" s="956" t="str">
        <f>N11</f>
        <v/>
      </c>
      <c r="H11" s="938" t="s">
        <v>1672</v>
      </c>
      <c r="I11" s="844" t="s">
        <v>1532</v>
      </c>
      <c r="J11" s="807"/>
      <c r="K11" s="829"/>
      <c r="L11" s="962" t="e">
        <f>IFERROR(HLOOKUP(C5,'PY2 Data(H)'!$D$2:$CZ$278,275,FALSE),#N/A)</f>
        <v>#N/A</v>
      </c>
      <c r="M11" s="846" t="e">
        <f>IFERROR(HLOOKUP(C5,'PY1 Data(H)'!$D$2:$CZ$279,277,FALSE),#N/A)</f>
        <v>#N/A</v>
      </c>
      <c r="N11" s="847" t="str">
        <f>IFERROR((Import!L38+Import!L39-Import!L43-Import!L44-Import!L196-Import!L48+Import!L69)/(Import!L59+Import!L65+Import!L62-Import!L63-Import!L64-Import!L60),"")</f>
        <v/>
      </c>
      <c r="O11" s="848" t="e">
        <f>IF(N11&lt;VALUE(L8),1,0)</f>
        <v>#VALUE!</v>
      </c>
      <c r="P11" s="842"/>
    </row>
    <row r="12" spans="1:78" ht="27.75" customHeight="1" thickBot="1" x14ac:dyDescent="0.35">
      <c r="A12" s="832"/>
      <c r="B12" s="1127" t="s">
        <v>846</v>
      </c>
      <c r="C12" s="1128"/>
      <c r="D12" s="1128"/>
      <c r="E12" s="1128"/>
      <c r="F12" s="837" t="s">
        <v>651</v>
      </c>
      <c r="G12" s="837" t="s">
        <v>847</v>
      </c>
      <c r="H12" s="849"/>
      <c r="I12" s="844"/>
      <c r="J12" s="850"/>
      <c r="K12" s="829"/>
      <c r="L12" s="845"/>
      <c r="M12" s="847"/>
      <c r="N12" s="847"/>
      <c r="P12" s="842"/>
    </row>
    <row r="13" spans="1:78" ht="95.25" customHeight="1" thickBot="1" x14ac:dyDescent="0.35">
      <c r="A13" s="832" t="s">
        <v>1070</v>
      </c>
      <c r="B13" s="1106" t="s">
        <v>1883</v>
      </c>
      <c r="C13" s="1107"/>
      <c r="D13" s="1107"/>
      <c r="E13" s="1108"/>
      <c r="F13" s="805" t="s">
        <v>1467</v>
      </c>
      <c r="G13" s="973" t="b">
        <f>IF(AND(L13="Operations",M13&lt;0),"Operations",IF(AND(L13="Capital",M13&lt;0),"Capital",IF(L13="N/A","N/A")))</f>
        <v>0</v>
      </c>
      <c r="H13" s="849" t="s">
        <v>1473</v>
      </c>
      <c r="I13" s="851" t="s">
        <v>1916</v>
      </c>
      <c r="J13" s="807"/>
      <c r="K13" s="829"/>
      <c r="L13" s="936">
        <f>'Unit Data from Audit Worksheet'!F77</f>
        <v>0</v>
      </c>
      <c r="M13" s="937">
        <f>'Unit Data from Audit Worksheet'!F76</f>
        <v>0</v>
      </c>
      <c r="N13" s="847"/>
      <c r="O13" s="841"/>
      <c r="P13" s="842"/>
    </row>
    <row r="14" spans="1:78" ht="177" customHeight="1" thickBot="1" x14ac:dyDescent="0.35">
      <c r="A14" s="832" t="s">
        <v>1072</v>
      </c>
      <c r="B14" s="1106" t="s">
        <v>1468</v>
      </c>
      <c r="C14" s="1107"/>
      <c r="D14" s="1107"/>
      <c r="E14" s="1108"/>
      <c r="F14" s="805" t="s">
        <v>1465</v>
      </c>
      <c r="G14" s="852">
        <f>Import!L51</f>
        <v>0</v>
      </c>
      <c r="H14" s="849" t="s">
        <v>1466</v>
      </c>
      <c r="I14" s="851" t="s">
        <v>1481</v>
      </c>
      <c r="J14" s="807"/>
      <c r="K14" s="829"/>
      <c r="L14" s="847"/>
      <c r="M14" s="847"/>
      <c r="N14" s="847"/>
      <c r="O14" s="841"/>
      <c r="P14" s="842"/>
    </row>
    <row r="15" spans="1:78" ht="81" customHeight="1" thickBot="1" x14ac:dyDescent="0.35">
      <c r="A15" s="853"/>
      <c r="B15" s="1162" t="s">
        <v>1918</v>
      </c>
      <c r="C15" s="1162"/>
      <c r="D15" s="1162"/>
      <c r="E15" s="1109"/>
      <c r="F15" s="837" t="s">
        <v>651</v>
      </c>
      <c r="G15" s="837" t="s">
        <v>847</v>
      </c>
      <c r="H15" s="854" t="s">
        <v>1074</v>
      </c>
      <c r="I15" s="855"/>
      <c r="J15" s="856"/>
      <c r="K15" s="829"/>
      <c r="L15" s="981" t="e">
        <f>HLOOKUP($C$5,'PY2 Data(H)'!$D$2:$CZ$276,236,FALSE)</f>
        <v>#N/A</v>
      </c>
      <c r="M15" s="858" t="e">
        <f>HLOOKUP($C$5,'PY1 Data(H)'!$D$2:$CZ$279,230,FALSE)</f>
        <v>#N/A</v>
      </c>
      <c r="N15" s="859" t="e">
        <f>Import!L240</f>
        <v>#N/A</v>
      </c>
      <c r="O15" s="860"/>
      <c r="P15" s="964"/>
      <c r="Q15" s="965"/>
      <c r="R15" s="861"/>
      <c r="S15" s="861"/>
      <c r="T15" s="861"/>
      <c r="U15" s="861"/>
      <c r="V15" s="861"/>
      <c r="W15" s="861"/>
      <c r="X15" s="861"/>
      <c r="Y15" s="861"/>
      <c r="Z15" s="861"/>
      <c r="AA15" s="861"/>
      <c r="AB15" s="861"/>
      <c r="AC15" s="861"/>
      <c r="AD15" s="861"/>
      <c r="AE15" s="861"/>
      <c r="AF15" s="861"/>
      <c r="AG15" s="861"/>
      <c r="AH15" s="861"/>
      <c r="AI15" s="861"/>
      <c r="AJ15" s="861"/>
      <c r="AK15" s="861"/>
      <c r="AL15" s="861"/>
      <c r="AM15" s="861"/>
      <c r="AN15" s="861"/>
      <c r="AO15" s="861"/>
      <c r="AP15" s="861"/>
      <c r="AQ15" s="861"/>
      <c r="AR15" s="861"/>
      <c r="AS15" s="861"/>
      <c r="AT15" s="861"/>
      <c r="AU15" s="861"/>
      <c r="AV15" s="861"/>
      <c r="AW15" s="861"/>
      <c r="AX15" s="861"/>
      <c r="AY15" s="861"/>
      <c r="AZ15" s="861"/>
      <c r="BA15" s="861"/>
      <c r="BB15" s="861"/>
      <c r="BC15" s="861"/>
      <c r="BD15" s="861"/>
      <c r="BE15" s="861"/>
      <c r="BF15" s="861"/>
      <c r="BG15" s="861"/>
      <c r="BH15" s="862"/>
      <c r="BI15" s="862"/>
      <c r="BJ15" s="862"/>
      <c r="BK15" s="862"/>
      <c r="BL15" s="862"/>
      <c r="BM15" s="862"/>
      <c r="BN15" s="862"/>
      <c r="BO15" s="862"/>
      <c r="BP15" s="862"/>
      <c r="BQ15" s="862"/>
      <c r="BR15" s="862"/>
      <c r="BS15" s="862"/>
      <c r="BT15" s="862"/>
      <c r="BU15" s="862"/>
      <c r="BV15" s="862"/>
      <c r="BW15" s="862"/>
      <c r="BX15" s="862"/>
      <c r="BY15" s="862"/>
      <c r="BZ15" s="862"/>
    </row>
    <row r="16" spans="1:78" ht="202.5" customHeight="1" thickBot="1" x14ac:dyDescent="0.35">
      <c r="A16" s="832" t="s">
        <v>1073</v>
      </c>
      <c r="B16" s="863"/>
      <c r="C16" s="864"/>
      <c r="D16" s="864"/>
      <c r="E16" s="865"/>
      <c r="F16" s="866" t="s">
        <v>580</v>
      </c>
      <c r="G16" s="957" t="e">
        <f>N16</f>
        <v>#DIV/0!</v>
      </c>
      <c r="H16" s="843" t="s">
        <v>848</v>
      </c>
      <c r="I16" s="851" t="s">
        <v>582</v>
      </c>
      <c r="J16" s="807"/>
      <c r="K16" s="829"/>
      <c r="L16" s="969" t="e">
        <f>IF(AND(HLOOKUP($C$5,'PY2 Data(H)'!$D$2:$CZ$277,236,FALSE)=0.01,(HLOOKUP($C$5,'PY2 Data(H)'!$D$2:$CZ$277,265,FALSE)&gt;0)),P16,#N/A)</f>
        <v>#N/A</v>
      </c>
      <c r="M16" s="970" t="e">
        <f>IF(AND(HLOOKUP($C$5,'PY1 Data(H)'!$D$2:$CZ$279,230,FALSE)=0.01,(HLOOKUP($C$5,'PY1 Data(H)'!$D$2:$CZ$279,267,FALSE)&gt;0)),Q16,#N/A)</f>
        <v>#N/A</v>
      </c>
      <c r="N16" s="859" t="e">
        <f>(+Import!L76-Import!L77-Import!L74-Import!L75)/(Import!L80-Import!L81-Import!L82-Import!L83-Import!L$84-Import!L85-Import!L79)</f>
        <v>#DIV/0!</v>
      </c>
      <c r="O16" s="963"/>
      <c r="P16" s="971" t="e">
        <f>HLOOKUP($C$5,'PY2 Data(H)'!$D$2:$CZ$276,265,FALSE)</f>
        <v>#N/A</v>
      </c>
      <c r="Q16" s="968" t="e">
        <f>HLOOKUP($C$5,'PY1 Data(H)'!$D$2:$CZ$279,267,FALSE)</f>
        <v>#N/A</v>
      </c>
      <c r="R16"/>
    </row>
    <row r="17" spans="1:81" ht="27.75" customHeight="1" thickBot="1" x14ac:dyDescent="0.35">
      <c r="A17" s="836"/>
      <c r="B17" s="867" t="s">
        <v>1076</v>
      </c>
      <c r="C17" s="868">
        <v>2022</v>
      </c>
      <c r="D17" s="868">
        <v>2023</v>
      </c>
      <c r="E17" s="868">
        <v>2024</v>
      </c>
      <c r="F17" s="837" t="s">
        <v>651</v>
      </c>
      <c r="G17" s="837" t="s">
        <v>847</v>
      </c>
      <c r="H17" s="869"/>
      <c r="I17" s="855"/>
      <c r="J17" s="856"/>
      <c r="K17" s="829"/>
      <c r="L17" s="859"/>
      <c r="M17" s="859"/>
      <c r="N17" s="859"/>
      <c r="P17" s="966"/>
      <c r="Q17" s="967"/>
    </row>
    <row r="18" spans="1:81" ht="93.6" customHeight="1" thickBot="1" x14ac:dyDescent="0.35">
      <c r="A18" s="832" t="s">
        <v>1075</v>
      </c>
      <c r="B18" s="870" t="s">
        <v>1483</v>
      </c>
      <c r="C18" s="852" t="e">
        <f>IF(L15=0,"N/A",L18)</f>
        <v>#N/A</v>
      </c>
      <c r="D18" s="852" t="e">
        <f>IF(M15=0,"N/A",M18)</f>
        <v>#N/A</v>
      </c>
      <c r="E18" s="871" t="e">
        <f>IF(N15=0,"N/A",N18)</f>
        <v>#N/A</v>
      </c>
      <c r="F18" s="805" t="s">
        <v>849</v>
      </c>
      <c r="G18" s="958" t="e">
        <f>E18</f>
        <v>#N/A</v>
      </c>
      <c r="H18" s="843" t="s">
        <v>1559</v>
      </c>
      <c r="I18" s="851" t="s">
        <v>1561</v>
      </c>
      <c r="J18" s="807"/>
      <c r="K18" s="829"/>
      <c r="L18" s="977" t="e">
        <f>IF(HLOOKUP($C$5,'PY2 Data(H)'!$D$2:$CZ$277,266,FALSE)=0,"Prior year data not submitted as of workbook published date.",(HLOOKUP($C$5,'PY2 Data(H)'!$D$2:$CZ$277,266,FALSE)))</f>
        <v>#N/A</v>
      </c>
      <c r="M18" s="1053" t="e">
        <f>IF(HLOOKUP($C$5,'PY1 Data(H)'!$D$2:$CZ$279,268,FALSE)=0,"Prior year data not submitted as of workbook published date.",(HLOOKUP($C$5,'PY1 Data(H)'!$D$2:$CZ$279,268,FALSE)))</f>
        <v>#N/A</v>
      </c>
      <c r="N18" s="872">
        <f>+Import!L109-Import!L111+Import!L110-Import!L140-Import!L112</f>
        <v>0</v>
      </c>
      <c r="P18" s="1064"/>
      <c r="Q18" s="1062"/>
    </row>
    <row r="19" spans="1:81" ht="124.2" customHeight="1" thickBot="1" x14ac:dyDescent="0.35">
      <c r="A19" s="832" t="s">
        <v>1077</v>
      </c>
      <c r="B19" s="873" t="s">
        <v>1573</v>
      </c>
      <c r="C19" s="933" t="e">
        <f>IF(L15=0,"N/A",L19)</f>
        <v>#N/A</v>
      </c>
      <c r="D19" s="933" t="e">
        <f>IF(M15=0,"N/A",M19)</f>
        <v>#N/A</v>
      </c>
      <c r="E19" s="874" t="e">
        <f>IF(N15=0,"N/A",N19)</f>
        <v>#N/A</v>
      </c>
      <c r="F19" s="805" t="s">
        <v>795</v>
      </c>
      <c r="G19" s="959" t="e">
        <f>E19</f>
        <v>#N/A</v>
      </c>
      <c r="H19" s="843" t="s">
        <v>1866</v>
      </c>
      <c r="I19" s="851" t="s">
        <v>1564</v>
      </c>
      <c r="J19" s="808"/>
      <c r="K19" s="829"/>
      <c r="L19" s="980" t="e">
        <f>IF(P19="Blank","Prior year data not submitted as of workbook published date.",(HLOOKUP($C$5,'PY2 Data(H)'!$D$2:$CZ$279,267,FALSE)))</f>
        <v>#N/A</v>
      </c>
      <c r="M19" s="932" t="e">
        <f>IF(Q19="Blank","Prior year data not submitted as of workbook published date.",(HLOOKUP($C$5,'PY1 Data(H)'!$D$2:$CZ$279,269,FALSE)))</f>
        <v>#N/A</v>
      </c>
      <c r="N19" s="875" t="e">
        <f>Import!L72/(Import!L111+Import!L114-Import!L110+Import!L140)</f>
        <v>#DIV/0!</v>
      </c>
      <c r="O19" s="876"/>
      <c r="P19" s="1065" t="str">
        <f>IF(ISBLANK(HLOOKUP($C$5,'PY2 Data(H)'!$D$2:$CZ$279,24,FALSE)),"Blank","Not Blank")</f>
        <v>Not Blank</v>
      </c>
      <c r="Q19" s="1063" t="str">
        <f>IF(ISBLANK(HLOOKUP($C$5,'PY2 Data(H)'!$D$2:$CZ$279,24,FALSE)),"Blank","Not Blank")</f>
        <v>Not Blank</v>
      </c>
      <c r="R19" s="813"/>
    </row>
    <row r="20" spans="1:81" ht="75" customHeight="1" thickBot="1" x14ac:dyDescent="0.35">
      <c r="A20" s="832" t="s">
        <v>1078</v>
      </c>
      <c r="B20" s="1121" t="s">
        <v>1915</v>
      </c>
      <c r="C20" s="1121"/>
      <c r="D20" s="1122"/>
      <c r="E20" s="877" t="str">
        <f>IF(N20&lt;0,"Yes","No")</f>
        <v>No</v>
      </c>
      <c r="F20" s="878"/>
      <c r="G20" s="879" t="str">
        <f>E20</f>
        <v>No</v>
      </c>
      <c r="H20" s="843" t="s">
        <v>1079</v>
      </c>
      <c r="I20" s="851" t="s">
        <v>796</v>
      </c>
      <c r="J20" s="807"/>
      <c r="K20" s="829"/>
      <c r="L20" s="880"/>
      <c r="M20" s="881">
        <f>((Import!L114+Import!L111)*0.03)-Import!L118</f>
        <v>0</v>
      </c>
      <c r="N20" s="882">
        <f>M20*0.03</f>
        <v>0</v>
      </c>
      <c r="P20" s="966"/>
      <c r="Q20" s="967"/>
    </row>
    <row r="21" spans="1:81" ht="75" customHeight="1" thickBot="1" x14ac:dyDescent="0.35">
      <c r="A21" s="916">
        <v>8</v>
      </c>
      <c r="B21" s="940" t="s">
        <v>1932</v>
      </c>
      <c r="C21" s="945" t="e">
        <f>L21</f>
        <v>#N/A</v>
      </c>
      <c r="D21" s="945" t="e">
        <f>M21</f>
        <v>#N/A</v>
      </c>
      <c r="E21" s="989" t="e">
        <f>N21</f>
        <v>#DIV/0!</v>
      </c>
      <c r="F21" s="976" t="s">
        <v>1935</v>
      </c>
      <c r="G21" s="946" t="e">
        <f>E21</f>
        <v>#DIV/0!</v>
      </c>
      <c r="H21" s="988" t="s">
        <v>1933</v>
      </c>
      <c r="I21" s="941" t="s">
        <v>1912</v>
      </c>
      <c r="J21" s="808"/>
      <c r="K21" s="829"/>
      <c r="L21" s="942" t="e">
        <f>IF(HLOOKUP($C$5,'PY2 Data(H)'!$D$2:$CZ$277,276,FALSE)=0,"Prior year data not submitted as of workbook published date.",(HLOOKUP($C$5,'PY2 Data(H)'!$D$2:$CZ$277,276,FALSE)))</f>
        <v>#N/A</v>
      </c>
      <c r="M21" s="943" t="e">
        <f>IF(HLOOKUP($C$5,'PY1 Data(H)'!$D$2:$CZ$279,278,FALSE)=0,"Prior year data not submitted as of workbook published date.",(HLOOKUP($C$5,'PY1 Data(H)'!$D$2:$CZ$279,278,FALSE)))</f>
        <v>#N/A</v>
      </c>
      <c r="N21" s="944" t="e">
        <f>1-(Import!L166+Import!L167+Import!L168+Import!L169)/(Import!L158+Import!L159+Import!L160+Import!L161)</f>
        <v>#DIV/0!</v>
      </c>
    </row>
    <row r="23" spans="1:81" ht="15" thickBot="1" x14ac:dyDescent="0.35"/>
    <row r="24" spans="1:81" ht="87" customHeight="1" thickBot="1" x14ac:dyDescent="0.35">
      <c r="A24" s="853"/>
      <c r="B24" s="1162" t="s">
        <v>1919</v>
      </c>
      <c r="C24" s="1162"/>
      <c r="D24" s="1162"/>
      <c r="E24" s="1162"/>
      <c r="F24" s="837" t="s">
        <v>651</v>
      </c>
      <c r="G24" s="837" t="s">
        <v>847</v>
      </c>
      <c r="H24" s="854" t="s">
        <v>1080</v>
      </c>
      <c r="I24" s="883"/>
      <c r="J24" s="884"/>
      <c r="K24" s="829"/>
      <c r="L24" s="857" t="e">
        <f>HLOOKUP($C$5,'PY2 Data(H)'!$D$2:$CZ$277,235,FALSE)</f>
        <v>#N/A</v>
      </c>
      <c r="M24" s="858" t="e">
        <f>HLOOKUP($C$5,'PY1 Data(H)'!$D$2:$CZ$279,229,FALSE)</f>
        <v>#N/A</v>
      </c>
      <c r="N24" s="885" t="e">
        <f>Import!L239</f>
        <v>#N/A</v>
      </c>
    </row>
    <row r="25" spans="1:81" ht="202.5" customHeight="1" thickBot="1" x14ac:dyDescent="0.35">
      <c r="A25" s="832">
        <v>9</v>
      </c>
      <c r="B25" s="1164"/>
      <c r="C25" s="1164"/>
      <c r="D25" s="1164"/>
      <c r="E25" s="1165"/>
      <c r="F25" s="805" t="s">
        <v>580</v>
      </c>
      <c r="G25" s="960" t="e">
        <f>N25</f>
        <v>#DIV/0!</v>
      </c>
      <c r="H25" s="843" t="s">
        <v>850</v>
      </c>
      <c r="I25" s="851" t="s">
        <v>589</v>
      </c>
      <c r="J25" s="807"/>
      <c r="K25" s="829"/>
      <c r="L25" s="969" t="e">
        <f>IF(AND(HLOOKUP($C$5,'PY2 Data(H)'!$D$2:$CZ$277,235,FALSE)&gt;0,(HLOOKUP($C$5,'PY2 Data(H)'!$D$2:$CZ$277,269,FALSE)&gt;0)),P25,#N/A)</f>
        <v>#N/A</v>
      </c>
      <c r="M25" s="970" t="e">
        <f>IF(AND(HLOOKUP($C$5,'PY1 Data(H)'!$D$2:$CZ$279,229,FALSE)&gt;0,(HLOOKUP($C$5,'PY1 Data(H)'!$D$2:$CZ$279,271,FALSE)&gt;0)),Q25,#N/A)</f>
        <v>#N/A</v>
      </c>
      <c r="N25" s="859" t="e">
        <f>+(Import!L94-Import!L95-Import!L93-Import!L92)/(Import!L99-Import!L100-Import!L101-Import!L102-Import!L103-Import!L104-Import!L98)</f>
        <v>#DIV/0!</v>
      </c>
      <c r="P25" s="969" t="e">
        <f>HLOOKUP($C$5,'PY2 Data(H)'!$D$2:$CZ$277,269,FALSE)</f>
        <v>#N/A</v>
      </c>
      <c r="Q25" s="970" t="e">
        <f>HLOOKUP($C$5,'PY1 Data(H)'!$D$2:$CZ$279,271,FALSE)</f>
        <v>#N/A</v>
      </c>
    </row>
    <row r="26" spans="1:81" ht="27.75" customHeight="1" thickBot="1" x14ac:dyDescent="0.35">
      <c r="A26" s="836"/>
      <c r="B26" s="886" t="s">
        <v>1076</v>
      </c>
      <c r="C26" s="868">
        <v>2022</v>
      </c>
      <c r="D26" s="868">
        <v>2023</v>
      </c>
      <c r="E26" s="868">
        <v>2024</v>
      </c>
      <c r="F26" s="837" t="s">
        <v>651</v>
      </c>
      <c r="G26" s="837" t="s">
        <v>847</v>
      </c>
      <c r="H26" s="887"/>
      <c r="I26" s="888"/>
      <c r="J26" s="889"/>
      <c r="K26" s="829"/>
      <c r="L26" s="890"/>
      <c r="M26" s="859"/>
      <c r="N26" s="859"/>
    </row>
    <row r="27" spans="1:81" ht="84.6" customHeight="1" thickBot="1" x14ac:dyDescent="0.35">
      <c r="A27" s="832">
        <v>10</v>
      </c>
      <c r="B27" s="870" t="s">
        <v>1483</v>
      </c>
      <c r="C27" s="935" t="e">
        <f>IF(L24=0,"N/A",L27)</f>
        <v>#N/A</v>
      </c>
      <c r="D27" s="935" t="e">
        <f>IF(M24=0,"N/A",M27)</f>
        <v>#N/A</v>
      </c>
      <c r="E27" s="891" t="e">
        <f>IF(N24=0,"N/A",N27)</f>
        <v>#N/A</v>
      </c>
      <c r="F27" s="805" t="s">
        <v>849</v>
      </c>
      <c r="G27" s="961" t="e">
        <f>E27</f>
        <v>#N/A</v>
      </c>
      <c r="H27" s="843" t="s">
        <v>1560</v>
      </c>
      <c r="I27" s="892" t="s">
        <v>1562</v>
      </c>
      <c r="J27" s="807"/>
      <c r="K27" s="829"/>
      <c r="L27" s="978" t="e">
        <f>IF(HLOOKUP($C$5,'PY2 Data(H)'!$D$2:$CZ$277,270,FALSE)=0,"Prior year data not submitted as of workbook published date.",(HLOOKUP($C$5,'PY2 Data(H)'!$D$2:$CZ$277,270,FALSE)))</f>
        <v>#N/A</v>
      </c>
      <c r="M27" s="934" t="e">
        <f>IF(HLOOKUP($C$5,'PY1 Data(H)'!$D$2:$CZ$279,272,FALSE)=0,"Prior year data not submitted as of workbook published date.",(HLOOKUP($C$5,'PY1 Data(H)'!$D$2:$CZ$279,272,FALSE)))</f>
        <v>#N/A</v>
      </c>
      <c r="N27" s="893">
        <f>+Import!L125-Import!L128+Import!L127-Import!L143-Import!L129</f>
        <v>0</v>
      </c>
      <c r="P27" s="1064"/>
      <c r="Q27" s="1062"/>
    </row>
    <row r="28" spans="1:81" s="857" customFormat="1" ht="120" customHeight="1" thickBot="1" x14ac:dyDescent="0.35">
      <c r="A28" s="832">
        <v>11</v>
      </c>
      <c r="B28" s="873" t="s">
        <v>1573</v>
      </c>
      <c r="C28" s="933" t="e">
        <f>IF(L24=0,"N/A",L28)</f>
        <v>#N/A</v>
      </c>
      <c r="D28" s="933" t="e">
        <f>IF(M24=0,"N/A",M28)</f>
        <v>#N/A</v>
      </c>
      <c r="E28" s="874" t="e">
        <f>IF(N24=0,"N/A",N28)</f>
        <v>#N/A</v>
      </c>
      <c r="F28" s="805" t="s">
        <v>795</v>
      </c>
      <c r="G28" s="959" t="e">
        <f>E28</f>
        <v>#N/A</v>
      </c>
      <c r="H28" s="843" t="s">
        <v>1866</v>
      </c>
      <c r="I28" s="892" t="s">
        <v>1563</v>
      </c>
      <c r="J28" s="808"/>
      <c r="K28" s="829"/>
      <c r="L28" s="979" t="e">
        <f>IF(P28="Blank","Prior year data not submitted as of workbook published date.",(HLOOKUP($C$5,'PY2 Data(H)'!$D$2:$CZ$279,271,FALSE)))</f>
        <v>#N/A</v>
      </c>
      <c r="M28" s="932" t="e">
        <f>IF(Q19="Blank","Prior year data not submitted as of workbook published date.",(HLOOKUP($C$5,'PY1 Data(H)'!$D$2:$CZ$279,273,FALSE)))</f>
        <v>#N/A</v>
      </c>
      <c r="N28" s="875" t="e">
        <f>+Import!L90/(Import!L131+Import!L128-Import!L127+Import!L143)</f>
        <v>#DIV/0!</v>
      </c>
      <c r="O28" s="812"/>
      <c r="P28" s="1065" t="str">
        <f>IF(ISBLANK(HLOOKUP($C$5,'PY2 Data(H)'!$D$2:$CZ$279,32,FALSE)),"Blank","Not Blank")</f>
        <v>Not Blank</v>
      </c>
      <c r="Q28" s="1063" t="str">
        <f>IF(ISBLANK(HLOOKUP($C$5,'PY1 Data(H)'!$D$2:$CZ$279,32,FALSE)),"Blank","Not Blank")</f>
        <v>Not Blank</v>
      </c>
      <c r="R28" s="813"/>
      <c r="S28" s="814"/>
      <c r="T28" s="814"/>
      <c r="U28" s="814"/>
      <c r="V28" s="814"/>
      <c r="W28" s="814"/>
      <c r="X28" s="814"/>
      <c r="Y28" s="814"/>
      <c r="Z28" s="814"/>
      <c r="AA28" s="814"/>
      <c r="AB28" s="814"/>
      <c r="AC28" s="814"/>
      <c r="AD28" s="814"/>
      <c r="AE28" s="814"/>
      <c r="AF28" s="814"/>
      <c r="AG28" s="814"/>
      <c r="AH28" s="814"/>
      <c r="AI28" s="814"/>
      <c r="AJ28" s="814"/>
      <c r="AK28" s="814"/>
      <c r="AL28" s="814"/>
      <c r="AM28" s="814"/>
      <c r="AN28" s="814"/>
      <c r="AO28" s="814"/>
      <c r="AP28" s="814"/>
      <c r="AQ28" s="814"/>
      <c r="AR28" s="814"/>
      <c r="AS28" s="814"/>
      <c r="AT28" s="814"/>
      <c r="AU28" s="814"/>
      <c r="AV28" s="814"/>
      <c r="AW28" s="814"/>
      <c r="AX28" s="814"/>
      <c r="AY28" s="814"/>
      <c r="AZ28" s="814"/>
      <c r="BA28" s="814"/>
      <c r="BB28" s="814"/>
      <c r="BC28" s="814"/>
      <c r="BD28" s="814"/>
      <c r="BE28" s="814"/>
      <c r="BF28" s="814"/>
      <c r="BG28" s="814"/>
      <c r="BH28" s="815"/>
      <c r="BI28" s="815"/>
      <c r="BJ28" s="815"/>
      <c r="BK28" s="815"/>
      <c r="BL28" s="815"/>
      <c r="BM28" s="815"/>
      <c r="BN28" s="815"/>
      <c r="BO28" s="815"/>
      <c r="BP28" s="815"/>
      <c r="BQ28" s="815"/>
      <c r="BR28" s="815"/>
      <c r="BS28" s="815"/>
      <c r="BT28" s="815"/>
      <c r="BU28" s="815"/>
      <c r="BV28" s="815"/>
      <c r="BW28" s="815"/>
      <c r="BX28" s="815"/>
      <c r="BY28" s="815"/>
      <c r="BZ28" s="815"/>
      <c r="CA28" s="815"/>
      <c r="CB28" s="815"/>
      <c r="CC28" s="815"/>
    </row>
    <row r="29" spans="1:81" s="857" customFormat="1" ht="18.600000000000001" thickBot="1" x14ac:dyDescent="0.35">
      <c r="A29" s="894"/>
      <c r="B29" s="1119" t="s">
        <v>851</v>
      </c>
      <c r="C29" s="1119"/>
      <c r="D29" s="1119"/>
      <c r="E29" s="868">
        <v>2024</v>
      </c>
      <c r="F29" s="895" t="s">
        <v>852</v>
      </c>
      <c r="G29" s="896"/>
      <c r="H29" s="897"/>
      <c r="I29" s="898"/>
      <c r="J29" s="899"/>
      <c r="K29" s="829"/>
      <c r="L29" s="812"/>
      <c r="M29" s="812"/>
      <c r="N29" s="812"/>
      <c r="O29" s="812"/>
      <c r="Q29" s="967"/>
      <c r="R29" s="814"/>
      <c r="S29" s="814"/>
      <c r="T29" s="814"/>
      <c r="U29" s="814"/>
      <c r="V29" s="814"/>
      <c r="W29" s="814"/>
      <c r="X29" s="814"/>
      <c r="Y29" s="814"/>
      <c r="Z29" s="814"/>
      <c r="AA29" s="814"/>
      <c r="AB29" s="814"/>
      <c r="AC29" s="814"/>
      <c r="AD29" s="814"/>
      <c r="AE29" s="814"/>
      <c r="AF29" s="814"/>
      <c r="AG29" s="814"/>
      <c r="AH29" s="814"/>
      <c r="AI29" s="814"/>
      <c r="AJ29" s="814"/>
      <c r="AK29" s="814"/>
      <c r="AL29" s="814"/>
      <c r="AM29" s="814"/>
      <c r="AN29" s="814"/>
      <c r="AO29" s="814"/>
      <c r="AP29" s="814"/>
      <c r="AQ29" s="814"/>
      <c r="AR29" s="814"/>
      <c r="AS29" s="814"/>
      <c r="AT29" s="814"/>
      <c r="AU29" s="814"/>
      <c r="AV29" s="814"/>
      <c r="AW29" s="814"/>
      <c r="AX29" s="814"/>
      <c r="AY29" s="814"/>
      <c r="AZ29" s="814"/>
      <c r="BA29" s="814"/>
      <c r="BB29" s="814"/>
      <c r="BC29" s="814"/>
      <c r="BD29" s="814"/>
      <c r="BE29" s="814"/>
      <c r="BF29" s="814"/>
      <c r="BG29" s="814"/>
      <c r="BH29" s="815"/>
      <c r="BI29" s="815"/>
      <c r="BJ29" s="815"/>
      <c r="BK29" s="815"/>
      <c r="BL29" s="815"/>
      <c r="BM29" s="815"/>
      <c r="BN29" s="815"/>
      <c r="BO29" s="815"/>
      <c r="BP29" s="815"/>
      <c r="BQ29" s="815"/>
      <c r="BR29" s="815"/>
      <c r="BS29" s="815"/>
      <c r="BT29" s="815"/>
      <c r="BU29" s="815"/>
      <c r="BV29" s="815"/>
      <c r="BW29" s="815"/>
      <c r="BX29" s="815"/>
      <c r="BY29" s="815"/>
      <c r="BZ29" s="815"/>
      <c r="CA29" s="815"/>
      <c r="CB29" s="815"/>
      <c r="CC29" s="815"/>
    </row>
    <row r="30" spans="1:81" s="857" customFormat="1" ht="119.4" customHeight="1" thickBot="1" x14ac:dyDescent="0.35">
      <c r="A30" s="900" t="s">
        <v>1920</v>
      </c>
      <c r="B30" s="1166" t="s">
        <v>1936</v>
      </c>
      <c r="C30" s="1167"/>
      <c r="D30" s="1167"/>
      <c r="E30" s="996">
        <f>Import!L259</f>
        <v>0</v>
      </c>
      <c r="F30" s="994"/>
      <c r="G30" s="996" t="str">
        <f>IF('TD Info Completed by Auditor'!C31&gt;N30,"Late","Response Not Required")</f>
        <v>Response Not Required</v>
      </c>
      <c r="H30" s="901" t="s">
        <v>853</v>
      </c>
      <c r="I30" s="1055" t="s">
        <v>1930</v>
      </c>
      <c r="J30" s="809"/>
      <c r="K30" s="829"/>
      <c r="L30" s="1001">
        <f>'TD Info Completed by Auditor'!C31</f>
        <v>0</v>
      </c>
      <c r="M30" s="1002">
        <f>'TD Info Completed by Auditor'!C30</f>
        <v>45473</v>
      </c>
      <c r="N30" s="1003">
        <f>IF(M30=DATEVALUE("6/30/2024"),N32,IF(M30=DATEVALUE("9/30/2024"),N33,IF(M30=DATEVALUE("12/31/2024"),N34,IF(M30=DATEVALUE("3/31/2025"),N35))))</f>
        <v>45657</v>
      </c>
      <c r="P30" s="998"/>
      <c r="Q30" s="814"/>
      <c r="R30" s="814"/>
      <c r="S30" s="814"/>
      <c r="T30" s="814"/>
      <c r="U30" s="814"/>
      <c r="V30" s="814"/>
      <c r="W30" s="814"/>
      <c r="X30" s="814"/>
      <c r="Y30" s="814"/>
      <c r="Z30" s="814"/>
      <c r="AA30" s="814"/>
      <c r="AB30" s="814"/>
      <c r="AC30" s="814"/>
      <c r="AD30" s="814"/>
      <c r="AE30" s="814"/>
      <c r="AF30" s="814"/>
      <c r="AG30" s="814"/>
      <c r="AH30" s="814"/>
      <c r="AI30" s="814"/>
      <c r="AJ30" s="814"/>
      <c r="AK30" s="814"/>
      <c r="AL30" s="814"/>
      <c r="AM30" s="814"/>
      <c r="AN30" s="814"/>
      <c r="AO30" s="814"/>
      <c r="AP30" s="814"/>
      <c r="AQ30" s="814"/>
      <c r="AR30" s="814"/>
      <c r="AS30" s="814"/>
      <c r="AT30" s="814"/>
      <c r="AU30" s="814"/>
      <c r="AV30" s="814"/>
      <c r="AW30" s="814"/>
      <c r="AX30" s="814"/>
      <c r="AY30" s="814"/>
      <c r="AZ30" s="814"/>
      <c r="BA30" s="814"/>
      <c r="BB30" s="814"/>
      <c r="BC30" s="814"/>
      <c r="BD30" s="814"/>
      <c r="BE30" s="814"/>
      <c r="BF30" s="814"/>
      <c r="BG30" s="814"/>
      <c r="BH30" s="815"/>
      <c r="BI30" s="815"/>
      <c r="BJ30" s="815"/>
      <c r="BK30" s="815"/>
      <c r="BL30" s="815"/>
      <c r="BM30" s="815"/>
      <c r="BN30" s="815"/>
      <c r="BO30" s="815"/>
      <c r="BP30" s="815"/>
      <c r="BQ30" s="815"/>
      <c r="BR30" s="815"/>
      <c r="BS30" s="815"/>
      <c r="BT30" s="815"/>
      <c r="BU30" s="815"/>
      <c r="BV30" s="815"/>
      <c r="BW30" s="815"/>
      <c r="BX30" s="815"/>
      <c r="BY30" s="815"/>
      <c r="BZ30" s="815"/>
      <c r="CA30" s="815"/>
      <c r="CB30" s="815"/>
      <c r="CC30" s="815"/>
    </row>
    <row r="31" spans="1:81" s="857" customFormat="1" ht="18" customHeight="1" thickBot="1" x14ac:dyDescent="0.35">
      <c r="A31" s="902"/>
      <c r="B31" s="1111"/>
      <c r="C31" s="1111"/>
      <c r="D31" s="1112"/>
      <c r="E31" s="868">
        <v>2024</v>
      </c>
      <c r="F31" s="903" t="s">
        <v>852</v>
      </c>
      <c r="G31" s="904"/>
      <c r="H31" s="904"/>
      <c r="I31" s="905"/>
      <c r="J31" s="906"/>
      <c r="K31" s="829"/>
      <c r="L31" s="1004" t="s">
        <v>1939</v>
      </c>
      <c r="M31" s="1005" t="s">
        <v>1940</v>
      </c>
      <c r="N31" s="1006"/>
      <c r="P31" s="813"/>
      <c r="Q31" s="814"/>
      <c r="R31" s="814"/>
      <c r="S31" s="814"/>
      <c r="T31" s="814"/>
      <c r="U31" s="814"/>
      <c r="V31" s="814"/>
      <c r="W31" s="814"/>
      <c r="X31" s="814"/>
      <c r="Y31" s="814"/>
      <c r="Z31" s="814"/>
      <c r="AA31" s="814"/>
      <c r="AB31" s="814"/>
      <c r="AC31" s="814"/>
      <c r="AD31" s="814"/>
      <c r="AE31" s="814"/>
      <c r="AF31" s="814"/>
      <c r="AG31" s="814"/>
      <c r="AH31" s="814"/>
      <c r="AI31" s="814"/>
      <c r="AJ31" s="814"/>
      <c r="AK31" s="814"/>
      <c r="AL31" s="814"/>
      <c r="AM31" s="814"/>
      <c r="AN31" s="814"/>
      <c r="AO31" s="814"/>
      <c r="AP31" s="814"/>
      <c r="AQ31" s="814"/>
      <c r="AR31" s="814"/>
      <c r="AS31" s="814"/>
      <c r="AT31" s="814"/>
      <c r="AU31" s="814"/>
      <c r="AV31" s="814"/>
      <c r="AW31" s="814"/>
      <c r="AX31" s="814"/>
      <c r="AY31" s="814"/>
      <c r="AZ31" s="814"/>
      <c r="BA31" s="814"/>
      <c r="BB31" s="814"/>
      <c r="BC31" s="814"/>
      <c r="BD31" s="814"/>
      <c r="BE31" s="814"/>
      <c r="BF31" s="814"/>
      <c r="BG31" s="814"/>
      <c r="BH31" s="815"/>
      <c r="BI31" s="815"/>
      <c r="BJ31" s="815"/>
      <c r="BK31" s="815"/>
      <c r="BL31" s="815"/>
      <c r="BM31" s="815"/>
      <c r="BN31" s="815"/>
      <c r="BO31" s="815"/>
      <c r="BP31" s="815"/>
      <c r="BQ31" s="815"/>
      <c r="BR31" s="815"/>
      <c r="BS31" s="815"/>
      <c r="BT31" s="815"/>
      <c r="BU31" s="815"/>
      <c r="BV31" s="815"/>
      <c r="BW31" s="815"/>
      <c r="BX31" s="815"/>
      <c r="BY31" s="815"/>
      <c r="BZ31" s="815"/>
      <c r="CA31" s="815"/>
      <c r="CB31" s="815"/>
      <c r="CC31" s="815"/>
    </row>
    <row r="32" spans="1:81" s="857" customFormat="1" ht="114.6" customHeight="1" thickBot="1" x14ac:dyDescent="0.35">
      <c r="A32" s="832">
        <v>13</v>
      </c>
      <c r="B32" s="1102" t="s">
        <v>1482</v>
      </c>
      <c r="C32" s="1113"/>
      <c r="D32" s="1113"/>
      <c r="E32" s="907" t="str">
        <f>IFERROR((Import!L54-Import!L55)/Import!L55,"This question must be answered unless the unit does not levy ad valorem taxes. See cells F63 &amp; F64 on Unit Data from Audit")</f>
        <v>This question must be answered unless the unit does not levy ad valorem taxes. See cells F63 &amp; F64 on Unit Data from Audit</v>
      </c>
      <c r="F32" s="805" t="s">
        <v>581</v>
      </c>
      <c r="G32" s="908" t="str">
        <f>+E32</f>
        <v>This question must be answered unless the unit does not levy ad valorem taxes. See cells F63 &amp; F64 on Unit Data from Audit</v>
      </c>
      <c r="H32" s="843" t="s">
        <v>1426</v>
      </c>
      <c r="I32" s="892" t="s">
        <v>585</v>
      </c>
      <c r="J32" s="809"/>
      <c r="K32" s="829"/>
      <c r="L32" s="1004"/>
      <c r="M32" s="1007">
        <v>45473</v>
      </c>
      <c r="N32" s="1008">
        <v>45657</v>
      </c>
      <c r="O32" s="812"/>
      <c r="P32" s="813"/>
      <c r="Q32" s="814"/>
      <c r="R32" s="814"/>
      <c r="S32" s="814"/>
      <c r="T32" s="814"/>
      <c r="U32" s="814"/>
      <c r="V32" s="814"/>
      <c r="W32" s="814"/>
      <c r="X32" s="814"/>
      <c r="Y32" s="814"/>
      <c r="Z32" s="814"/>
      <c r="AA32" s="814"/>
      <c r="AB32" s="814"/>
      <c r="AC32" s="814"/>
      <c r="AD32" s="814"/>
      <c r="AE32" s="814"/>
      <c r="AF32" s="814"/>
      <c r="AG32" s="814"/>
      <c r="AH32" s="814"/>
      <c r="AI32" s="814"/>
      <c r="AJ32" s="814"/>
      <c r="AK32" s="814"/>
      <c r="AL32" s="814"/>
      <c r="AM32" s="814"/>
      <c r="AN32" s="814"/>
      <c r="AO32" s="814"/>
      <c r="AP32" s="814"/>
      <c r="AQ32" s="814"/>
      <c r="AR32" s="814"/>
      <c r="AS32" s="814"/>
      <c r="AT32" s="814"/>
      <c r="AU32" s="814"/>
      <c r="AV32" s="814"/>
      <c r="AW32" s="814"/>
      <c r="AX32" s="814"/>
      <c r="AY32" s="814"/>
      <c r="AZ32" s="814"/>
      <c r="BA32" s="814"/>
      <c r="BB32" s="814"/>
      <c r="BC32" s="814"/>
      <c r="BD32" s="814"/>
      <c r="BE32" s="814"/>
      <c r="BF32" s="814"/>
      <c r="BG32" s="814"/>
      <c r="BH32" s="815"/>
      <c r="BI32" s="815"/>
      <c r="BJ32" s="815"/>
      <c r="BK32" s="815"/>
      <c r="BL32" s="815"/>
      <c r="BM32" s="815"/>
      <c r="BN32" s="815"/>
      <c r="BO32" s="815"/>
      <c r="BP32" s="815"/>
      <c r="BQ32" s="815"/>
      <c r="BR32" s="815"/>
      <c r="BS32" s="815"/>
      <c r="BT32" s="815"/>
      <c r="BU32" s="815"/>
      <c r="BV32" s="815"/>
      <c r="BW32" s="815"/>
      <c r="BX32" s="815"/>
      <c r="BY32" s="815"/>
      <c r="BZ32" s="815"/>
      <c r="CA32" s="815"/>
      <c r="CB32" s="815"/>
      <c r="CC32" s="815"/>
    </row>
    <row r="33" spans="1:81" s="857" customFormat="1" ht="18" customHeight="1" thickBot="1" x14ac:dyDescent="0.35">
      <c r="A33" s="909"/>
      <c r="B33" s="1111"/>
      <c r="C33" s="1111"/>
      <c r="D33" s="1112"/>
      <c r="E33" s="868">
        <v>2024</v>
      </c>
      <c r="F33" s="903" t="s">
        <v>852</v>
      </c>
      <c r="G33" s="904"/>
      <c r="H33" s="904"/>
      <c r="I33" s="905"/>
      <c r="J33" s="906"/>
      <c r="K33" s="811"/>
      <c r="L33" s="1004"/>
      <c r="M33" s="1007">
        <v>45565</v>
      </c>
      <c r="N33" s="1008">
        <v>45747</v>
      </c>
      <c r="O33" s="812"/>
      <c r="P33" s="813"/>
      <c r="Q33" s="814"/>
      <c r="R33" s="814"/>
      <c r="S33" s="814"/>
      <c r="T33" s="814"/>
      <c r="U33" s="814"/>
      <c r="V33" s="814"/>
      <c r="W33" s="814"/>
      <c r="X33" s="814"/>
      <c r="Y33" s="814"/>
      <c r="Z33" s="814"/>
      <c r="AA33" s="814"/>
      <c r="AB33" s="814"/>
      <c r="AC33" s="814"/>
      <c r="AD33" s="814"/>
      <c r="AE33" s="814"/>
      <c r="AF33" s="814"/>
      <c r="AG33" s="814"/>
      <c r="AH33" s="814"/>
      <c r="AI33" s="814"/>
      <c r="AJ33" s="814"/>
      <c r="AK33" s="814"/>
      <c r="AL33" s="814"/>
      <c r="AM33" s="814"/>
      <c r="AN33" s="814"/>
      <c r="AO33" s="814"/>
      <c r="AP33" s="814"/>
      <c r="AQ33" s="814"/>
      <c r="AR33" s="814"/>
      <c r="AS33" s="814"/>
      <c r="AT33" s="814"/>
      <c r="AU33" s="814"/>
      <c r="AV33" s="814"/>
      <c r="AW33" s="814"/>
      <c r="AX33" s="814"/>
      <c r="AY33" s="814"/>
      <c r="AZ33" s="814"/>
      <c r="BA33" s="814"/>
      <c r="BB33" s="814"/>
      <c r="BC33" s="814"/>
      <c r="BD33" s="814"/>
      <c r="BE33" s="814"/>
      <c r="BF33" s="814"/>
      <c r="BG33" s="814"/>
      <c r="BH33" s="815"/>
      <c r="BI33" s="815"/>
      <c r="BJ33" s="815"/>
      <c r="BK33" s="815"/>
      <c r="BL33" s="815"/>
      <c r="BM33" s="815"/>
      <c r="BN33" s="815"/>
      <c r="BO33" s="815"/>
      <c r="BP33" s="815"/>
      <c r="BQ33" s="815"/>
      <c r="BR33" s="815"/>
      <c r="BS33" s="815"/>
      <c r="BT33" s="815"/>
      <c r="BU33" s="815"/>
      <c r="BV33" s="815"/>
      <c r="BW33" s="815"/>
      <c r="BX33" s="815"/>
      <c r="BY33" s="815"/>
      <c r="BZ33" s="815"/>
      <c r="CA33" s="815"/>
      <c r="CB33" s="815"/>
      <c r="CC33" s="815"/>
    </row>
    <row r="34" spans="1:81" s="857" customFormat="1" ht="97.5" customHeight="1" thickBot="1" x14ac:dyDescent="0.35">
      <c r="A34" s="832">
        <v>14</v>
      </c>
      <c r="B34" s="1122" t="s">
        <v>1082</v>
      </c>
      <c r="C34" s="1163"/>
      <c r="D34" s="1163"/>
      <c r="E34" s="910" t="str">
        <f>IF(Import!L210=20,"Increase",IF(Import!L210=21,"Decrease",IF(Import!L210=22,"No Change",IF(Import!L210=23,"N/A","This question must be answered. See cell F265 on Unit Data from Audit"))))</f>
        <v>This question must be answered. See cell F265 on Unit Data from Audit</v>
      </c>
      <c r="F34" s="805" t="s">
        <v>854</v>
      </c>
      <c r="G34" s="910" t="str">
        <f>E34</f>
        <v>This question must be answered. See cell F265 on Unit Data from Audit</v>
      </c>
      <c r="H34" s="843" t="s">
        <v>855</v>
      </c>
      <c r="I34" s="892" t="s">
        <v>586</v>
      </c>
      <c r="J34" s="809"/>
      <c r="K34" s="911"/>
      <c r="L34" s="1004"/>
      <c r="M34" s="1007">
        <v>45657</v>
      </c>
      <c r="N34" s="1008">
        <v>45838</v>
      </c>
      <c r="O34" s="812"/>
      <c r="P34" s="813"/>
      <c r="Q34" s="814"/>
      <c r="R34" s="814"/>
      <c r="S34" s="814"/>
      <c r="T34" s="814"/>
      <c r="U34" s="814"/>
      <c r="V34" s="814"/>
      <c r="W34" s="814"/>
      <c r="X34" s="814"/>
      <c r="Y34" s="814"/>
      <c r="Z34" s="814"/>
      <c r="AA34" s="814"/>
      <c r="AB34" s="814"/>
      <c r="AC34" s="814"/>
      <c r="AD34" s="814"/>
      <c r="AE34" s="814"/>
      <c r="AF34" s="814"/>
      <c r="AG34" s="814"/>
      <c r="AH34" s="814"/>
      <c r="AI34" s="814"/>
      <c r="AJ34" s="814"/>
      <c r="AK34" s="814"/>
      <c r="AL34" s="814"/>
      <c r="AM34" s="814"/>
      <c r="AN34" s="814"/>
      <c r="AO34" s="814"/>
      <c r="AP34" s="814"/>
      <c r="AQ34" s="814"/>
      <c r="AR34" s="814"/>
      <c r="AS34" s="814"/>
      <c r="AT34" s="814"/>
      <c r="AU34" s="814"/>
      <c r="AV34" s="814"/>
      <c r="AW34" s="814"/>
      <c r="AX34" s="814"/>
      <c r="AY34" s="814"/>
      <c r="AZ34" s="814"/>
      <c r="BA34" s="814"/>
      <c r="BB34" s="814"/>
      <c r="BC34" s="814"/>
      <c r="BD34" s="814"/>
      <c r="BE34" s="814"/>
      <c r="BF34" s="814"/>
      <c r="BG34" s="814"/>
      <c r="BH34" s="815"/>
      <c r="BI34" s="815"/>
      <c r="BJ34" s="815"/>
      <c r="BK34" s="815"/>
      <c r="BL34" s="815"/>
      <c r="BM34" s="815"/>
      <c r="BN34" s="815"/>
      <c r="BO34" s="815"/>
      <c r="BP34" s="815"/>
      <c r="BQ34" s="815"/>
      <c r="BR34" s="815"/>
      <c r="BS34" s="815"/>
      <c r="BT34" s="815"/>
      <c r="BU34" s="815"/>
      <c r="BV34" s="815"/>
      <c r="BW34" s="815"/>
      <c r="BX34" s="815"/>
      <c r="BY34" s="815"/>
      <c r="BZ34" s="815"/>
      <c r="CA34" s="815"/>
      <c r="CB34" s="815"/>
      <c r="CC34" s="815"/>
    </row>
    <row r="35" spans="1:81" s="857" customFormat="1" ht="18" customHeight="1" thickBot="1" x14ac:dyDescent="0.35">
      <c r="A35" s="909"/>
      <c r="B35" s="1111"/>
      <c r="C35" s="1111"/>
      <c r="D35" s="1112"/>
      <c r="E35" s="868">
        <v>2024</v>
      </c>
      <c r="F35" s="903" t="s">
        <v>852</v>
      </c>
      <c r="G35" s="904"/>
      <c r="H35" s="912"/>
      <c r="I35" s="905"/>
      <c r="J35" s="906"/>
      <c r="K35" s="913"/>
      <c r="L35" s="1009"/>
      <c r="M35" s="1010">
        <v>45747</v>
      </c>
      <c r="N35" s="1011">
        <v>45930</v>
      </c>
      <c r="O35" s="812"/>
      <c r="P35" s="813"/>
      <c r="Q35" s="814"/>
      <c r="R35" s="814"/>
      <c r="S35" s="814"/>
      <c r="T35" s="814"/>
      <c r="U35" s="814"/>
      <c r="V35" s="814"/>
      <c r="W35" s="814"/>
      <c r="X35" s="814"/>
      <c r="Y35" s="814"/>
      <c r="Z35" s="814"/>
      <c r="AA35" s="814"/>
      <c r="AB35" s="814"/>
      <c r="AC35" s="814"/>
      <c r="AD35" s="814"/>
      <c r="AE35" s="814"/>
      <c r="AF35" s="814"/>
      <c r="AG35" s="814"/>
      <c r="AH35" s="814"/>
      <c r="AI35" s="814"/>
      <c r="AJ35" s="814"/>
      <c r="AK35" s="814"/>
      <c r="AL35" s="814"/>
      <c r="AM35" s="814"/>
      <c r="AN35" s="814"/>
      <c r="AO35" s="814"/>
      <c r="AP35" s="814"/>
      <c r="AQ35" s="814"/>
      <c r="AR35" s="814"/>
      <c r="AS35" s="814"/>
      <c r="AT35" s="814"/>
      <c r="AU35" s="814"/>
      <c r="AV35" s="814"/>
      <c r="AW35" s="814"/>
      <c r="AX35" s="814"/>
      <c r="AY35" s="814"/>
      <c r="AZ35" s="814"/>
      <c r="BA35" s="814"/>
      <c r="BB35" s="814"/>
      <c r="BC35" s="814"/>
      <c r="BD35" s="814"/>
      <c r="BE35" s="814"/>
      <c r="BF35" s="814"/>
      <c r="BG35" s="814"/>
      <c r="BH35" s="815"/>
      <c r="BI35" s="815"/>
      <c r="BJ35" s="815"/>
      <c r="BK35" s="815"/>
      <c r="BL35" s="815"/>
      <c r="BM35" s="815"/>
      <c r="BN35" s="815"/>
      <c r="BO35" s="815"/>
      <c r="BP35" s="815"/>
      <c r="BQ35" s="815"/>
      <c r="BR35" s="815"/>
      <c r="BS35" s="815"/>
      <c r="BT35" s="815"/>
      <c r="BU35" s="815"/>
      <c r="BV35" s="815"/>
      <c r="BW35" s="815"/>
      <c r="BX35" s="815"/>
      <c r="BY35" s="815"/>
      <c r="BZ35" s="815"/>
      <c r="CA35" s="815"/>
      <c r="CB35" s="815"/>
      <c r="CC35" s="815"/>
    </row>
    <row r="36" spans="1:81" s="857" customFormat="1" ht="88.2" customHeight="1" thickBot="1" x14ac:dyDescent="0.35">
      <c r="A36" s="832">
        <v>15</v>
      </c>
      <c r="B36" s="1116" t="s">
        <v>1886</v>
      </c>
      <c r="C36" s="1117"/>
      <c r="D36" s="1118"/>
      <c r="E36" s="805" t="str">
        <f>IF(Import!L216=1,"Yes",IF(Import!L216=2,"No",IF(Import!L216=0,"This question must be answered.  See cell C15 on TD")))</f>
        <v>This question must be answered.  See cell C15 on TD</v>
      </c>
      <c r="F36" s="805" t="s">
        <v>587</v>
      </c>
      <c r="G36" s="805" t="str">
        <f>+E36</f>
        <v>This question must be answered.  See cell C15 on TD</v>
      </c>
      <c r="H36" s="914" t="s">
        <v>1083</v>
      </c>
      <c r="I36" s="892" t="s">
        <v>1462</v>
      </c>
      <c r="J36" s="809"/>
      <c r="K36" s="829"/>
      <c r="L36" s="812"/>
      <c r="M36" s="812"/>
      <c r="N36" s="997"/>
      <c r="O36" s="812"/>
      <c r="P36" s="813"/>
      <c r="Q36" s="814"/>
      <c r="R36" s="814"/>
      <c r="S36" s="814"/>
      <c r="T36" s="814"/>
      <c r="U36" s="814"/>
      <c r="V36" s="814"/>
      <c r="W36" s="814"/>
      <c r="X36" s="814"/>
      <c r="Y36" s="814"/>
      <c r="Z36" s="814"/>
      <c r="AA36" s="814"/>
      <c r="AB36" s="814"/>
      <c r="AC36" s="814"/>
      <c r="AD36" s="814"/>
      <c r="AE36" s="814"/>
      <c r="AF36" s="814"/>
      <c r="AG36" s="814"/>
      <c r="AH36" s="814"/>
      <c r="AI36" s="814"/>
      <c r="AJ36" s="814"/>
      <c r="AK36" s="814"/>
      <c r="AL36" s="814"/>
      <c r="AM36" s="814"/>
      <c r="AN36" s="814"/>
      <c r="AO36" s="814"/>
      <c r="AP36" s="814"/>
      <c r="AQ36" s="814"/>
      <c r="AR36" s="814"/>
      <c r="AS36" s="814"/>
      <c r="AT36" s="814"/>
      <c r="AU36" s="814"/>
      <c r="AV36" s="814"/>
      <c r="AW36" s="814"/>
      <c r="AX36" s="814"/>
      <c r="AY36" s="814"/>
      <c r="AZ36" s="814"/>
      <c r="BA36" s="814"/>
      <c r="BB36" s="814"/>
      <c r="BC36" s="814"/>
      <c r="BD36" s="814"/>
      <c r="BE36" s="814"/>
      <c r="BF36" s="814"/>
      <c r="BG36" s="814"/>
      <c r="BH36" s="815"/>
      <c r="BI36" s="815"/>
      <c r="BJ36" s="815"/>
      <c r="BK36" s="815"/>
      <c r="BL36" s="815"/>
      <c r="BM36" s="815"/>
      <c r="BN36" s="815"/>
      <c r="BO36" s="815"/>
      <c r="BP36" s="815"/>
      <c r="BQ36" s="815"/>
      <c r="BR36" s="815"/>
      <c r="BS36" s="815"/>
      <c r="BT36" s="815"/>
      <c r="BU36" s="815"/>
      <c r="BV36" s="815"/>
      <c r="BW36" s="815"/>
      <c r="BX36" s="815"/>
      <c r="BY36" s="815"/>
      <c r="BZ36" s="815"/>
      <c r="CA36" s="815"/>
      <c r="CB36" s="815"/>
      <c r="CC36" s="815"/>
    </row>
    <row r="37" spans="1:81" s="857" customFormat="1" ht="18" customHeight="1" thickBot="1" x14ac:dyDescent="0.35">
      <c r="A37" s="909"/>
      <c r="B37" s="1111"/>
      <c r="C37" s="1111"/>
      <c r="D37" s="1112"/>
      <c r="E37" s="868">
        <v>2024</v>
      </c>
      <c r="F37" s="903" t="s">
        <v>852</v>
      </c>
      <c r="G37" s="904"/>
      <c r="H37" s="912"/>
      <c r="I37" s="905"/>
      <c r="J37" s="906"/>
      <c r="K37" s="829"/>
      <c r="L37" s="812"/>
      <c r="M37" s="812"/>
      <c r="N37" s="812"/>
      <c r="O37" s="812"/>
      <c r="P37" s="813"/>
      <c r="Q37" s="814"/>
      <c r="R37" s="814"/>
      <c r="S37" s="814"/>
      <c r="T37" s="814"/>
      <c r="U37" s="814"/>
      <c r="V37" s="814"/>
      <c r="W37" s="814"/>
      <c r="X37" s="814"/>
      <c r="Y37" s="814"/>
      <c r="Z37" s="814"/>
      <c r="AA37" s="814"/>
      <c r="AB37" s="814"/>
      <c r="AC37" s="814"/>
      <c r="AD37" s="814"/>
      <c r="AE37" s="814"/>
      <c r="AF37" s="814"/>
      <c r="AG37" s="814"/>
      <c r="AH37" s="814"/>
      <c r="AI37" s="814"/>
      <c r="AJ37" s="814"/>
      <c r="AK37" s="814"/>
      <c r="AL37" s="814"/>
      <c r="AM37" s="814"/>
      <c r="AN37" s="814"/>
      <c r="AO37" s="814"/>
      <c r="AP37" s="814"/>
      <c r="AQ37" s="814"/>
      <c r="AR37" s="814"/>
      <c r="AS37" s="814"/>
      <c r="AT37" s="814"/>
      <c r="AU37" s="814"/>
      <c r="AV37" s="814"/>
      <c r="AW37" s="814"/>
      <c r="AX37" s="814"/>
      <c r="AY37" s="814"/>
      <c r="AZ37" s="814"/>
      <c r="BA37" s="814"/>
      <c r="BB37" s="814"/>
      <c r="BC37" s="814"/>
      <c r="BD37" s="814"/>
      <c r="BE37" s="814"/>
      <c r="BF37" s="814"/>
      <c r="BG37" s="814"/>
      <c r="BH37" s="815"/>
      <c r="BI37" s="815"/>
      <c r="BJ37" s="815"/>
      <c r="BK37" s="815"/>
      <c r="BL37" s="815"/>
      <c r="BM37" s="815"/>
      <c r="BN37" s="815"/>
      <c r="BO37" s="815"/>
      <c r="BP37" s="815"/>
      <c r="BQ37" s="815"/>
      <c r="BR37" s="815"/>
      <c r="BS37" s="815"/>
      <c r="BT37" s="815"/>
      <c r="BU37" s="815"/>
      <c r="BV37" s="815"/>
      <c r="BW37" s="815"/>
      <c r="BX37" s="815"/>
      <c r="BY37" s="815"/>
      <c r="BZ37" s="815"/>
      <c r="CA37" s="815"/>
      <c r="CB37" s="815"/>
      <c r="CC37" s="815"/>
    </row>
    <row r="38" spans="1:81" s="857" customFormat="1" ht="109.8" customHeight="1" thickBot="1" x14ac:dyDescent="0.35">
      <c r="A38" s="832">
        <v>16</v>
      </c>
      <c r="B38" s="1101" t="s">
        <v>1581</v>
      </c>
      <c r="C38" s="1101"/>
      <c r="D38" s="1102"/>
      <c r="E38" s="927" t="str">
        <f>IF(AND(Import!L214=2,Import!L215=2,Import!L217=2,AND(Import!L223&lt;=0,Import!L224&lt;=0)),"No","Yes")</f>
        <v>Yes</v>
      </c>
      <c r="F38" s="915"/>
      <c r="G38" s="877" t="str">
        <f>E38</f>
        <v>Yes</v>
      </c>
      <c r="H38" s="1056" t="s">
        <v>1869</v>
      </c>
      <c r="I38" s="851" t="s">
        <v>1474</v>
      </c>
      <c r="J38" s="809"/>
      <c r="K38" s="829"/>
      <c r="L38" s="812"/>
      <c r="M38" s="812"/>
      <c r="N38" s="812"/>
      <c r="O38" s="812"/>
      <c r="P38" s="813"/>
      <c r="Q38" s="814"/>
      <c r="R38" s="814"/>
      <c r="S38" s="814"/>
      <c r="T38" s="814"/>
      <c r="U38" s="814"/>
      <c r="V38" s="814"/>
      <c r="W38" s="814"/>
      <c r="X38" s="814"/>
      <c r="Y38" s="814"/>
      <c r="Z38" s="814"/>
      <c r="AA38" s="814"/>
      <c r="AB38" s="814"/>
      <c r="AC38" s="814"/>
      <c r="AD38" s="814"/>
      <c r="AE38" s="814"/>
      <c r="AF38" s="814"/>
      <c r="AG38" s="814"/>
      <c r="AH38" s="814"/>
      <c r="AI38" s="814"/>
      <c r="AJ38" s="814"/>
      <c r="AK38" s="814"/>
      <c r="AL38" s="814"/>
      <c r="AM38" s="814"/>
      <c r="AN38" s="814"/>
      <c r="AO38" s="814"/>
      <c r="AP38" s="814"/>
      <c r="AQ38" s="814"/>
      <c r="AR38" s="814"/>
      <c r="AS38" s="814"/>
      <c r="AT38" s="814"/>
      <c r="AU38" s="814"/>
      <c r="AV38" s="814"/>
      <c r="AW38" s="814"/>
      <c r="AX38" s="814"/>
      <c r="AY38" s="814"/>
      <c r="AZ38" s="814"/>
      <c r="BA38" s="814"/>
      <c r="BB38" s="814"/>
      <c r="BC38" s="814"/>
      <c r="BD38" s="814"/>
      <c r="BE38" s="814"/>
      <c r="BF38" s="814"/>
      <c r="BG38" s="814"/>
      <c r="BH38" s="815"/>
      <c r="BI38" s="815"/>
      <c r="BJ38" s="815"/>
      <c r="BK38" s="815"/>
      <c r="BL38" s="815"/>
      <c r="BM38" s="815"/>
      <c r="BN38" s="815"/>
      <c r="BO38" s="815"/>
      <c r="BP38" s="815"/>
      <c r="BQ38" s="815"/>
      <c r="BR38" s="815"/>
      <c r="BS38" s="815"/>
      <c r="BT38" s="815"/>
      <c r="BU38" s="815"/>
      <c r="BV38" s="815"/>
      <c r="BW38" s="815"/>
      <c r="BX38" s="815"/>
      <c r="BY38" s="815"/>
      <c r="BZ38" s="815"/>
      <c r="CA38" s="815"/>
      <c r="CB38" s="815"/>
      <c r="CC38" s="815"/>
    </row>
    <row r="39" spans="1:81" s="857" customFormat="1" ht="98.4" customHeight="1" thickBot="1" x14ac:dyDescent="0.35">
      <c r="A39" s="975">
        <v>17</v>
      </c>
      <c r="B39" s="1116" t="s">
        <v>1911</v>
      </c>
      <c r="C39" s="1117"/>
      <c r="D39" s="1118"/>
      <c r="E39" s="877" t="str">
        <f>IF(Import!L218=1,"Yes",IF(Import!L218=2,"No",IF(Import!L218=0,"This question must be answered.  See cell C17 on TD")))</f>
        <v>This question must be answered.  See cell C17 on TD</v>
      </c>
      <c r="F39" s="915"/>
      <c r="G39" s="877" t="str">
        <f>E39</f>
        <v>This question must be answered.  See cell C17 on TD</v>
      </c>
      <c r="H39" s="914" t="s">
        <v>1934</v>
      </c>
      <c r="I39" s="851" t="s">
        <v>1469</v>
      </c>
      <c r="J39" s="809"/>
      <c r="K39" s="829"/>
      <c r="L39" s="812"/>
      <c r="M39" s="812"/>
      <c r="N39" s="812"/>
      <c r="O39" s="812"/>
      <c r="P39" s="813"/>
      <c r="Q39" s="814"/>
      <c r="U39" s="814"/>
      <c r="V39" s="814"/>
      <c r="W39" s="814"/>
      <c r="X39" s="814"/>
      <c r="Y39" s="814"/>
      <c r="Z39" s="814"/>
      <c r="AA39" s="814"/>
      <c r="AB39" s="814"/>
      <c r="AC39" s="814"/>
      <c r="AD39" s="814"/>
      <c r="AE39" s="814"/>
      <c r="AF39" s="814"/>
      <c r="AG39" s="814"/>
      <c r="AH39" s="814"/>
      <c r="AI39" s="814"/>
      <c r="AJ39" s="814"/>
      <c r="AK39" s="814"/>
      <c r="AL39" s="814"/>
      <c r="AM39" s="814"/>
      <c r="AN39" s="814"/>
      <c r="AO39" s="814"/>
      <c r="AP39" s="814"/>
      <c r="AQ39" s="814"/>
      <c r="AR39" s="814"/>
      <c r="AS39" s="814"/>
      <c r="AT39" s="814"/>
      <c r="AU39" s="814"/>
      <c r="AV39" s="814"/>
      <c r="AW39" s="814"/>
      <c r="AX39" s="814"/>
      <c r="AY39" s="814"/>
      <c r="AZ39" s="814"/>
      <c r="BA39" s="814"/>
      <c r="BB39" s="814"/>
      <c r="BC39" s="814"/>
      <c r="BD39" s="814"/>
      <c r="BE39" s="814"/>
      <c r="BF39" s="814"/>
      <c r="BG39" s="814"/>
      <c r="BH39" s="815"/>
      <c r="BI39" s="815"/>
      <c r="BJ39" s="815"/>
      <c r="BK39" s="815"/>
      <c r="BL39" s="815"/>
      <c r="BM39" s="815"/>
      <c r="BN39" s="815"/>
      <c r="BO39" s="815"/>
      <c r="BP39" s="815"/>
      <c r="BQ39" s="815"/>
      <c r="BR39" s="815"/>
      <c r="BS39" s="815"/>
      <c r="BT39" s="815"/>
      <c r="BU39" s="815"/>
      <c r="BV39" s="815"/>
      <c r="BW39" s="815"/>
      <c r="BX39" s="815"/>
      <c r="BY39" s="815"/>
      <c r="BZ39" s="815"/>
      <c r="CA39" s="815"/>
      <c r="CB39" s="815"/>
      <c r="CC39" s="815"/>
    </row>
    <row r="40" spans="1:81" s="857" customFormat="1" ht="106.2" customHeight="1" thickBot="1" x14ac:dyDescent="0.35">
      <c r="A40" s="975">
        <v>18</v>
      </c>
      <c r="B40" s="1116" t="s">
        <v>1671</v>
      </c>
      <c r="C40" s="1117"/>
      <c r="D40" s="1118"/>
      <c r="E40" s="877" t="str">
        <f>IF(Import!L220=1,"Yes",IF(Import!L220=2,"No",IF(Import!L220=0,"This question must be answered.  See cell C19 on TD")))</f>
        <v>This question must be answered.  See cell C19 on TD</v>
      </c>
      <c r="F40" s="915"/>
      <c r="G40" s="877" t="str">
        <f>E40</f>
        <v>This question must be answered.  See cell C19 on TD</v>
      </c>
      <c r="H40" s="914" t="s">
        <v>1942</v>
      </c>
      <c r="I40" s="851" t="s">
        <v>1568</v>
      </c>
      <c r="J40" s="809"/>
      <c r="K40" s="829"/>
      <c r="L40" s="812"/>
      <c r="M40" s="812"/>
      <c r="N40" s="812"/>
      <c r="O40" s="812"/>
      <c r="P40" s="813"/>
      <c r="Q40" s="814"/>
      <c r="R40" s="814"/>
      <c r="S40" s="814"/>
      <c r="T40" s="814"/>
      <c r="U40" s="814"/>
      <c r="V40" s="814"/>
      <c r="W40" s="814"/>
      <c r="X40" s="814"/>
      <c r="Y40" s="814"/>
      <c r="Z40" s="814"/>
      <c r="AA40" s="814"/>
      <c r="AB40" s="814"/>
      <c r="AC40" s="814"/>
      <c r="AD40" s="814"/>
      <c r="AE40" s="814"/>
      <c r="AF40" s="814"/>
      <c r="AG40" s="814"/>
      <c r="AH40" s="814"/>
      <c r="AI40" s="814"/>
      <c r="AJ40" s="814"/>
      <c r="AK40" s="814"/>
      <c r="AL40" s="814"/>
      <c r="AM40" s="814"/>
      <c r="AN40" s="814"/>
      <c r="AO40" s="814"/>
      <c r="AP40" s="814"/>
      <c r="AQ40" s="814"/>
      <c r="AR40" s="814"/>
      <c r="AS40" s="814"/>
      <c r="AT40" s="814"/>
      <c r="AU40" s="814"/>
      <c r="AV40" s="814"/>
      <c r="AW40" s="814"/>
      <c r="AX40" s="814"/>
      <c r="AY40" s="814"/>
      <c r="AZ40" s="814"/>
      <c r="BA40" s="814"/>
      <c r="BB40" s="814"/>
      <c r="BC40" s="814"/>
      <c r="BD40" s="814"/>
      <c r="BE40" s="814"/>
      <c r="BF40" s="814"/>
      <c r="BG40" s="814"/>
      <c r="BH40" s="815"/>
      <c r="BI40" s="815"/>
      <c r="BJ40" s="815"/>
      <c r="BK40" s="815"/>
      <c r="BL40" s="815"/>
      <c r="BM40" s="815"/>
      <c r="BN40" s="815"/>
      <c r="BO40" s="815"/>
      <c r="BP40" s="815"/>
      <c r="BQ40" s="815"/>
      <c r="BR40" s="815"/>
      <c r="BS40" s="815"/>
      <c r="BT40" s="815"/>
      <c r="BU40" s="815"/>
      <c r="BV40" s="815"/>
      <c r="BW40" s="815"/>
      <c r="BX40" s="815"/>
      <c r="BY40" s="815"/>
      <c r="BZ40" s="815"/>
      <c r="CA40" s="815"/>
      <c r="CB40" s="815"/>
      <c r="CC40" s="815"/>
    </row>
    <row r="41" spans="1:81" s="857" customFormat="1" ht="18" customHeight="1" thickBot="1" x14ac:dyDescent="0.35">
      <c r="A41" s="909"/>
      <c r="B41" s="1119" t="s">
        <v>851</v>
      </c>
      <c r="C41" s="1119"/>
      <c r="D41" s="1120"/>
      <c r="E41" s="868">
        <v>2024</v>
      </c>
      <c r="F41" s="903" t="s">
        <v>852</v>
      </c>
      <c r="G41" s="917"/>
      <c r="H41" s="904"/>
      <c r="I41" s="918"/>
      <c r="J41" s="906"/>
      <c r="K41" s="829"/>
      <c r="L41" s="812"/>
      <c r="M41" s="812"/>
      <c r="N41" s="812"/>
      <c r="O41" s="812"/>
      <c r="P41" s="813"/>
      <c r="Q41" s="814"/>
      <c r="R41" s="814"/>
      <c r="S41" s="814"/>
      <c r="T41" s="814"/>
      <c r="U41" s="814"/>
      <c r="V41" s="814"/>
      <c r="W41" s="814"/>
      <c r="X41" s="814"/>
      <c r="Y41" s="814"/>
      <c r="Z41" s="814"/>
      <c r="AA41" s="814"/>
      <c r="AB41" s="814"/>
      <c r="AC41" s="814"/>
      <c r="AD41" s="814"/>
      <c r="AE41" s="814"/>
      <c r="AF41" s="814"/>
      <c r="AG41" s="814"/>
      <c r="AH41" s="814"/>
      <c r="AI41" s="814"/>
      <c r="AJ41" s="814"/>
      <c r="AK41" s="814"/>
      <c r="AL41" s="814"/>
      <c r="AM41" s="814"/>
      <c r="AN41" s="814"/>
      <c r="AO41" s="814"/>
      <c r="AP41" s="814"/>
      <c r="AQ41" s="814"/>
      <c r="AR41" s="814"/>
      <c r="AS41" s="814"/>
      <c r="AT41" s="814"/>
      <c r="AU41" s="814"/>
      <c r="AV41" s="814"/>
      <c r="AW41" s="814"/>
      <c r="AX41" s="814"/>
      <c r="AY41" s="814"/>
      <c r="AZ41" s="814"/>
      <c r="BA41" s="814"/>
      <c r="BB41" s="814"/>
      <c r="BC41" s="814"/>
      <c r="BD41" s="814"/>
      <c r="BE41" s="814"/>
      <c r="BF41" s="814"/>
      <c r="BG41" s="814"/>
      <c r="BH41" s="815"/>
      <c r="BI41" s="815"/>
      <c r="BJ41" s="815"/>
      <c r="BK41" s="815"/>
      <c r="BL41" s="815"/>
      <c r="BM41" s="815"/>
      <c r="BN41" s="815"/>
      <c r="BO41" s="815"/>
      <c r="BP41" s="815"/>
      <c r="BQ41" s="815"/>
      <c r="BR41" s="815"/>
      <c r="BS41" s="815"/>
      <c r="BT41" s="815"/>
      <c r="BU41" s="815"/>
      <c r="BV41" s="815"/>
      <c r="BW41" s="815"/>
      <c r="BX41" s="815"/>
      <c r="BY41" s="815"/>
      <c r="BZ41" s="815"/>
      <c r="CA41" s="815"/>
      <c r="CB41" s="815"/>
      <c r="CC41" s="815"/>
    </row>
    <row r="42" spans="1:81" s="857" customFormat="1" ht="82.8" customHeight="1" thickBot="1" x14ac:dyDescent="0.35">
      <c r="A42" s="975">
        <v>19</v>
      </c>
      <c r="B42" s="1121" t="s">
        <v>1081</v>
      </c>
      <c r="C42" s="1121"/>
      <c r="D42" s="1122"/>
      <c r="E42" s="877" t="str">
        <f>IF(Import!L227=1,"Yes",IF(Import!L227=2,"No",IF(Import!L227=3,"N/A",IF(Import!L227=0,"This question must be answered.  See cell C26 on TD"))))</f>
        <v>This question must be answered.  See cell C26 on TD</v>
      </c>
      <c r="F42" s="915"/>
      <c r="G42" s="877" t="str">
        <f>E42</f>
        <v>This question must be answered.  See cell C26 on TD</v>
      </c>
      <c r="H42" s="914" t="s">
        <v>1870</v>
      </c>
      <c r="I42" s="892" t="s">
        <v>649</v>
      </c>
      <c r="J42" s="809"/>
      <c r="K42" s="829"/>
      <c r="L42" s="812"/>
      <c r="M42" s="812"/>
      <c r="N42" s="812"/>
      <c r="O42" s="812"/>
      <c r="P42" s="813"/>
      <c r="Q42" s="814"/>
      <c r="R42" s="814"/>
      <c r="S42" s="814"/>
      <c r="T42" s="814"/>
      <c r="U42" s="814"/>
      <c r="V42" s="814"/>
      <c r="W42" s="814"/>
      <c r="X42" s="814"/>
      <c r="Y42" s="814"/>
      <c r="Z42" s="814"/>
      <c r="AA42" s="814"/>
      <c r="AB42" s="814"/>
      <c r="AC42" s="814"/>
      <c r="AD42" s="814"/>
      <c r="AE42" s="814"/>
      <c r="AF42" s="814"/>
      <c r="AG42" s="814"/>
      <c r="AH42" s="814"/>
      <c r="AI42" s="814"/>
      <c r="AJ42" s="814"/>
      <c r="AK42" s="814"/>
      <c r="AL42" s="814"/>
      <c r="AM42" s="814"/>
      <c r="AN42" s="814"/>
      <c r="AO42" s="814"/>
      <c r="AP42" s="814"/>
      <c r="AQ42" s="814"/>
      <c r="AR42" s="814"/>
      <c r="AS42" s="814"/>
      <c r="AT42" s="814"/>
      <c r="AU42" s="814"/>
      <c r="AV42" s="814"/>
      <c r="AW42" s="814"/>
      <c r="AX42" s="814"/>
      <c r="AY42" s="814"/>
      <c r="AZ42" s="814"/>
      <c r="BA42" s="814"/>
      <c r="BB42" s="814"/>
      <c r="BC42" s="814"/>
      <c r="BD42" s="814"/>
      <c r="BE42" s="814"/>
      <c r="BF42" s="814"/>
      <c r="BG42" s="814"/>
      <c r="BH42" s="815"/>
      <c r="BI42" s="815"/>
      <c r="BJ42" s="815"/>
      <c r="BK42" s="815"/>
      <c r="BL42" s="815"/>
      <c r="BM42" s="815"/>
      <c r="BN42" s="815"/>
      <c r="BO42" s="815"/>
      <c r="BP42" s="815"/>
      <c r="BQ42" s="815"/>
      <c r="BR42" s="815"/>
      <c r="BS42" s="815"/>
      <c r="BT42" s="815"/>
      <c r="BU42" s="815"/>
      <c r="BV42" s="815"/>
      <c r="BW42" s="815"/>
      <c r="BX42" s="815"/>
      <c r="BY42" s="815"/>
      <c r="BZ42" s="815"/>
      <c r="CA42" s="815"/>
      <c r="CB42" s="815"/>
      <c r="CC42" s="815"/>
    </row>
    <row r="43" spans="1:81" s="857" customFormat="1" ht="18" customHeight="1" thickBot="1" x14ac:dyDescent="0.35">
      <c r="A43" s="909"/>
      <c r="B43" s="1111"/>
      <c r="C43" s="1111"/>
      <c r="D43" s="1112"/>
      <c r="E43" s="868">
        <v>2024</v>
      </c>
      <c r="F43" s="895" t="s">
        <v>852</v>
      </c>
      <c r="G43" s="904"/>
      <c r="H43" s="912"/>
      <c r="I43" s="905"/>
      <c r="J43" s="906"/>
      <c r="K43" s="829"/>
      <c r="L43" s="812"/>
      <c r="M43" s="812"/>
      <c r="N43" s="812"/>
      <c r="O43" s="812"/>
      <c r="P43" s="813"/>
      <c r="Q43" s="814"/>
      <c r="R43" s="814"/>
      <c r="S43" s="814"/>
      <c r="T43" s="814"/>
      <c r="U43" s="814"/>
      <c r="V43" s="814"/>
      <c r="W43" s="814"/>
      <c r="X43" s="814"/>
      <c r="Y43" s="814"/>
      <c r="Z43" s="814"/>
      <c r="AA43" s="814"/>
      <c r="AB43" s="814"/>
      <c r="AC43" s="814"/>
      <c r="AD43" s="814"/>
      <c r="AE43" s="814"/>
      <c r="AF43" s="814"/>
      <c r="AG43" s="814"/>
      <c r="AH43" s="814"/>
      <c r="AI43" s="814"/>
      <c r="AJ43" s="814"/>
      <c r="AK43" s="814"/>
      <c r="AL43" s="814"/>
      <c r="AM43" s="814"/>
      <c r="AN43" s="814"/>
      <c r="AO43" s="814"/>
      <c r="AP43" s="814"/>
      <c r="AQ43" s="814"/>
      <c r="AR43" s="814"/>
      <c r="AS43" s="814"/>
      <c r="AT43" s="814"/>
      <c r="AU43" s="814"/>
      <c r="AV43" s="814"/>
      <c r="AW43" s="814"/>
      <c r="AX43" s="814"/>
      <c r="AY43" s="814"/>
      <c r="AZ43" s="814"/>
      <c r="BA43" s="814"/>
      <c r="BB43" s="814"/>
      <c r="BC43" s="814"/>
      <c r="BD43" s="814"/>
      <c r="BE43" s="814"/>
      <c r="BF43" s="814"/>
      <c r="BG43" s="814"/>
      <c r="BH43" s="815"/>
      <c r="BI43" s="815"/>
      <c r="BJ43" s="815"/>
      <c r="BK43" s="815"/>
      <c r="BL43" s="815"/>
      <c r="BM43" s="815"/>
      <c r="BN43" s="815"/>
      <c r="BO43" s="815"/>
      <c r="BP43" s="815"/>
      <c r="BQ43" s="815"/>
      <c r="BR43" s="815"/>
      <c r="BS43" s="815"/>
      <c r="BT43" s="815"/>
      <c r="BU43" s="815"/>
      <c r="BV43" s="815"/>
      <c r="BW43" s="815"/>
      <c r="BX43" s="815"/>
      <c r="BY43" s="815"/>
      <c r="BZ43" s="815"/>
      <c r="CA43" s="815"/>
      <c r="CB43" s="815"/>
      <c r="CC43" s="815"/>
    </row>
    <row r="44" spans="1:81" s="857" customFormat="1" ht="130.19999999999999" customHeight="1" thickBot="1" x14ac:dyDescent="0.35">
      <c r="A44" s="832">
        <v>20</v>
      </c>
      <c r="B44" s="1102" t="s">
        <v>1480</v>
      </c>
      <c r="C44" s="1113"/>
      <c r="D44" s="1113"/>
      <c r="E44" s="919" t="str">
        <f>IF('Electric trans'!F24="No, unit exceeds limit by:","Yes","No")</f>
        <v>No</v>
      </c>
      <c r="F44" s="915"/>
      <c r="G44" s="919" t="str">
        <f>+E44</f>
        <v>No</v>
      </c>
      <c r="H44" s="843" t="s">
        <v>1873</v>
      </c>
      <c r="I44" s="892" t="s">
        <v>1484</v>
      </c>
      <c r="J44" s="809"/>
      <c r="K44" s="829"/>
      <c r="L44" s="812"/>
      <c r="M44" s="812"/>
      <c r="N44" s="812"/>
      <c r="O44" s="812"/>
      <c r="P44" s="813"/>
      <c r="Q44" s="814"/>
      <c r="R44" s="814"/>
      <c r="S44" s="814"/>
      <c r="T44" s="814"/>
      <c r="U44" s="814"/>
      <c r="V44" s="814"/>
      <c r="W44" s="814"/>
      <c r="X44" s="814"/>
      <c r="Y44" s="814"/>
      <c r="Z44" s="814"/>
      <c r="AA44" s="814"/>
      <c r="AB44" s="814"/>
      <c r="AC44" s="814"/>
      <c r="AD44" s="814"/>
      <c r="AE44" s="814"/>
      <c r="AF44" s="814"/>
      <c r="AG44" s="814"/>
      <c r="AH44" s="814"/>
      <c r="AI44" s="814"/>
      <c r="AJ44" s="814"/>
      <c r="AK44" s="814"/>
      <c r="AL44" s="814"/>
      <c r="AM44" s="814"/>
      <c r="AN44" s="814"/>
      <c r="AO44" s="814"/>
      <c r="AP44" s="814"/>
      <c r="AQ44" s="814"/>
      <c r="AR44" s="814"/>
      <c r="AS44" s="814"/>
      <c r="AT44" s="814"/>
      <c r="AU44" s="814"/>
      <c r="AV44" s="814"/>
      <c r="AW44" s="814"/>
      <c r="AX44" s="814"/>
      <c r="AY44" s="814"/>
      <c r="AZ44" s="814"/>
      <c r="BA44" s="814"/>
      <c r="BB44" s="814"/>
      <c r="BC44" s="814"/>
      <c r="BD44" s="814"/>
      <c r="BE44" s="814"/>
      <c r="BF44" s="814"/>
      <c r="BG44" s="814"/>
      <c r="BH44" s="815"/>
      <c r="BI44" s="815"/>
      <c r="BJ44" s="815"/>
      <c r="BK44" s="815"/>
      <c r="BL44" s="815"/>
      <c r="BM44" s="815"/>
      <c r="BN44" s="815"/>
      <c r="BO44" s="815"/>
      <c r="BP44" s="815"/>
      <c r="BQ44" s="815"/>
      <c r="BR44" s="815"/>
      <c r="BS44" s="815"/>
      <c r="BT44" s="815"/>
      <c r="BU44" s="815"/>
      <c r="BV44" s="815"/>
      <c r="BW44" s="815"/>
      <c r="BX44" s="815"/>
      <c r="BY44" s="815"/>
      <c r="BZ44" s="815"/>
      <c r="CA44" s="815"/>
      <c r="CB44" s="815"/>
      <c r="CC44" s="815"/>
    </row>
    <row r="45" spans="1:81" s="857" customFormat="1" ht="18" customHeight="1" thickBot="1" x14ac:dyDescent="0.35">
      <c r="A45" s="909"/>
      <c r="B45" s="1114"/>
      <c r="C45" s="1114"/>
      <c r="D45" s="1115"/>
      <c r="E45" s="868">
        <v>2024</v>
      </c>
      <c r="F45" s="903" t="s">
        <v>852</v>
      </c>
      <c r="G45" s="917"/>
      <c r="H45" s="904"/>
      <c r="I45" s="905"/>
      <c r="J45" s="906"/>
      <c r="K45" s="829"/>
      <c r="L45" s="812"/>
      <c r="M45" s="812"/>
      <c r="N45" s="812"/>
      <c r="O45" s="812"/>
      <c r="P45" s="813"/>
      <c r="Q45" s="814"/>
      <c r="R45" s="814"/>
      <c r="S45" s="814"/>
      <c r="T45" s="814"/>
      <c r="U45" s="814"/>
      <c r="V45" s="814"/>
      <c r="W45" s="814"/>
      <c r="X45" s="814"/>
      <c r="Y45" s="814"/>
      <c r="Z45" s="814"/>
      <c r="AA45" s="814"/>
      <c r="AB45" s="814"/>
      <c r="AC45" s="814"/>
      <c r="AD45" s="814"/>
      <c r="AE45" s="814"/>
      <c r="AF45" s="814"/>
      <c r="AG45" s="814"/>
      <c r="AH45" s="814"/>
      <c r="AI45" s="814"/>
      <c r="AJ45" s="814"/>
      <c r="AK45" s="814"/>
      <c r="AL45" s="814"/>
      <c r="AM45" s="814"/>
      <c r="AN45" s="814"/>
      <c r="AO45" s="814"/>
      <c r="AP45" s="814"/>
      <c r="AQ45" s="814"/>
      <c r="AR45" s="814"/>
      <c r="AS45" s="814"/>
      <c r="AT45" s="814"/>
      <c r="AU45" s="814"/>
      <c r="AV45" s="814"/>
      <c r="AW45" s="814"/>
      <c r="AX45" s="814"/>
      <c r="AY45" s="814"/>
      <c r="AZ45" s="814"/>
      <c r="BA45" s="814"/>
      <c r="BB45" s="814"/>
      <c r="BC45" s="814"/>
      <c r="BD45" s="814"/>
      <c r="BE45" s="814"/>
      <c r="BF45" s="814"/>
      <c r="BG45" s="814"/>
      <c r="BH45" s="815"/>
      <c r="BI45" s="815"/>
      <c r="BJ45" s="815"/>
      <c r="BK45" s="815"/>
      <c r="BL45" s="815"/>
      <c r="BM45" s="815"/>
      <c r="BN45" s="815"/>
      <c r="BO45" s="815"/>
      <c r="BP45" s="815"/>
      <c r="BQ45" s="815"/>
      <c r="BR45" s="815"/>
      <c r="BS45" s="815"/>
      <c r="BT45" s="815"/>
      <c r="BU45" s="815"/>
      <c r="BV45" s="815"/>
      <c r="BW45" s="815"/>
      <c r="BX45" s="815"/>
      <c r="BY45" s="815"/>
      <c r="BZ45" s="815"/>
      <c r="CA45" s="815"/>
      <c r="CB45" s="815"/>
      <c r="CC45" s="815"/>
    </row>
    <row r="46" spans="1:81" s="857" customFormat="1" ht="99.75" customHeight="1" thickBot="1" x14ac:dyDescent="0.35">
      <c r="A46" s="832">
        <v>21</v>
      </c>
      <c r="B46" s="1109" t="s">
        <v>1943</v>
      </c>
      <c r="C46" s="1110"/>
      <c r="D46" s="1110"/>
      <c r="E46" s="928" t="str">
        <f>IF(Import!L225&gt;0,"Yes","No")</f>
        <v>No</v>
      </c>
      <c r="F46" s="915"/>
      <c r="G46" s="877" t="str">
        <f>E46</f>
        <v>No</v>
      </c>
      <c r="H46" s="990" t="s">
        <v>1871</v>
      </c>
      <c r="I46" s="892" t="s">
        <v>1485</v>
      </c>
      <c r="J46" s="809"/>
      <c r="K46" s="829"/>
      <c r="L46" s="812"/>
      <c r="M46" s="920"/>
      <c r="N46" s="812"/>
      <c r="O46" s="812"/>
      <c r="P46" s="813"/>
      <c r="Q46" s="814"/>
      <c r="R46" s="814"/>
      <c r="S46" s="814"/>
      <c r="T46" s="814"/>
      <c r="U46" s="814"/>
      <c r="V46" s="814"/>
      <c r="W46" s="814"/>
      <c r="X46" s="814"/>
      <c r="Y46" s="814"/>
      <c r="Z46" s="814"/>
      <c r="AA46" s="814"/>
      <c r="AB46" s="814"/>
      <c r="AC46" s="814"/>
      <c r="AD46" s="814"/>
      <c r="AE46" s="814"/>
      <c r="AF46" s="814"/>
      <c r="AG46" s="814"/>
      <c r="AH46" s="814"/>
      <c r="AI46" s="814"/>
      <c r="AJ46" s="814"/>
      <c r="AK46" s="814"/>
      <c r="AL46" s="814"/>
      <c r="AM46" s="814"/>
      <c r="AN46" s="814"/>
      <c r="AO46" s="814"/>
      <c r="AP46" s="814"/>
      <c r="AQ46" s="814"/>
      <c r="AR46" s="814"/>
      <c r="AS46" s="814"/>
      <c r="AT46" s="814"/>
      <c r="AU46" s="814"/>
      <c r="AV46" s="814"/>
      <c r="AW46" s="814"/>
      <c r="AX46" s="814"/>
      <c r="AY46" s="814"/>
      <c r="AZ46" s="814"/>
      <c r="BA46" s="814"/>
      <c r="BB46" s="814"/>
      <c r="BC46" s="814"/>
      <c r="BD46" s="814"/>
      <c r="BE46" s="814"/>
      <c r="BF46" s="814"/>
      <c r="BG46" s="814"/>
      <c r="BH46" s="815"/>
      <c r="BI46" s="815"/>
      <c r="BJ46" s="815"/>
      <c r="BK46" s="815"/>
      <c r="BL46" s="815"/>
      <c r="BM46" s="815"/>
      <c r="BN46" s="815"/>
      <c r="BO46" s="815"/>
      <c r="BP46" s="815"/>
      <c r="BQ46" s="815"/>
      <c r="BR46" s="815"/>
      <c r="BS46" s="815"/>
      <c r="BT46" s="815"/>
      <c r="BU46" s="815"/>
      <c r="BV46" s="815"/>
      <c r="BW46" s="815"/>
      <c r="BX46" s="815"/>
      <c r="BY46" s="815"/>
      <c r="BZ46" s="815"/>
      <c r="CA46" s="815"/>
      <c r="CB46" s="815"/>
      <c r="CC46" s="815"/>
    </row>
    <row r="47" spans="1:81" s="925" customFormat="1" x14ac:dyDescent="0.3">
      <c r="A47" s="921"/>
      <c r="B47" s="922"/>
      <c r="C47" s="922"/>
      <c r="D47" s="922"/>
      <c r="E47" s="922"/>
      <c r="F47" s="922"/>
      <c r="G47" s="922"/>
      <c r="H47" s="922"/>
      <c r="I47" s="923"/>
      <c r="J47" s="923"/>
      <c r="K47" s="924"/>
      <c r="L47" s="812"/>
      <c r="M47" s="812"/>
      <c r="N47" s="812"/>
      <c r="O47" s="812"/>
      <c r="P47" s="813"/>
      <c r="Q47" s="814"/>
      <c r="R47" s="814"/>
      <c r="S47" s="814"/>
      <c r="T47" s="814"/>
      <c r="U47" s="814"/>
      <c r="V47" s="814"/>
      <c r="W47" s="814"/>
      <c r="X47" s="814"/>
      <c r="Y47" s="814"/>
      <c r="Z47" s="814"/>
      <c r="AA47" s="814"/>
      <c r="AB47" s="814"/>
      <c r="AC47" s="814"/>
      <c r="AD47" s="814"/>
      <c r="AE47" s="814"/>
      <c r="AF47" s="814"/>
      <c r="AG47" s="814"/>
      <c r="AH47" s="814"/>
      <c r="AI47" s="814"/>
      <c r="AJ47" s="814"/>
      <c r="AK47" s="814"/>
      <c r="AL47" s="814"/>
      <c r="AM47" s="814"/>
      <c r="AN47" s="814"/>
      <c r="AO47" s="814"/>
      <c r="AP47" s="814"/>
      <c r="AQ47" s="814"/>
      <c r="AR47" s="814"/>
      <c r="AS47" s="814"/>
      <c r="AT47" s="814"/>
      <c r="AU47" s="814"/>
      <c r="AV47" s="814"/>
      <c r="AW47" s="814"/>
      <c r="AX47" s="814"/>
      <c r="AY47" s="814"/>
      <c r="AZ47" s="814"/>
      <c r="BA47" s="814"/>
      <c r="BB47" s="814"/>
      <c r="BC47" s="814"/>
      <c r="BD47" s="814"/>
      <c r="BE47" s="814"/>
      <c r="BF47" s="814"/>
      <c r="BG47" s="814"/>
      <c r="BH47" s="815"/>
      <c r="BI47" s="815"/>
      <c r="BJ47" s="815"/>
      <c r="BK47" s="815"/>
      <c r="BL47" s="815"/>
      <c r="BM47" s="815"/>
      <c r="BN47" s="815"/>
      <c r="BO47" s="815"/>
      <c r="BP47" s="815"/>
      <c r="BQ47" s="815"/>
      <c r="BR47" s="815"/>
      <c r="BS47" s="815"/>
      <c r="BT47" s="815"/>
      <c r="BU47" s="815"/>
      <c r="BV47" s="815"/>
      <c r="BW47" s="815"/>
      <c r="BX47" s="815"/>
      <c r="BY47" s="815"/>
      <c r="BZ47" s="815"/>
      <c r="CA47" s="815"/>
      <c r="CB47" s="815"/>
      <c r="CC47" s="815"/>
    </row>
  </sheetData>
  <sheetProtection algorithmName="SHA-512" hashValue="2eUu9VSKktPaRhDFuWHLZdjoN3scv1NZeMj9I9GvFFDMHDCe6z5iKvkwffIZsou7aYrLOYgtSOIK79AJKxJMlA==" saltValue="aCJalEIcVP765HbW0Qk66g==" spinCount="100000" sheet="1" objects="1" scenarios="1"/>
  <mergeCells count="40">
    <mergeCell ref="B15:E15"/>
    <mergeCell ref="B14:E14"/>
    <mergeCell ref="B34:D34"/>
    <mergeCell ref="B33:D33"/>
    <mergeCell ref="B20:D20"/>
    <mergeCell ref="B24:E24"/>
    <mergeCell ref="B25:E25"/>
    <mergeCell ref="B29:D29"/>
    <mergeCell ref="B30:D30"/>
    <mergeCell ref="B8:G9"/>
    <mergeCell ref="B10:E10"/>
    <mergeCell ref="B12:E12"/>
    <mergeCell ref="I1:J1"/>
    <mergeCell ref="B1:H1"/>
    <mergeCell ref="B2:H2"/>
    <mergeCell ref="C4:E4"/>
    <mergeCell ref="F4:G5"/>
    <mergeCell ref="H4:H5"/>
    <mergeCell ref="C5:E5"/>
    <mergeCell ref="I2:I7"/>
    <mergeCell ref="J2:J7"/>
    <mergeCell ref="B6:H7"/>
    <mergeCell ref="J8:J9"/>
    <mergeCell ref="H8:H9"/>
    <mergeCell ref="B38:D38"/>
    <mergeCell ref="B11:E11"/>
    <mergeCell ref="B13:E13"/>
    <mergeCell ref="B46:D46"/>
    <mergeCell ref="B43:D43"/>
    <mergeCell ref="B44:D44"/>
    <mergeCell ref="B45:D45"/>
    <mergeCell ref="B39:D39"/>
    <mergeCell ref="B40:D40"/>
    <mergeCell ref="B41:D41"/>
    <mergeCell ref="B42:D42"/>
    <mergeCell ref="B37:D37"/>
    <mergeCell ref="B31:D31"/>
    <mergeCell ref="B32:D32"/>
    <mergeCell ref="B35:D35"/>
    <mergeCell ref="B36:D36"/>
  </mergeCells>
  <conditionalFormatting sqref="G16">
    <cfRule type="cellIs" dxfId="79" priority="72" operator="lessThan">
      <formula>1</formula>
    </cfRule>
  </conditionalFormatting>
  <conditionalFormatting sqref="G18">
    <cfRule type="cellIs" dxfId="78" priority="71" operator="lessThan">
      <formula>0</formula>
    </cfRule>
  </conditionalFormatting>
  <conditionalFormatting sqref="G19:G20">
    <cfRule type="cellIs" dxfId="77" priority="70" operator="lessThan">
      <formula>0.16</formula>
    </cfRule>
  </conditionalFormatting>
  <conditionalFormatting sqref="G25">
    <cfRule type="cellIs" dxfId="76" priority="69" operator="lessThan">
      <formula>1</formula>
    </cfRule>
  </conditionalFormatting>
  <conditionalFormatting sqref="G27">
    <cfRule type="cellIs" dxfId="75" priority="68" operator="lessThan">
      <formula>0</formula>
    </cfRule>
  </conditionalFormatting>
  <conditionalFormatting sqref="G28">
    <cfRule type="cellIs" dxfId="74" priority="67" operator="lessThan">
      <formula>0.16</formula>
    </cfRule>
  </conditionalFormatting>
  <conditionalFormatting sqref="G30">
    <cfRule type="cellIs" dxfId="73" priority="66" operator="equal">
      <formula>"Late"</formula>
    </cfRule>
  </conditionalFormatting>
  <conditionalFormatting sqref="G32">
    <cfRule type="cellIs" dxfId="72" priority="65" operator="lessThan">
      <formula>-0.03</formula>
    </cfRule>
  </conditionalFormatting>
  <conditionalFormatting sqref="G38">
    <cfRule type="cellIs" dxfId="71" priority="63" operator="equal">
      <formula>"Yes"</formula>
    </cfRule>
  </conditionalFormatting>
  <conditionalFormatting sqref="G42">
    <cfRule type="cellIs" dxfId="70" priority="62" operator="equal">
      <formula>"Yes"</formula>
    </cfRule>
  </conditionalFormatting>
  <conditionalFormatting sqref="G36">
    <cfRule type="cellIs" dxfId="69" priority="61" operator="equal">
      <formula>"Yes"</formula>
    </cfRule>
  </conditionalFormatting>
  <conditionalFormatting sqref="G45">
    <cfRule type="cellIs" dxfId="68" priority="60" operator="equal">
      <formula>"Yes"</formula>
    </cfRule>
  </conditionalFormatting>
  <conditionalFormatting sqref="G44">
    <cfRule type="cellIs" dxfId="67" priority="59" operator="equal">
      <formula>"Yes"</formula>
    </cfRule>
  </conditionalFormatting>
  <conditionalFormatting sqref="G34">
    <cfRule type="cellIs" dxfId="66" priority="56" operator="equal">
      <formula>"Decrease"</formula>
    </cfRule>
  </conditionalFormatting>
  <conditionalFormatting sqref="G20">
    <cfRule type="cellIs" dxfId="65" priority="4" operator="equal">
      <formula>$E$21="Yes"</formula>
    </cfRule>
    <cfRule type="expression" dxfId="64" priority="51">
      <formula>E20="Yes"</formula>
    </cfRule>
  </conditionalFormatting>
  <conditionalFormatting sqref="E36 G36">
    <cfRule type="containsText" dxfId="63" priority="50" operator="containsText" text="This question must be answered">
      <formula>NOT(ISERROR(SEARCH("This question must be answered",E36)))</formula>
    </cfRule>
  </conditionalFormatting>
  <conditionalFormatting sqref="E34 G34">
    <cfRule type="containsText" dxfId="62" priority="49" operator="containsText" text="This question must be answered">
      <formula>NOT(ISERROR(SEARCH("This question must be answered",E34)))</formula>
    </cfRule>
  </conditionalFormatting>
  <conditionalFormatting sqref="E32 G32">
    <cfRule type="containsText" dxfId="61" priority="48" operator="containsText" text="This question must be answered">
      <formula>NOT(ISERROR(SEARCH("This question must be answered",E32)))</formula>
    </cfRule>
  </conditionalFormatting>
  <conditionalFormatting sqref="E30 G30">
    <cfRule type="containsText" dxfId="60" priority="47" operator="containsText" text="This question must be answered">
      <formula>NOT(ISERROR(SEARCH("This question must be answered",E30)))</formula>
    </cfRule>
  </conditionalFormatting>
  <conditionalFormatting sqref="E42 G42">
    <cfRule type="containsText" dxfId="59" priority="45" operator="containsText" text="This question must be answered">
      <formula>NOT(ISERROR(SEARCH("This question must be answered",E42)))</formula>
    </cfRule>
  </conditionalFormatting>
  <conditionalFormatting sqref="G46">
    <cfRule type="cellIs" dxfId="58" priority="43" operator="equal">
      <formula>"Yes"</formula>
    </cfRule>
  </conditionalFormatting>
  <conditionalFormatting sqref="G46">
    <cfRule type="containsText" dxfId="57" priority="42" operator="containsText" text="This question must be answered">
      <formula>NOT(ISERROR(SEARCH("This question must be answered",G46)))</formula>
    </cfRule>
  </conditionalFormatting>
  <conditionalFormatting sqref="G13">
    <cfRule type="containsText" dxfId="56" priority="41" operator="containsText" text="Operations">
      <formula>NOT(ISERROR(SEARCH("Operations",G13)))</formula>
    </cfRule>
  </conditionalFormatting>
  <conditionalFormatting sqref="G14">
    <cfRule type="cellIs" dxfId="55" priority="40" operator="lessThan">
      <formula>0</formula>
    </cfRule>
  </conditionalFormatting>
  <conditionalFormatting sqref="E39:E40">
    <cfRule type="containsText" dxfId="54" priority="39" operator="containsText" text="This question must be answered">
      <formula>NOT(ISERROR(SEARCH("This question must be answered",E39)))</formula>
    </cfRule>
  </conditionalFormatting>
  <conditionalFormatting sqref="G39:G40">
    <cfRule type="containsText" dxfId="53" priority="37" operator="containsText" text="No">
      <formula>NOT(ISERROR(SEARCH("No",G39)))</formula>
    </cfRule>
    <cfRule type="containsText" dxfId="52" priority="38" operator="containsText" text="This question must be answered">
      <formula>NOT(ISERROR(SEARCH("This question must be answered",G39)))</formula>
    </cfRule>
  </conditionalFormatting>
  <conditionalFormatting sqref="G11">
    <cfRule type="expression" dxfId="51" priority="28">
      <formula>$O$11=1</formula>
    </cfRule>
  </conditionalFormatting>
  <conditionalFormatting sqref="I9">
    <cfRule type="expression" dxfId="50" priority="135">
      <formula>IF($L$9&lt;0.25,)</formula>
    </cfRule>
  </conditionalFormatting>
  <conditionalFormatting sqref="C18">
    <cfRule type="cellIs" dxfId="49" priority="24" operator="equal">
      <formula>"Prior year data not submitted as of workbook published date."</formula>
    </cfRule>
  </conditionalFormatting>
  <conditionalFormatting sqref="D18">
    <cfRule type="cellIs" dxfId="48" priority="23" operator="equal">
      <formula>"Prior year data not submitted as of workbook published date."</formula>
    </cfRule>
  </conditionalFormatting>
  <conditionalFormatting sqref="L19:L21">
    <cfRule type="cellIs" dxfId="47" priority="22" operator="equal">
      <formula>"Priod year data not submitted as of workbook published date."</formula>
    </cfRule>
  </conditionalFormatting>
  <conditionalFormatting sqref="D19:D28">
    <cfRule type="cellIs" dxfId="46" priority="18" operator="equal">
      <formula>"Prior year data not submitted as of workbook published date."</formula>
    </cfRule>
  </conditionalFormatting>
  <conditionalFormatting sqref="C19:C28">
    <cfRule type="cellIs" dxfId="45" priority="17" operator="equal">
      <formula>"Prior year data not submitted as of workbook published date."</formula>
    </cfRule>
  </conditionalFormatting>
  <conditionalFormatting sqref="C27">
    <cfRule type="cellIs" dxfId="44" priority="16" operator="equal">
      <formula>"Prior year data not submitted as of workbook published date."</formula>
    </cfRule>
  </conditionalFormatting>
  <conditionalFormatting sqref="D27">
    <cfRule type="cellIs" dxfId="43" priority="15" operator="equal">
      <formula>"Prior year data not submitted as of workbook published date."</formula>
    </cfRule>
  </conditionalFormatting>
  <conditionalFormatting sqref="D28">
    <cfRule type="cellIs" dxfId="42" priority="11" operator="equal">
      <formula>"Prior year data not submitted as of  workbook published date."</formula>
    </cfRule>
  </conditionalFormatting>
  <conditionalFormatting sqref="C28">
    <cfRule type="cellIs" dxfId="41" priority="9" operator="equal">
      <formula>"Prior year data not submitted as of workbook published date."</formula>
    </cfRule>
  </conditionalFormatting>
  <conditionalFormatting sqref="F21">
    <cfRule type="expression" dxfId="40" priority="8">
      <formula>D21="Yes"</formula>
    </cfRule>
  </conditionalFormatting>
  <conditionalFormatting sqref="D21">
    <cfRule type="cellIs" dxfId="39" priority="7" operator="equal">
      <formula>"Prior year data not submitted as of workbook published date."</formula>
    </cfRule>
  </conditionalFormatting>
  <conditionalFormatting sqref="C21">
    <cfRule type="cellIs" dxfId="38" priority="6" operator="equal">
      <formula>"Prior year data not submitted as of workbook published date."</formula>
    </cfRule>
  </conditionalFormatting>
  <conditionalFormatting sqref="G21">
    <cfRule type="cellIs" dxfId="37" priority="2" operator="lessThan">
      <formula>0.5</formula>
    </cfRule>
  </conditionalFormatting>
  <conditionalFormatting sqref="M19">
    <cfRule type="cellIs" dxfId="36" priority="1" operator="equal">
      <formula>"Priod year data not submitted as of workbook published date."</formula>
    </cfRule>
  </conditionalFormatting>
  <pageMargins left="0.25" right="0.25" top="0.05" bottom="0.25" header="0.3" footer="0.25"/>
  <pageSetup scale="57" fitToHeight="0" orientation="landscape" r:id="rId1"/>
  <headerFooter>
    <oddFooter>&amp;C&amp;12&amp;P</oddFooter>
  </headerFooter>
  <rowBreaks count="5" manualBreakCount="5">
    <brk id="11" max="7" man="1"/>
    <brk id="14" max="7" man="1"/>
    <brk id="23" max="7" man="1"/>
    <brk id="28" max="7" man="1"/>
    <brk id="40" max="7" man="1"/>
  </rowBreaks>
  <drawing r:id="rId2"/>
  <legacyDrawing r:id="rId3"/>
  <oleObjects>
    <mc:AlternateContent xmlns:mc="http://schemas.openxmlformats.org/markup-compatibility/2006">
      <mc:Choice Requires="x14">
        <oleObject progId="Excel.Sheet.12" shapeId="48129" r:id="rId4">
          <objectPr defaultSize="0" autoPict="0" r:id="rId5">
            <anchor moveWithCells="1">
              <from>
                <xdr:col>1</xdr:col>
                <xdr:colOff>251460</xdr:colOff>
                <xdr:row>7</xdr:row>
                <xdr:rowOff>83820</xdr:rowOff>
              </from>
              <to>
                <xdr:col>6</xdr:col>
                <xdr:colOff>1066800</xdr:colOff>
                <xdr:row>8</xdr:row>
                <xdr:rowOff>1524000</xdr:rowOff>
              </to>
            </anchor>
          </objectPr>
        </oleObject>
      </mc:Choice>
      <mc:Fallback>
        <oleObject progId="Excel.Sheet.12" shapeId="4812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B714"/>
  <sheetViews>
    <sheetView zoomScale="93" zoomScaleNormal="93" workbookViewId="0">
      <pane xSplit="3" ySplit="3" topLeftCell="D8"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88671875" style="3" customWidth="1"/>
    <col min="2" max="2" width="17.5546875" style="46" bestFit="1" customWidth="1"/>
    <col min="3" max="3" width="42.5546875" style="362" customWidth="1"/>
    <col min="4" max="4" width="20.88671875" style="3" bestFit="1" customWidth="1"/>
    <col min="5" max="5" width="17.5546875" style="3" customWidth="1"/>
    <col min="6" max="6" width="22.6640625" style="3" customWidth="1"/>
    <col min="7" max="7" width="17.44140625" style="275" customWidth="1"/>
    <col min="8" max="8" width="9.6640625" style="3" customWidth="1"/>
    <col min="9" max="9" width="1" style="307" customWidth="1"/>
    <col min="10" max="10" width="18.109375" style="5" customWidth="1"/>
    <col min="11" max="11" width="36.88671875" style="9" customWidth="1"/>
    <col min="12" max="12" width="26.33203125" style="369" customWidth="1"/>
    <col min="13" max="13" width="8.44140625" customWidth="1"/>
    <col min="14" max="14" width="18.109375" style="3" customWidth="1"/>
    <col min="15" max="15" width="17.88671875" style="3" customWidth="1"/>
    <col min="16" max="16" width="9.109375" style="187" customWidth="1"/>
    <col min="17" max="17" width="10.33203125" style="277" customWidth="1"/>
    <col min="18" max="18" width="7.109375" style="3" customWidth="1"/>
    <col min="19" max="19" width="6" style="3" customWidth="1"/>
    <col min="20" max="20" width="6.6640625" style="3" customWidth="1"/>
    <col min="21" max="21" width="7.5546875" style="3" customWidth="1"/>
    <col min="22" max="22" width="3.44140625" style="3" customWidth="1"/>
    <col min="23" max="23" width="7.33203125" style="3" customWidth="1"/>
    <col min="24" max="24" width="10.5546875" style="3" customWidth="1"/>
    <col min="25" max="25" width="9.88671875" style="3" customWidth="1"/>
    <col min="26" max="26" width="9.109375" style="3" customWidth="1"/>
    <col min="27" max="16384" width="9.109375" style="3"/>
  </cols>
  <sheetData>
    <row r="1" spans="1:28" ht="36" x14ac:dyDescent="0.3">
      <c r="C1" s="43" t="s">
        <v>412</v>
      </c>
      <c r="D1" s="13">
        <f>L51-(L38+L39-L43-L44-L199)-L47</f>
        <v>0</v>
      </c>
      <c r="I1" s="276"/>
      <c r="J1" s="42"/>
      <c r="K1" s="14" t="s">
        <v>46</v>
      </c>
      <c r="L1" s="56"/>
      <c r="S1" s="3">
        <v>100</v>
      </c>
      <c r="T1" s="3">
        <v>1</v>
      </c>
    </row>
    <row r="2" spans="1:28" ht="44.4" x14ac:dyDescent="0.4">
      <c r="C2" s="67" t="str">
        <f>'Unit Data from Audit Worksheet'!D2</f>
        <v>Select Unit Name from Drop Down List</v>
      </c>
      <c r="D2" s="135">
        <v>2024</v>
      </c>
      <c r="E2" s="135">
        <v>2024</v>
      </c>
      <c r="F2" s="12"/>
      <c r="G2" s="63"/>
      <c r="H2" s="12"/>
      <c r="I2" s="276"/>
      <c r="J2" s="37" t="s">
        <v>42</v>
      </c>
      <c r="K2" s="8" t="s">
        <v>41</v>
      </c>
      <c r="L2" s="61" t="s">
        <v>30</v>
      </c>
      <c r="S2" s="3">
        <v>200</v>
      </c>
      <c r="T2" s="3">
        <v>2</v>
      </c>
      <c r="X2" s="309" t="s">
        <v>876</v>
      </c>
      <c r="Y2" s="309" t="s">
        <v>875</v>
      </c>
    </row>
    <row r="3" spans="1:28" ht="31.2" x14ac:dyDescent="0.3">
      <c r="A3" s="278" t="s">
        <v>42</v>
      </c>
      <c r="B3" s="279"/>
      <c r="C3" s="40" t="s">
        <v>1</v>
      </c>
      <c r="D3" s="15" t="s">
        <v>43</v>
      </c>
      <c r="E3" s="15" t="s">
        <v>44</v>
      </c>
      <c r="F3" s="16" t="s">
        <v>48</v>
      </c>
      <c r="G3" s="68" t="s">
        <v>310</v>
      </c>
      <c r="H3" s="16" t="s">
        <v>345</v>
      </c>
      <c r="I3" s="276"/>
      <c r="J3" s="280"/>
      <c r="K3" s="136"/>
      <c r="L3" s="281"/>
      <c r="O3" s="3" t="s">
        <v>281</v>
      </c>
      <c r="Q3" s="79" t="s">
        <v>311</v>
      </c>
      <c r="S3" s="3">
        <v>300</v>
      </c>
      <c r="T3" s="3">
        <v>3</v>
      </c>
      <c r="Y3" s="3" t="s">
        <v>650</v>
      </c>
    </row>
    <row r="4" spans="1:28" ht="25.95" customHeight="1" x14ac:dyDescent="0.35">
      <c r="A4" s="282"/>
      <c r="B4" s="283"/>
      <c r="C4" s="44"/>
      <c r="D4" s="7"/>
      <c r="E4" s="7"/>
      <c r="F4" s="7"/>
      <c r="G4" s="64"/>
      <c r="H4" s="7"/>
      <c r="I4" s="276"/>
      <c r="J4" s="39">
        <v>999</v>
      </c>
      <c r="K4" s="11" t="s">
        <v>278</v>
      </c>
      <c r="L4" s="717" t="e">
        <f>'Unit Data from Audit Worksheet'!D3</f>
        <v>#N/A</v>
      </c>
      <c r="S4" s="3">
        <v>400</v>
      </c>
      <c r="T4" s="3">
        <v>4</v>
      </c>
      <c r="X4" s="284"/>
      <c r="Y4" s="284"/>
    </row>
    <row r="5" spans="1:28" ht="57" customHeight="1" x14ac:dyDescent="0.3">
      <c r="A5" s="285">
        <f>'Unit Data from Audit Worksheet'!A9</f>
        <v>333</v>
      </c>
      <c r="B5" s="48" t="str">
        <f>'Unit Data from Audit Worksheet'!C9</f>
        <v>Net Position-Governmental Activities</v>
      </c>
      <c r="C5" s="286" t="str">
        <f>'Unit Data from Audit Worksheet'!D9</f>
        <v xml:space="preserve"> All unrestricted Cash and investments.  
Exclude: restricted cash 
                   cash held by a third party. </v>
      </c>
      <c r="D5" s="134"/>
      <c r="E5" s="142">
        <f>'Unit Data from Audit Worksheet'!F9</f>
        <v>0</v>
      </c>
      <c r="F5" s="222">
        <f>IF(L5&lt;0,"Error: Number is normally positive.",)</f>
        <v>0</v>
      </c>
      <c r="G5" s="65"/>
      <c r="H5" s="221"/>
      <c r="I5" s="32"/>
      <c r="J5" s="36">
        <v>333</v>
      </c>
      <c r="K5" s="45" t="s">
        <v>176</v>
      </c>
      <c r="L5" s="287">
        <f>IF(D5="",E5,D5)</f>
        <v>0</v>
      </c>
      <c r="P5" s="193"/>
      <c r="X5" s="549">
        <v>333</v>
      </c>
      <c r="Y5" s="284">
        <v>333</v>
      </c>
      <c r="AA5" s="3">
        <f>A5-J5</f>
        <v>0</v>
      </c>
      <c r="AB5" s="284">
        <f>E5-L5</f>
        <v>0</v>
      </c>
    </row>
    <row r="6" spans="1:28" ht="39.75" customHeight="1" x14ac:dyDescent="0.3">
      <c r="A6" s="210">
        <f>'Unit Data from Audit Worksheet'!A10</f>
        <v>500</v>
      </c>
      <c r="B6" s="223" t="str">
        <f>'Unit Data from Audit Worksheet'!C10</f>
        <v>Net Position-Governmental Activities</v>
      </c>
      <c r="C6" s="209" t="str">
        <f>'Unit Data from Audit Worksheet'!D10</f>
        <v xml:space="preserve"> All restricted Cash and investments</v>
      </c>
      <c r="D6" s="134"/>
      <c r="E6" s="229">
        <f>'Unit Data from Audit Worksheet'!F10</f>
        <v>0</v>
      </c>
      <c r="F6" s="222">
        <f>IF(L6&lt;0,"Error: Number is normally positive.",)</f>
        <v>0</v>
      </c>
      <c r="G6" s="224"/>
      <c r="H6" s="221"/>
      <c r="I6" s="32"/>
      <c r="J6" s="220">
        <v>500</v>
      </c>
      <c r="K6" s="219" t="s">
        <v>175</v>
      </c>
      <c r="L6" s="287">
        <f>IF(D6="",E6,D6)</f>
        <v>0</v>
      </c>
      <c r="P6" s="194"/>
      <c r="X6" s="549">
        <v>500</v>
      </c>
      <c r="Y6" s="284">
        <v>500</v>
      </c>
      <c r="AA6" s="384">
        <f t="shared" ref="AA6:AA71" si="0">A6-J6</f>
        <v>0</v>
      </c>
      <c r="AB6" s="284">
        <f t="shared" ref="AB6:AB71" si="1">E6-L6</f>
        <v>0</v>
      </c>
    </row>
    <row r="7" spans="1:28" ht="43.5" customHeight="1" x14ac:dyDescent="0.3">
      <c r="A7" s="210">
        <f>'Unit Data from Audit Worksheet'!A11</f>
        <v>385</v>
      </c>
      <c r="B7" s="223" t="str">
        <f>'Unit Data from Audit Worksheet'!C11</f>
        <v>Net Position-Governmental Activities</v>
      </c>
      <c r="C7" s="209" t="str">
        <f>'Unit Data from Audit Worksheet'!D11</f>
        <v>Total Assets and deferred outflows</v>
      </c>
      <c r="D7" s="134"/>
      <c r="E7" s="229">
        <f>'Unit Data from Audit Worksheet'!F11</f>
        <v>0</v>
      </c>
      <c r="F7" s="126">
        <f>IF((L5+L6)&gt;L7,"Error: Please review accts (333 + 500) &gt; 385",)</f>
        <v>0</v>
      </c>
      <c r="G7" s="224" t="str">
        <f>IF(Q7=1," Included in error count"," ")</f>
        <v xml:space="preserve"> </v>
      </c>
      <c r="H7" s="221"/>
      <c r="I7" s="32"/>
      <c r="J7" s="69">
        <v>385</v>
      </c>
      <c r="K7" s="70" t="s">
        <v>107</v>
      </c>
      <c r="L7" s="288">
        <f>IF(D7="",E7,D7)+IF(D9="",E9,D9)</f>
        <v>0</v>
      </c>
      <c r="N7" s="71" t="s">
        <v>297</v>
      </c>
      <c r="P7" s="194"/>
      <c r="X7" s="549">
        <v>385</v>
      </c>
      <c r="Y7" s="284">
        <v>385</v>
      </c>
      <c r="AA7" s="384">
        <f t="shared" si="0"/>
        <v>0</v>
      </c>
      <c r="AB7" s="284">
        <f t="shared" si="1"/>
        <v>0</v>
      </c>
    </row>
    <row r="8" spans="1:28" ht="90.75" customHeight="1" x14ac:dyDescent="0.3">
      <c r="A8" s="210">
        <f>'Unit Data from Audit Worksheet'!A12</f>
        <v>575</v>
      </c>
      <c r="B8" s="223" t="str">
        <f>'Unit Data from Audit Worksheet'!C12</f>
        <v>Net Position-Governmental Activities</v>
      </c>
      <c r="C8" s="209" t="str">
        <f>'Unit Data from Audit Worksheet'!D12</f>
        <v>Record any positive Internal balances on the net position statements that appear in the Asset Section of the Net Position Statement</v>
      </c>
      <c r="D8" s="134"/>
      <c r="E8" s="229">
        <f>'Unit Data from Audit Worksheet'!F12</f>
        <v>0</v>
      </c>
      <c r="F8" s="222">
        <f>IF(L8&lt;0,"Error: Number is normally positive.",)</f>
        <v>0</v>
      </c>
      <c r="G8" s="224"/>
      <c r="H8" s="221"/>
      <c r="I8" s="32"/>
      <c r="J8" s="220">
        <v>575</v>
      </c>
      <c r="K8" s="226" t="s">
        <v>300</v>
      </c>
      <c r="L8" s="287">
        <f>IF(D8="",E8,D8)</f>
        <v>0</v>
      </c>
      <c r="N8" s="57"/>
      <c r="P8" s="194"/>
      <c r="X8" s="549">
        <v>575</v>
      </c>
      <c r="Y8" s="284">
        <v>575</v>
      </c>
      <c r="AA8" s="384">
        <f t="shared" si="0"/>
        <v>0</v>
      </c>
      <c r="AB8" s="284">
        <f t="shared" si="1"/>
        <v>0</v>
      </c>
    </row>
    <row r="9" spans="1:28" ht="103.5" customHeight="1" x14ac:dyDescent="0.3">
      <c r="A9" s="210">
        <f>'Unit Data from Audit Worksheet'!A13</f>
        <v>576</v>
      </c>
      <c r="B9" s="223" t="str">
        <f>'Unit Data from Audit Worksheet'!C13</f>
        <v>Net Position-Governmental Activities</v>
      </c>
      <c r="C9" s="289" t="str">
        <f>'Unit Data from Audit Worksheet'!D13</f>
        <v>Record any negative Internal balances on the net position statements that appear in the Asset Section of the Net Position Statement.
Enter as a positive</v>
      </c>
      <c r="D9" s="102"/>
      <c r="E9" s="145">
        <f>'Unit Data from Audit Worksheet'!F13</f>
        <v>0</v>
      </c>
      <c r="F9" s="218">
        <f>IF(E9&lt;0,"Error: Enter as positive.",)</f>
        <v>0</v>
      </c>
      <c r="G9" s="104"/>
      <c r="H9" s="105"/>
      <c r="I9" s="32"/>
      <c r="J9" s="97">
        <v>576</v>
      </c>
      <c r="K9" s="226" t="s">
        <v>301</v>
      </c>
      <c r="L9" s="287">
        <f>IF(D9="",E9,D9)</f>
        <v>0</v>
      </c>
      <c r="N9" s="57"/>
      <c r="P9" s="195"/>
      <c r="X9" s="549">
        <v>576</v>
      </c>
      <c r="Y9" s="284">
        <v>576</v>
      </c>
      <c r="AA9" s="384">
        <f t="shared" si="0"/>
        <v>0</v>
      </c>
      <c r="AB9" s="284">
        <f t="shared" si="1"/>
        <v>0</v>
      </c>
    </row>
    <row r="10" spans="1:28" s="18" customFormat="1" ht="100.5" customHeight="1" x14ac:dyDescent="0.3">
      <c r="A10" s="210">
        <f>'Unit Data from Audit Worksheet'!A14</f>
        <v>626</v>
      </c>
      <c r="B10" s="215" t="str">
        <f>'Unit Data from Audit Worksheet'!C14</f>
        <v>Net Position-Governmental Activities</v>
      </c>
      <c r="C10" s="214" t="str">
        <f>'Unit Data from Audit Worksheet'!D14</f>
        <v xml:space="preserve">Total Current liabilities (as reported on Statement of Net Position)
Include:   Current liabilities including current portion of long-term debt.  Deferred inflows should not be included in Current Liabilities  </v>
      </c>
      <c r="D10" s="102"/>
      <c r="E10" s="661">
        <f>'Unit Data from Audit Worksheet'!F14</f>
        <v>0</v>
      </c>
      <c r="F10"/>
      <c r="G10"/>
      <c r="H10"/>
      <c r="I10" s="32"/>
      <c r="J10" s="640">
        <v>626</v>
      </c>
      <c r="K10" s="641" t="s">
        <v>370</v>
      </c>
      <c r="L10" s="642">
        <f>IF(D10="",E10,D10)+IF(D9="",E9,D9)</f>
        <v>0</v>
      </c>
      <c r="M10"/>
      <c r="N10" s="167" t="s">
        <v>297</v>
      </c>
      <c r="O10" s="290"/>
      <c r="P10" s="196"/>
      <c r="Q10" s="291"/>
      <c r="R10" s="3"/>
      <c r="X10" s="549">
        <v>626</v>
      </c>
      <c r="Y10" s="292">
        <v>626</v>
      </c>
      <c r="AA10" s="384">
        <f t="shared" si="0"/>
        <v>0</v>
      </c>
      <c r="AB10" s="284">
        <f t="shared" si="1"/>
        <v>0</v>
      </c>
    </row>
    <row r="11" spans="1:28" s="18" customFormat="1" ht="86.25" customHeight="1" x14ac:dyDescent="0.3">
      <c r="A11" s="210">
        <f>'Unit Data from Audit Worksheet'!A15</f>
        <v>627</v>
      </c>
      <c r="B11" s="215" t="str">
        <f>'Unit Data from Audit Worksheet'!C15</f>
        <v>Net Position-Governmental Activities</v>
      </c>
      <c r="C11" s="214" t="str">
        <f>'Unit Data from Audit Worksheet'!D15</f>
        <v>Please enter any bond anticipation notes that are classified as current liabilities and included in account 626 above (amounts entered should agree to the current amount included in the changes to long-term debt note)</v>
      </c>
      <c r="D11" s="102"/>
      <c r="E11" s="232">
        <f>'Unit Data from Audit Worksheet'!F15</f>
        <v>0</v>
      </c>
      <c r="F11" s="660"/>
      <c r="G11" s="659"/>
      <c r="H11" s="660"/>
      <c r="I11" s="32"/>
      <c r="J11" s="216">
        <v>627</v>
      </c>
      <c r="K11" s="191" t="s">
        <v>362</v>
      </c>
      <c r="L11" s="293">
        <f t="shared" ref="L11:L16" si="2">IF(D11="",E11,D11)</f>
        <v>0</v>
      </c>
      <c r="M11"/>
      <c r="N11" s="166"/>
      <c r="O11" s="290"/>
      <c r="P11" s="196"/>
      <c r="Q11" s="291"/>
      <c r="R11" s="3"/>
      <c r="X11" s="549">
        <v>627</v>
      </c>
      <c r="Y11" s="292">
        <v>627</v>
      </c>
      <c r="AA11" s="384">
        <f t="shared" si="0"/>
        <v>0</v>
      </c>
      <c r="AB11" s="284">
        <f t="shared" si="1"/>
        <v>0</v>
      </c>
    </row>
    <row r="12" spans="1:28" s="18" customFormat="1" ht="86.25" customHeight="1" x14ac:dyDescent="0.3">
      <c r="A12" s="210">
        <f>'Unit Data from Audit Worksheet'!A16</f>
        <v>628</v>
      </c>
      <c r="B12" s="215" t="str">
        <f>'Unit Data from Audit Worksheet'!C16</f>
        <v>Net Position-Governmental Activities</v>
      </c>
      <c r="C12" s="214" t="str">
        <f>'Unit Data from Audit Worksheet'!D16</f>
        <v>Please enter any compensated absences that are classified as current liabilities and included in account 626 above (amounts entered should agree to the current amount included in the changes to long-term debt note)</v>
      </c>
      <c r="D12" s="102"/>
      <c r="E12" s="232">
        <f>'Unit Data from Audit Worksheet'!F16</f>
        <v>0</v>
      </c>
      <c r="F12" s="217"/>
      <c r="G12" s="205"/>
      <c r="H12" s="217"/>
      <c r="I12" s="32"/>
      <c r="J12" s="216">
        <v>628</v>
      </c>
      <c r="K12" s="191" t="s">
        <v>367</v>
      </c>
      <c r="L12" s="293">
        <f t="shared" si="2"/>
        <v>0</v>
      </c>
      <c r="M12"/>
      <c r="N12" s="166"/>
      <c r="O12" s="290"/>
      <c r="P12" s="196"/>
      <c r="Q12" s="291"/>
      <c r="R12" s="3"/>
      <c r="X12" s="549">
        <v>628</v>
      </c>
      <c r="Y12" s="292">
        <v>628</v>
      </c>
      <c r="AA12" s="384">
        <f t="shared" si="0"/>
        <v>0</v>
      </c>
      <c r="AB12" s="284">
        <f t="shared" si="1"/>
        <v>0</v>
      </c>
    </row>
    <row r="13" spans="1:28" s="18" customFormat="1" ht="93" customHeight="1" x14ac:dyDescent="0.3">
      <c r="A13" s="210">
        <f>'Unit Data from Audit Worksheet'!A17</f>
        <v>629</v>
      </c>
      <c r="B13" s="215" t="str">
        <f>'Unit Data from Audit Worksheet'!C17</f>
        <v>Net Position-Governmental Activities</v>
      </c>
      <c r="C13" s="214" t="str">
        <f>'Unit Data from Audit Worksheet'!D17</f>
        <v>Please enter any pension liabilities that are classified as current liabilities and included in account 626 above (amounts entered should agree to the current amount included in the changes to long-term debt note)</v>
      </c>
      <c r="D13" s="102"/>
      <c r="E13" s="232">
        <f>'Unit Data from Audit Worksheet'!F17</f>
        <v>0</v>
      </c>
      <c r="F13" s="217"/>
      <c r="G13" s="205"/>
      <c r="H13" s="217"/>
      <c r="I13" s="32"/>
      <c r="J13" s="216">
        <v>629</v>
      </c>
      <c r="K13" s="191" t="s">
        <v>366</v>
      </c>
      <c r="L13" s="293">
        <f t="shared" si="2"/>
        <v>0</v>
      </c>
      <c r="M13"/>
      <c r="N13" s="166"/>
      <c r="O13" s="290"/>
      <c r="P13" s="196"/>
      <c r="Q13" s="291"/>
      <c r="R13" s="3"/>
      <c r="X13" s="549">
        <v>629</v>
      </c>
      <c r="Y13" s="292">
        <v>629</v>
      </c>
      <c r="AA13" s="384">
        <f t="shared" si="0"/>
        <v>0</v>
      </c>
      <c r="AB13" s="284">
        <f t="shared" si="1"/>
        <v>0</v>
      </c>
    </row>
    <row r="14" spans="1:28" s="18" customFormat="1" ht="67.5" customHeight="1" x14ac:dyDescent="0.3">
      <c r="A14" s="210">
        <f>'Unit Data from Audit Worksheet'!A18</f>
        <v>630</v>
      </c>
      <c r="B14" s="215" t="str">
        <f>'Unit Data from Audit Worksheet'!C18</f>
        <v>Net Position-Governmental Activities</v>
      </c>
      <c r="C14" s="214" t="str">
        <f>'Unit Data from Audit Worksheet'!D18</f>
        <v>Please enter any current liabilities that are payable from restricted assets and included in account 626 above</v>
      </c>
      <c r="D14" s="102"/>
      <c r="E14" s="232">
        <f>'Unit Data from Audit Worksheet'!F18</f>
        <v>0</v>
      </c>
      <c r="F14" s="217"/>
      <c r="G14" s="205"/>
      <c r="H14" s="217"/>
      <c r="I14" s="32"/>
      <c r="J14" s="216">
        <v>630</v>
      </c>
      <c r="K14" s="191" t="s">
        <v>365</v>
      </c>
      <c r="L14" s="293">
        <f t="shared" si="2"/>
        <v>0</v>
      </c>
      <c r="M14"/>
      <c r="N14" s="166"/>
      <c r="O14" s="290"/>
      <c r="P14" s="196"/>
      <c r="Q14" s="291"/>
      <c r="R14" s="3"/>
      <c r="X14" s="549">
        <v>630</v>
      </c>
      <c r="Y14" s="292">
        <v>630</v>
      </c>
      <c r="AA14" s="384">
        <f t="shared" si="0"/>
        <v>0</v>
      </c>
      <c r="AB14" s="284">
        <f t="shared" si="1"/>
        <v>0</v>
      </c>
    </row>
    <row r="15" spans="1:28" s="18" customFormat="1" ht="102.75" customHeight="1" x14ac:dyDescent="0.3">
      <c r="A15" s="210">
        <f>'Unit Data from Audit Worksheet'!A19</f>
        <v>631</v>
      </c>
      <c r="B15" s="223" t="str">
        <f>'Unit Data from Audit Worksheet'!C19</f>
        <v>Net Position-Governmental Activities</v>
      </c>
      <c r="C15" s="206" t="str">
        <f>'Unit Data from Audit Worksheet'!D19</f>
        <v>Please enter any OPEB liabilities that are classified as current liabilities and included in account 626 above (amounts entered should agree to the current amount included in the changes to long-term debt note)</v>
      </c>
      <c r="D15" s="102"/>
      <c r="E15" s="232">
        <f>'Unit Data from Audit Worksheet'!F19</f>
        <v>0</v>
      </c>
      <c r="F15" s="217"/>
      <c r="G15" s="205"/>
      <c r="H15" s="217"/>
      <c r="I15" s="32"/>
      <c r="J15" s="216">
        <v>631</v>
      </c>
      <c r="K15" s="191" t="s">
        <v>364</v>
      </c>
      <c r="L15" s="293">
        <f t="shared" si="2"/>
        <v>0</v>
      </c>
      <c r="M15"/>
      <c r="N15" s="166"/>
      <c r="O15" s="290"/>
      <c r="P15" s="196"/>
      <c r="Q15" s="291"/>
      <c r="R15" s="3"/>
      <c r="X15" s="549">
        <v>631</v>
      </c>
      <c r="Y15" s="292">
        <v>631</v>
      </c>
      <c r="AA15" s="384">
        <f t="shared" si="0"/>
        <v>0</v>
      </c>
      <c r="AB15" s="284">
        <f t="shared" si="1"/>
        <v>0</v>
      </c>
    </row>
    <row r="16" spans="1:28" s="18" customFormat="1" ht="119.25" customHeight="1" x14ac:dyDescent="0.3">
      <c r="A16" s="210">
        <f>'Unit Data from Audit Worksheet'!A20</f>
        <v>632</v>
      </c>
      <c r="B16" s="223" t="str">
        <f>'Unit Data from Audit Worksheet'!C20</f>
        <v>Net Position-Governmental Activities</v>
      </c>
      <c r="C16" s="206" t="str">
        <f>'Unit Data from Audit Worksheet'!D20</f>
        <v>Please enter any landfill closure/postclosure liabilities that are classified as current liabilities and included in account 626 above (amounts entered should agree to the current amount included in the changes to long-term debt note)</v>
      </c>
      <c r="D16" s="102"/>
      <c r="E16" s="232">
        <f>'Unit Data from Audit Worksheet'!F20</f>
        <v>0</v>
      </c>
      <c r="F16" s="217"/>
      <c r="G16" s="205"/>
      <c r="H16" s="217"/>
      <c r="I16" s="32"/>
      <c r="J16" s="216">
        <v>632</v>
      </c>
      <c r="K16" s="191" t="s">
        <v>363</v>
      </c>
      <c r="L16" s="293">
        <f t="shared" si="2"/>
        <v>0</v>
      </c>
      <c r="M16"/>
      <c r="N16" s="166"/>
      <c r="O16" s="290"/>
      <c r="P16" s="196"/>
      <c r="Q16" s="291"/>
      <c r="R16" s="3"/>
      <c r="X16" s="549">
        <v>632</v>
      </c>
      <c r="Y16" s="292">
        <v>632</v>
      </c>
      <c r="AA16" s="384">
        <f t="shared" si="0"/>
        <v>0</v>
      </c>
      <c r="AB16" s="284">
        <f t="shared" si="1"/>
        <v>0</v>
      </c>
    </row>
    <row r="17" spans="1:28" ht="30.6" x14ac:dyDescent="0.3">
      <c r="A17" s="548">
        <f>'Unit Data from Audit Worksheet'!A21</f>
        <v>338</v>
      </c>
      <c r="B17" s="223" t="str">
        <f>'Unit Data from Audit Worksheet'!C21</f>
        <v>Net Position-Governmental Activities</v>
      </c>
      <c r="C17" s="209" t="str">
        <f>'Unit Data from Audit Worksheet'!D21</f>
        <v>Total Liabilities and total deferred inflows</v>
      </c>
      <c r="D17" s="102"/>
      <c r="E17" s="142">
        <f>'Unit Data from Audit Worksheet'!F21</f>
        <v>0</v>
      </c>
      <c r="F17" s="126" t="str">
        <f>IF(L10&gt;L17,"Please review accounts 626 greater than 338","")</f>
        <v/>
      </c>
      <c r="G17" s="65"/>
      <c r="H17" s="221"/>
      <c r="I17" s="32"/>
      <c r="J17" s="106">
        <v>338</v>
      </c>
      <c r="K17" s="107" t="s">
        <v>108</v>
      </c>
      <c r="L17" s="288">
        <f>IF(D17="",E17,D17)+IF(D9="",E9,D9)</f>
        <v>0</v>
      </c>
      <c r="N17" s="71" t="s">
        <v>297</v>
      </c>
      <c r="P17" s="193"/>
      <c r="X17" s="549">
        <v>338</v>
      </c>
      <c r="Y17" s="284">
        <v>338</v>
      </c>
      <c r="AA17" s="384">
        <f t="shared" si="0"/>
        <v>0</v>
      </c>
      <c r="AB17" s="284">
        <f t="shared" si="1"/>
        <v>0</v>
      </c>
    </row>
    <row r="18" spans="1:28" ht="100.5" customHeight="1" x14ac:dyDescent="0.3">
      <c r="A18" s="210">
        <f>'Unit Data from Audit Worksheet'!A22</f>
        <v>335</v>
      </c>
      <c r="B18" s="223" t="str">
        <f>'Unit Data from Audit Worksheet'!C22</f>
        <v>Net Position-Governmental Activities</v>
      </c>
      <c r="C18" s="209" t="str">
        <f>'Unit Data from Audit Worksheet'!D22</f>
        <v>Unearned revenues that were included in current liabilities in your audit report or entered in acct # 626 above. 
Exclude - unearned revenues that are listed in deferred inflows.</v>
      </c>
      <c r="D18" s="102"/>
      <c r="E18" s="229">
        <f>'Unit Data from Audit Worksheet'!F22</f>
        <v>0</v>
      </c>
      <c r="F18" s="222">
        <f>IF(L18&lt;0,"Error: Enter as a positive.",)</f>
        <v>0</v>
      </c>
      <c r="G18" s="224"/>
      <c r="H18" s="221"/>
      <c r="I18" s="32"/>
      <c r="J18" s="220">
        <v>335</v>
      </c>
      <c r="K18" s="219" t="s">
        <v>109</v>
      </c>
      <c r="L18" s="287">
        <f>IF(D18="",E18,D18)</f>
        <v>0</v>
      </c>
      <c r="P18" s="194"/>
      <c r="X18" s="549">
        <v>335</v>
      </c>
      <c r="Y18" s="284">
        <v>335</v>
      </c>
      <c r="AA18" s="384">
        <f t="shared" si="0"/>
        <v>0</v>
      </c>
      <c r="AB18" s="284">
        <f t="shared" si="1"/>
        <v>0</v>
      </c>
    </row>
    <row r="19" spans="1:28" ht="20.399999999999999" x14ac:dyDescent="0.3">
      <c r="A19" s="210">
        <f>'Unit Data from Audit Worksheet'!A23</f>
        <v>252</v>
      </c>
      <c r="B19" s="223" t="str">
        <f>'Unit Data from Audit Worksheet'!C23</f>
        <v>Net Position-Governmental Activities</v>
      </c>
      <c r="C19" s="209" t="str">
        <f>'Unit Data from Audit Worksheet'!D23</f>
        <v xml:space="preserve"> Total Net investment in capital assets</v>
      </c>
      <c r="D19" s="102"/>
      <c r="E19" s="229">
        <f>'Unit Data from Audit Worksheet'!F23</f>
        <v>0</v>
      </c>
      <c r="F19" s="222"/>
      <c r="G19" s="224"/>
      <c r="H19" s="221"/>
      <c r="I19" s="32"/>
      <c r="J19" s="220">
        <v>252</v>
      </c>
      <c r="K19" s="219" t="s">
        <v>95</v>
      </c>
      <c r="L19" s="287">
        <f t="shared" ref="L19:L37" si="3">IF(D19="",E19,D19)</f>
        <v>0</v>
      </c>
      <c r="O19" s="294" t="e">
        <f>'Unit Data from Audit Worksheet'!E23</f>
        <v>#N/A</v>
      </c>
      <c r="P19" s="194"/>
      <c r="X19" s="549">
        <v>252</v>
      </c>
      <c r="Y19" s="284">
        <v>252</v>
      </c>
      <c r="AA19" s="384">
        <f t="shared" si="0"/>
        <v>0</v>
      </c>
      <c r="AB19" s="284">
        <f t="shared" si="1"/>
        <v>0</v>
      </c>
    </row>
    <row r="20" spans="1:28" ht="20.399999999999999" x14ac:dyDescent="0.3">
      <c r="A20" s="210">
        <f>'Unit Data from Audit Worksheet'!A24</f>
        <v>253</v>
      </c>
      <c r="B20" s="223" t="str">
        <f>'Unit Data from Audit Worksheet'!C24</f>
        <v>Net Position-Governmental Activities</v>
      </c>
      <c r="C20" s="209" t="str">
        <f>'Unit Data from Audit Worksheet'!D24</f>
        <v xml:space="preserve"> Total Net Position, Restricted</v>
      </c>
      <c r="D20" s="102"/>
      <c r="E20" s="229">
        <f>'Unit Data from Audit Worksheet'!F24</f>
        <v>0</v>
      </c>
      <c r="F20" s="222"/>
      <c r="G20" s="224"/>
      <c r="H20" s="221"/>
      <c r="I20" s="32"/>
      <c r="J20" s="220">
        <v>253</v>
      </c>
      <c r="K20" s="219" t="s">
        <v>96</v>
      </c>
      <c r="L20" s="287">
        <f t="shared" si="3"/>
        <v>0</v>
      </c>
      <c r="O20" s="294" t="e">
        <f>'Unit Data from Audit Worksheet'!E24</f>
        <v>#N/A</v>
      </c>
      <c r="P20" s="194"/>
      <c r="X20" s="549">
        <v>253</v>
      </c>
      <c r="Y20" s="284">
        <v>253</v>
      </c>
      <c r="AA20" s="384">
        <f t="shared" si="0"/>
        <v>0</v>
      </c>
      <c r="AB20" s="284">
        <f t="shared" si="1"/>
        <v>0</v>
      </c>
    </row>
    <row r="21" spans="1:28" ht="73.5" customHeight="1" x14ac:dyDescent="0.3">
      <c r="A21" s="210">
        <f>'Unit Data from Audit Worksheet'!A25</f>
        <v>254</v>
      </c>
      <c r="B21" s="223" t="str">
        <f>'Unit Data from Audit Worksheet'!C25</f>
        <v>Net Position-Governmental Activities</v>
      </c>
      <c r="C21" s="209" t="str">
        <f>'Unit Data from Audit Worksheet'!D25</f>
        <v>Total Net Position, Unrestricted - enter negative unrestricted net position as a negative)</v>
      </c>
      <c r="D21" s="102"/>
      <c r="E21" s="229">
        <f>'Unit Data from Audit Worksheet'!F25</f>
        <v>0</v>
      </c>
      <c r="F21" s="222">
        <f>IF((L7-L17-L19-L20-L21)=0,,"Error: Total assets and deferred outflows less total liabilities and deferred inflows do not equal total net position accts 385-338-252-253-254")</f>
        <v>0</v>
      </c>
      <c r="G21" s="83">
        <f>+L7-L17-L19-L20-L21</f>
        <v>0</v>
      </c>
      <c r="H21" s="221"/>
      <c r="I21" s="32"/>
      <c r="J21" s="220">
        <v>254</v>
      </c>
      <c r="K21" s="219" t="s">
        <v>97</v>
      </c>
      <c r="L21" s="287">
        <f t="shared" si="3"/>
        <v>0</v>
      </c>
      <c r="O21" s="294" t="e">
        <f>'Unit Data from Audit Worksheet'!E25</f>
        <v>#N/A</v>
      </c>
      <c r="P21" s="194"/>
      <c r="X21" s="549">
        <v>254</v>
      </c>
      <c r="Y21" s="284">
        <v>254</v>
      </c>
      <c r="AA21" s="384">
        <f t="shared" si="0"/>
        <v>0</v>
      </c>
      <c r="AB21" s="284">
        <f t="shared" si="1"/>
        <v>0</v>
      </c>
    </row>
    <row r="22" spans="1:28" ht="51.75" customHeight="1" x14ac:dyDescent="0.3">
      <c r="A22" s="210">
        <f>'Unit Data from Audit Worksheet'!A27</f>
        <v>502</v>
      </c>
      <c r="B22" s="223" t="str">
        <f>'Unit Data from Audit Worksheet'!C27</f>
        <v>Net Position-Business Activities</v>
      </c>
      <c r="C22" s="209" t="str">
        <f>'Unit Data from Audit Worksheet'!D27</f>
        <v xml:space="preserve">All unrestricted Cash and investments. 
Exclude restricted cash and cash held by a third party. </v>
      </c>
      <c r="D22" s="102"/>
      <c r="E22" s="229">
        <f>'Unit Data from Audit Worksheet'!F27</f>
        <v>0</v>
      </c>
      <c r="F22" s="222">
        <f>IF(L22&lt;0,"Error: Number is normally positive.",)</f>
        <v>0</v>
      </c>
      <c r="G22" s="224"/>
      <c r="H22" s="221"/>
      <c r="I22" s="32"/>
      <c r="J22" s="220">
        <v>502</v>
      </c>
      <c r="K22" s="219" t="s">
        <v>177</v>
      </c>
      <c r="L22" s="287">
        <f t="shared" si="3"/>
        <v>0</v>
      </c>
      <c r="P22" s="194"/>
      <c r="X22" s="549">
        <v>502</v>
      </c>
      <c r="Y22" s="284">
        <v>502</v>
      </c>
      <c r="AA22" s="384">
        <f t="shared" si="0"/>
        <v>0</v>
      </c>
      <c r="AB22" s="284">
        <f t="shared" si="1"/>
        <v>0</v>
      </c>
    </row>
    <row r="23" spans="1:28" ht="40.5" customHeight="1" x14ac:dyDescent="0.3">
      <c r="A23" s="210">
        <f>'Unit Data from Audit Worksheet'!A28</f>
        <v>503</v>
      </c>
      <c r="B23" s="223" t="str">
        <f>'Unit Data from Audit Worksheet'!C28</f>
        <v>Net Position-Business Activities</v>
      </c>
      <c r="C23" s="209" t="str">
        <f>'Unit Data from Audit Worksheet'!D28</f>
        <v>All restricted Cash and investments</v>
      </c>
      <c r="D23" s="102"/>
      <c r="E23" s="229">
        <f>'Unit Data from Audit Worksheet'!F28</f>
        <v>0</v>
      </c>
      <c r="F23" s="222">
        <f>IF(L23&lt;0,"Error: Number is normally positive.",)</f>
        <v>0</v>
      </c>
      <c r="G23" s="224"/>
      <c r="H23" s="221"/>
      <c r="I23" s="32"/>
      <c r="J23" s="220">
        <v>503</v>
      </c>
      <c r="K23" s="219" t="s">
        <v>178</v>
      </c>
      <c r="L23" s="287">
        <f t="shared" si="3"/>
        <v>0</v>
      </c>
      <c r="P23" s="194"/>
      <c r="X23" s="549">
        <v>503</v>
      </c>
      <c r="Y23" s="284">
        <v>503</v>
      </c>
      <c r="AA23" s="384">
        <f t="shared" si="0"/>
        <v>0</v>
      </c>
      <c r="AB23" s="284">
        <f t="shared" si="1"/>
        <v>0</v>
      </c>
    </row>
    <row r="24" spans="1:28" ht="39" customHeight="1" x14ac:dyDescent="0.3">
      <c r="A24" s="210">
        <f>'Unit Data from Audit Worksheet'!A30</f>
        <v>344</v>
      </c>
      <c r="B24" s="223" t="str">
        <f>'Unit Data from Audit Worksheet'!C30</f>
        <v>Statement of Activities - Governmental</v>
      </c>
      <c r="C24" s="209" t="str">
        <f>'Unit Data from Audit Worksheet'!D30</f>
        <v xml:space="preserve">Total Interest expense on Long-Term Debt </v>
      </c>
      <c r="D24" s="102"/>
      <c r="E24" s="229">
        <f>'Unit Data from Audit Worksheet'!F30</f>
        <v>0</v>
      </c>
      <c r="F24" s="222">
        <f>IF(L24&lt;0,"Error: Enter as a positive.",)</f>
        <v>0</v>
      </c>
      <c r="G24" s="224"/>
      <c r="H24" s="221"/>
      <c r="I24" s="32"/>
      <c r="J24" s="220">
        <v>344</v>
      </c>
      <c r="K24" s="219" t="s">
        <v>179</v>
      </c>
      <c r="L24" s="287">
        <f t="shared" si="3"/>
        <v>0</v>
      </c>
      <c r="P24" s="194"/>
      <c r="X24" s="549">
        <v>344</v>
      </c>
      <c r="Y24" s="284">
        <v>344</v>
      </c>
      <c r="AA24" s="384">
        <f t="shared" si="0"/>
        <v>0</v>
      </c>
      <c r="AB24" s="284">
        <f t="shared" si="1"/>
        <v>0</v>
      </c>
    </row>
    <row r="25" spans="1:28" ht="39" customHeight="1" x14ac:dyDescent="0.3">
      <c r="A25" s="210">
        <f>'Unit Data from Audit Worksheet'!A31</f>
        <v>388</v>
      </c>
      <c r="B25" s="223" t="str">
        <f>'Unit Data from Audit Worksheet'!C31</f>
        <v>Statement of Activities - Governmental</v>
      </c>
      <c r="C25" s="209" t="str">
        <f>'Unit Data from Audit Worksheet'!D31</f>
        <v>Total Expenses</v>
      </c>
      <c r="D25" s="102"/>
      <c r="E25" s="229">
        <f>'Unit Data from Audit Worksheet'!F31</f>
        <v>0</v>
      </c>
      <c r="F25" s="222">
        <f t="shared" ref="F25:F30" si="4">IF(L25&lt;0,"Error: Number is normally positive.",)</f>
        <v>0</v>
      </c>
      <c r="G25" s="224"/>
      <c r="H25" s="221"/>
      <c r="I25" s="32"/>
      <c r="J25" s="220">
        <v>388</v>
      </c>
      <c r="K25" s="219" t="s">
        <v>180</v>
      </c>
      <c r="L25" s="287">
        <f t="shared" si="3"/>
        <v>0</v>
      </c>
      <c r="P25" s="194"/>
      <c r="X25" s="549">
        <v>388</v>
      </c>
      <c r="Y25" s="284">
        <v>388</v>
      </c>
      <c r="AA25" s="384">
        <f t="shared" si="0"/>
        <v>0</v>
      </c>
      <c r="AB25" s="284">
        <f t="shared" si="1"/>
        <v>0</v>
      </c>
    </row>
    <row r="26" spans="1:28" ht="39" customHeight="1" x14ac:dyDescent="0.3">
      <c r="A26" s="210">
        <f>'Unit Data from Audit Worksheet'!A32</f>
        <v>339</v>
      </c>
      <c r="B26" s="223" t="str">
        <f>'Unit Data from Audit Worksheet'!C32</f>
        <v>Statement of Activities - Governmental</v>
      </c>
      <c r="C26" s="209" t="str">
        <f>'Unit Data from Audit Worksheet'!D32</f>
        <v xml:space="preserve">Charges for services </v>
      </c>
      <c r="D26" s="102"/>
      <c r="E26" s="229">
        <f>'Unit Data from Audit Worksheet'!F32</f>
        <v>0</v>
      </c>
      <c r="F26" s="222">
        <f t="shared" si="4"/>
        <v>0</v>
      </c>
      <c r="G26" s="224"/>
      <c r="H26" s="221"/>
      <c r="I26" s="32"/>
      <c r="J26" s="220">
        <v>339</v>
      </c>
      <c r="K26" s="219" t="s">
        <v>181</v>
      </c>
      <c r="L26" s="287">
        <f t="shared" si="3"/>
        <v>0</v>
      </c>
      <c r="P26" s="194"/>
      <c r="X26" s="549">
        <v>339</v>
      </c>
      <c r="Y26" s="284">
        <v>339</v>
      </c>
      <c r="AA26" s="384">
        <f t="shared" si="0"/>
        <v>0</v>
      </c>
      <c r="AB26" s="284">
        <f t="shared" si="1"/>
        <v>0</v>
      </c>
    </row>
    <row r="27" spans="1:28" ht="39" customHeight="1" x14ac:dyDescent="0.3">
      <c r="A27" s="210">
        <f>'Unit Data from Audit Worksheet'!A33</f>
        <v>504</v>
      </c>
      <c r="B27" s="223" t="str">
        <f>'Unit Data from Audit Worksheet'!C33</f>
        <v>Statement of Activities - Governmental</v>
      </c>
      <c r="C27" s="209" t="str">
        <f>'Unit Data from Audit Worksheet'!D33</f>
        <v>Operating grants and contributions</v>
      </c>
      <c r="D27" s="102"/>
      <c r="E27" s="229">
        <f>'Unit Data from Audit Worksheet'!F33</f>
        <v>0</v>
      </c>
      <c r="F27" s="222">
        <f t="shared" si="4"/>
        <v>0</v>
      </c>
      <c r="G27" s="224"/>
      <c r="H27" s="221"/>
      <c r="I27" s="32"/>
      <c r="J27" s="220">
        <v>504</v>
      </c>
      <c r="K27" s="219" t="s">
        <v>182</v>
      </c>
      <c r="L27" s="287">
        <f t="shared" si="3"/>
        <v>0</v>
      </c>
      <c r="P27" s="194"/>
      <c r="X27" s="549">
        <v>504</v>
      </c>
      <c r="Y27" s="284">
        <v>504</v>
      </c>
      <c r="AA27" s="384">
        <f t="shared" si="0"/>
        <v>0</v>
      </c>
      <c r="AB27" s="284">
        <f t="shared" si="1"/>
        <v>0</v>
      </c>
    </row>
    <row r="28" spans="1:28" ht="39" customHeight="1" x14ac:dyDescent="0.3">
      <c r="A28" s="210">
        <f>'Unit Data from Audit Worksheet'!A34</f>
        <v>505</v>
      </c>
      <c r="B28" s="223" t="str">
        <f>'Unit Data from Audit Worksheet'!C34</f>
        <v>Statement of Activities - Governmental</v>
      </c>
      <c r="C28" s="209" t="str">
        <f>'Unit Data from Audit Worksheet'!D34</f>
        <v>Capital grants and contributions</v>
      </c>
      <c r="D28" s="102"/>
      <c r="E28" s="229">
        <f>'Unit Data from Audit Worksheet'!F34</f>
        <v>0</v>
      </c>
      <c r="F28" s="222">
        <f t="shared" si="4"/>
        <v>0</v>
      </c>
      <c r="G28" s="224"/>
      <c r="H28" s="221"/>
      <c r="I28" s="32"/>
      <c r="J28" s="220">
        <v>505</v>
      </c>
      <c r="K28" s="219" t="s">
        <v>183</v>
      </c>
      <c r="L28" s="287">
        <f t="shared" si="3"/>
        <v>0</v>
      </c>
      <c r="P28" s="194"/>
      <c r="X28" s="549">
        <v>505</v>
      </c>
      <c r="Y28" s="284">
        <v>505</v>
      </c>
      <c r="AA28" s="384">
        <f t="shared" si="0"/>
        <v>0</v>
      </c>
      <c r="AB28" s="284">
        <f t="shared" si="1"/>
        <v>0</v>
      </c>
    </row>
    <row r="29" spans="1:28" ht="82.5" customHeight="1" x14ac:dyDescent="0.3">
      <c r="A29" s="210">
        <f>'Unit Data from Audit Worksheet'!A35</f>
        <v>341</v>
      </c>
      <c r="B29" s="223" t="str">
        <f>'Unit Data from Audit Worksheet'!C35</f>
        <v>Statement of Activities - Governmental</v>
      </c>
      <c r="C29" s="209" t="str">
        <f>'Unit Data from Audit Worksheet'!D35</f>
        <v>Total General revenues
Exclude: transfers-in or out,
                 special items,
                 extraordinary amounts</v>
      </c>
      <c r="D29" s="102"/>
      <c r="E29" s="229">
        <f>'Unit Data from Audit Worksheet'!F35</f>
        <v>0</v>
      </c>
      <c r="F29" s="222">
        <f t="shared" si="4"/>
        <v>0</v>
      </c>
      <c r="G29" s="224"/>
      <c r="H29" s="221"/>
      <c r="I29" s="32"/>
      <c r="J29" s="220">
        <v>341</v>
      </c>
      <c r="K29" s="219" t="s">
        <v>184</v>
      </c>
      <c r="L29" s="287">
        <f t="shared" si="3"/>
        <v>0</v>
      </c>
      <c r="P29" s="194"/>
      <c r="X29" s="549">
        <v>341</v>
      </c>
      <c r="Y29" s="284">
        <v>341</v>
      </c>
      <c r="AA29" s="384">
        <f t="shared" si="0"/>
        <v>0</v>
      </c>
      <c r="AB29" s="284">
        <f t="shared" si="1"/>
        <v>0</v>
      </c>
    </row>
    <row r="30" spans="1:28" ht="82.5" customHeight="1" x14ac:dyDescent="0.3">
      <c r="A30" s="210">
        <f>'Unit Data from Audit Worksheet'!A36</f>
        <v>386</v>
      </c>
      <c r="B30" s="223" t="str">
        <f>'Unit Data from Audit Worksheet'!C36</f>
        <v>Statement of Activities - Governmental</v>
      </c>
      <c r="C30" s="209" t="str">
        <f>'Unit Data from Audit Worksheet'!D36</f>
        <v>Total Transfers in    (Preference is that transfers-in  are not netted against transfers-out)</v>
      </c>
      <c r="D30" s="102"/>
      <c r="E30" s="229">
        <f>'Unit Data from Audit Worksheet'!F36</f>
        <v>0</v>
      </c>
      <c r="F30" s="222">
        <f t="shared" si="4"/>
        <v>0</v>
      </c>
      <c r="G30" s="224"/>
      <c r="H30" s="221"/>
      <c r="I30" s="32"/>
      <c r="J30" s="220">
        <v>386</v>
      </c>
      <c r="K30" s="219" t="s">
        <v>185</v>
      </c>
      <c r="L30" s="287">
        <f t="shared" si="3"/>
        <v>0</v>
      </c>
      <c r="P30" s="194"/>
      <c r="X30" s="549">
        <v>386</v>
      </c>
      <c r="Y30" s="284">
        <v>386</v>
      </c>
      <c r="AA30" s="384">
        <f t="shared" si="0"/>
        <v>0</v>
      </c>
      <c r="AB30" s="284">
        <f t="shared" si="1"/>
        <v>0</v>
      </c>
    </row>
    <row r="31" spans="1:28" ht="82.5" customHeight="1" x14ac:dyDescent="0.3">
      <c r="A31" s="210">
        <f>'Unit Data from Audit Worksheet'!A37</f>
        <v>387</v>
      </c>
      <c r="B31" s="223" t="str">
        <f>'Unit Data from Audit Worksheet'!C37</f>
        <v>Statement of Activities - Governmental</v>
      </c>
      <c r="C31" s="209" t="str">
        <f>'Unit Data from Audit Worksheet'!D37</f>
        <v>Total Transfers out    (Preference is that transfers-in  are not netted against transfers-out)</v>
      </c>
      <c r="D31" s="102"/>
      <c r="E31" s="229">
        <f>'Unit Data from Audit Worksheet'!F37</f>
        <v>0</v>
      </c>
      <c r="F31" s="222">
        <f>IF(L31&lt;0,"Error: Enter as a positive.",)</f>
        <v>0</v>
      </c>
      <c r="G31" s="224"/>
      <c r="H31" s="221"/>
      <c r="I31" s="32"/>
      <c r="J31" s="220">
        <v>387</v>
      </c>
      <c r="K31" s="219" t="s">
        <v>186</v>
      </c>
      <c r="L31" s="287">
        <f t="shared" si="3"/>
        <v>0</v>
      </c>
      <c r="P31" s="194"/>
      <c r="X31" s="549">
        <v>387</v>
      </c>
      <c r="Y31" s="284">
        <v>387</v>
      </c>
      <c r="AA31" s="384">
        <f t="shared" si="0"/>
        <v>0</v>
      </c>
      <c r="AB31" s="284">
        <f t="shared" si="1"/>
        <v>0</v>
      </c>
    </row>
    <row r="32" spans="1:28" ht="82.5" customHeight="1" x14ac:dyDescent="0.3">
      <c r="A32" s="210">
        <f>'Unit Data from Audit Worksheet'!A38</f>
        <v>389</v>
      </c>
      <c r="B32" s="223" t="str">
        <f>'Unit Data from Audit Worksheet'!C38</f>
        <v>Statement of Activities - Governmental</v>
      </c>
      <c r="C32" s="209" t="str">
        <f>'Unit Data from Audit Worksheet'!D38</f>
        <v>Total Special and Extraordinary items.    (Amounts that increase net position are recorded as positive and amounts that decrease net position are recorded as negative)</v>
      </c>
      <c r="D32" s="102"/>
      <c r="E32" s="229">
        <f>'Unit Data from Audit Worksheet'!F38</f>
        <v>0</v>
      </c>
      <c r="F32" s="222"/>
      <c r="G32" s="224"/>
      <c r="H32" s="221"/>
      <c r="I32" s="32"/>
      <c r="J32" s="220">
        <v>389</v>
      </c>
      <c r="K32" s="219" t="s">
        <v>187</v>
      </c>
      <c r="L32" s="287">
        <f t="shared" si="3"/>
        <v>0</v>
      </c>
      <c r="N32" s="295"/>
      <c r="P32" s="194"/>
      <c r="X32" s="549">
        <v>389</v>
      </c>
      <c r="Y32" s="284">
        <v>389</v>
      </c>
      <c r="AA32" s="384">
        <f t="shared" si="0"/>
        <v>0</v>
      </c>
      <c r="AB32" s="284">
        <f t="shared" si="1"/>
        <v>0</v>
      </c>
    </row>
    <row r="33" spans="1:28" ht="79.5" customHeight="1" x14ac:dyDescent="0.3">
      <c r="A33" s="210">
        <f>'Unit Data from Audit Worksheet'!A39</f>
        <v>255</v>
      </c>
      <c r="B33" s="223" t="str">
        <f>'Unit Data from Audit Worksheet'!C39</f>
        <v>Statement of Activities - Governmental</v>
      </c>
      <c r="C33" s="209" t="str">
        <f>'Unit Data from Audit Worksheet'!D39</f>
        <v>Total Change in net position - (Increase in net position is recorded as a positive and a decrease in net position is recorded as a negative)</v>
      </c>
      <c r="D33" s="102"/>
      <c r="E33" s="229">
        <f>'Unit Data from Audit Worksheet'!F39</f>
        <v>0</v>
      </c>
      <c r="F33" s="222">
        <f>IF((L26+L27+L28+L29+L30-L31+L32-L25-L33)=0,,"Total revenues less total expenses do not equal total change in net position. Acct 339+504+505+341+386-387+389-388-255=0")</f>
        <v>0</v>
      </c>
      <c r="G33" s="84">
        <f>L26+L27+L28+L29+L30-L31+L32-L25-L33</f>
        <v>0</v>
      </c>
      <c r="H33" s="221"/>
      <c r="I33" s="32"/>
      <c r="J33" s="220">
        <v>255</v>
      </c>
      <c r="K33" s="219" t="s">
        <v>188</v>
      </c>
      <c r="L33" s="287">
        <f t="shared" si="3"/>
        <v>0</v>
      </c>
      <c r="O33" s="294" t="e">
        <f>'Unit Data from Audit Worksheet'!E39</f>
        <v>#N/A</v>
      </c>
      <c r="P33" s="194"/>
      <c r="X33" s="549">
        <v>255</v>
      </c>
      <c r="Y33" s="284">
        <v>255</v>
      </c>
      <c r="AA33" s="384">
        <f t="shared" si="0"/>
        <v>0</v>
      </c>
      <c r="AB33" s="284">
        <f t="shared" si="1"/>
        <v>0</v>
      </c>
    </row>
    <row r="34" spans="1:28" ht="89.25" customHeight="1" x14ac:dyDescent="0.3">
      <c r="A34" s="210">
        <f>'Unit Data from Audit Worksheet'!A40</f>
        <v>376</v>
      </c>
      <c r="B34" s="223" t="str">
        <f>'Unit Data from Audit Worksheet'!C40</f>
        <v>Statement of Activities - Governmental</v>
      </c>
      <c r="C34" s="209" t="str">
        <f>'Unit Data from Audit Worksheet'!D40</f>
        <v>Any adjustment to beginning net position including rounding, prior period adjustments and restatements.   (Increases to net position are positive; decreases to net position are negative)</v>
      </c>
      <c r="D34" s="102"/>
      <c r="E34" s="229">
        <f>'Unit Data from Audit Worksheet'!F40</f>
        <v>0</v>
      </c>
      <c r="F34" s="80" t="e">
        <f>IF(L19+L20+L21-L33-L34=O19+O20+O21,,"Beginning Balance does not agree with our records acct (252+253+254-255-376=PY252+PY253+PY254)")</f>
        <v>#N/A</v>
      </c>
      <c r="G34" s="85" t="e">
        <f>L19+L20+L21-L33-L34-(O19+O20+O21)</f>
        <v>#N/A</v>
      </c>
      <c r="H34" s="221" t="e">
        <f>'Unit Data from Audit Worksheet'!I40</f>
        <v>#N/A</v>
      </c>
      <c r="I34" s="32"/>
      <c r="J34" s="220">
        <v>376</v>
      </c>
      <c r="K34" s="219" t="s">
        <v>100</v>
      </c>
      <c r="L34" s="287">
        <f t="shared" si="3"/>
        <v>0</v>
      </c>
      <c r="O34" s="294" t="e">
        <f>'Unit Data from Audit Worksheet'!E40</f>
        <v>#N/A</v>
      </c>
      <c r="P34" s="194"/>
      <c r="R34" s="382"/>
      <c r="S34" s="382"/>
      <c r="T34" s="382"/>
      <c r="U34" s="382"/>
      <c r="V34" s="382"/>
      <c r="W34" s="382"/>
      <c r="X34" s="549">
        <v>376</v>
      </c>
      <c r="Y34" s="284">
        <v>376</v>
      </c>
      <c r="Z34" s="382"/>
      <c r="AA34" s="384">
        <f t="shared" si="0"/>
        <v>0</v>
      </c>
      <c r="AB34" s="284">
        <f t="shared" si="1"/>
        <v>0</v>
      </c>
    </row>
    <row r="35" spans="1:28" ht="157.5" customHeight="1" x14ac:dyDescent="0.3">
      <c r="A35" s="210">
        <f>'Unit Data from Audit Worksheet'!A41</f>
        <v>597</v>
      </c>
      <c r="B35" s="223" t="str">
        <f>'Unit Data from Audit Worksheet'!C41</f>
        <v>Statement of Activities                               (all governmental and business funds)</v>
      </c>
      <c r="C35" s="209" t="str">
        <f>'Unit Data from Audit Worksheet'!D41</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02"/>
      <c r="E35" s="229">
        <f>'Unit Data from Audit Worksheet'!F41</f>
        <v>0</v>
      </c>
      <c r="F35" s="222">
        <f>IF(L35&lt;0,"Error: Number is normally positive.",)</f>
        <v>0</v>
      </c>
      <c r="G35" s="224"/>
      <c r="H35" s="221"/>
      <c r="I35" s="32"/>
      <c r="J35" s="220">
        <v>597</v>
      </c>
      <c r="K35" s="219" t="s">
        <v>336</v>
      </c>
      <c r="L35" s="287">
        <f t="shared" si="3"/>
        <v>0</v>
      </c>
      <c r="O35" s="294"/>
      <c r="P35" s="194"/>
      <c r="R35" s="382"/>
      <c r="S35" s="382"/>
      <c r="T35" s="382"/>
      <c r="U35" s="382"/>
      <c r="V35" s="382"/>
      <c r="W35" s="382"/>
      <c r="X35" s="549">
        <v>597</v>
      </c>
      <c r="Y35" s="284">
        <v>597</v>
      </c>
      <c r="Z35" s="382"/>
      <c r="AA35" s="384">
        <f t="shared" si="0"/>
        <v>0</v>
      </c>
      <c r="AB35" s="284">
        <f t="shared" si="1"/>
        <v>0</v>
      </c>
    </row>
    <row r="36" spans="1:28" ht="90" customHeight="1" x14ac:dyDescent="0.3">
      <c r="A36" s="210">
        <f>'Unit Data from Audit Worksheet'!A43</f>
        <v>592</v>
      </c>
      <c r="B36" s="223" t="str">
        <f>'Unit Data from Audit Worksheet'!C43</f>
        <v>Statement of Activities - Business Activities</v>
      </c>
      <c r="C36" s="209" t="str">
        <f>'Unit Data from Audit Worksheet'!D43</f>
        <v>Total Change in net position Business Type 
(Increase in net position is recorded as a positive and a decrease in net position is recorded as a negative)</v>
      </c>
      <c r="D36" s="102"/>
      <c r="E36" s="229">
        <f>'Unit Data from Audit Worksheet'!F43</f>
        <v>0</v>
      </c>
      <c r="F36" s="222"/>
      <c r="G36" s="224"/>
      <c r="H36" s="221"/>
      <c r="I36" s="32"/>
      <c r="J36" s="220">
        <v>592</v>
      </c>
      <c r="K36" s="219" t="s">
        <v>328</v>
      </c>
      <c r="L36" s="287">
        <f t="shared" si="3"/>
        <v>0</v>
      </c>
      <c r="O36" s="294"/>
      <c r="P36" s="194"/>
      <c r="R36" s="382"/>
      <c r="S36" s="382"/>
      <c r="T36" s="382"/>
      <c r="U36" s="382"/>
      <c r="V36" s="382"/>
      <c r="W36" s="382"/>
      <c r="X36" s="549">
        <v>592</v>
      </c>
      <c r="Y36" s="284">
        <v>592</v>
      </c>
      <c r="Z36" s="382"/>
      <c r="AA36" s="384">
        <f t="shared" si="0"/>
        <v>0</v>
      </c>
      <c r="AB36" s="284">
        <f t="shared" si="1"/>
        <v>0</v>
      </c>
    </row>
    <row r="37" spans="1:28" ht="66" customHeight="1" x14ac:dyDescent="0.3">
      <c r="A37" s="210">
        <f>'Unit Data from Audit Worksheet'!A44</f>
        <v>591</v>
      </c>
      <c r="B37" s="223" t="str">
        <f>'Unit Data from Audit Worksheet'!C44</f>
        <v>Statement of Activities - Business Activities</v>
      </c>
      <c r="C37" s="209" t="str">
        <f>'Unit Data from Audit Worksheet'!D44</f>
        <v>Total Expenses - Exclude Transfers</v>
      </c>
      <c r="D37" s="102"/>
      <c r="E37" s="229">
        <f>'Unit Data from Audit Worksheet'!F44</f>
        <v>0</v>
      </c>
      <c r="F37" s="222">
        <f>IF(L37&lt;0,"Error: Enter as a positive.",)</f>
        <v>0</v>
      </c>
      <c r="G37" s="224"/>
      <c r="H37" s="221"/>
      <c r="I37" s="32"/>
      <c r="J37" s="220">
        <v>591</v>
      </c>
      <c r="K37" s="219" t="s">
        <v>327</v>
      </c>
      <c r="L37" s="287">
        <f t="shared" si="3"/>
        <v>0</v>
      </c>
      <c r="O37" s="294"/>
      <c r="P37" s="194"/>
      <c r="R37" s="382"/>
      <c r="S37" s="382"/>
      <c r="T37" s="382"/>
      <c r="U37" s="382"/>
      <c r="V37" s="382"/>
      <c r="W37" s="382"/>
      <c r="X37" s="549">
        <v>591</v>
      </c>
      <c r="Y37" s="284">
        <v>591</v>
      </c>
      <c r="Z37" s="382"/>
      <c r="AA37" s="384">
        <f t="shared" si="0"/>
        <v>0</v>
      </c>
      <c r="AB37" s="284">
        <f t="shared" si="1"/>
        <v>0</v>
      </c>
    </row>
    <row r="38" spans="1:28" ht="54" customHeight="1" x14ac:dyDescent="0.3">
      <c r="A38" s="210">
        <f>'Unit Data from Audit Worksheet'!A46</f>
        <v>506</v>
      </c>
      <c r="B38" s="47" t="str">
        <f>'Unit Data from Audit Worksheet'!C46</f>
        <v>General Fund-Balance Sheet</v>
      </c>
      <c r="C38" s="296" t="str">
        <f>'Unit Data from Audit Worksheet'!D46</f>
        <v xml:space="preserve">All unrestricted cash and investments.  
Exclude restricted cash and cash held by a third party. </v>
      </c>
      <c r="D38" s="102"/>
      <c r="E38" s="144">
        <f>'Unit Data from Audit Worksheet'!F46</f>
        <v>0</v>
      </c>
      <c r="F38" s="31">
        <f>IF(L38&lt;0,"Error: Number is normally positive.",)</f>
        <v>0</v>
      </c>
      <c r="G38" s="66"/>
      <c r="H38" s="221"/>
      <c r="I38" s="32"/>
      <c r="J38" s="35">
        <v>506</v>
      </c>
      <c r="K38" s="219" t="s">
        <v>189</v>
      </c>
      <c r="L38" s="297">
        <f t="shared" ref="L38:L51" si="5">IF(D38="",E38,D38)</f>
        <v>0</v>
      </c>
      <c r="P38" s="195"/>
      <c r="X38" s="549">
        <v>506</v>
      </c>
      <c r="Y38" s="284">
        <v>506</v>
      </c>
      <c r="AA38" s="384">
        <f t="shared" si="0"/>
        <v>0</v>
      </c>
      <c r="AB38" s="284">
        <f t="shared" si="1"/>
        <v>0</v>
      </c>
    </row>
    <row r="39" spans="1:28" ht="45.75" customHeight="1" x14ac:dyDescent="0.3">
      <c r="A39" s="210">
        <f>'Unit Data from Audit Worksheet'!A47</f>
        <v>536</v>
      </c>
      <c r="B39" s="47" t="str">
        <f>'Unit Data from Audit Worksheet'!C47</f>
        <v>General Fund-Balance Sheet</v>
      </c>
      <c r="C39" s="296" t="str">
        <f>'Unit Data from Audit Worksheet'!D47</f>
        <v>All restricted cash and investments</v>
      </c>
      <c r="D39" s="102"/>
      <c r="E39" s="144">
        <f>'Unit Data from Audit Worksheet'!F47</f>
        <v>0</v>
      </c>
      <c r="F39" s="31">
        <f>IF(L39&lt;0,"Error: Number is normally positive.",)</f>
        <v>0</v>
      </c>
      <c r="G39" s="66"/>
      <c r="H39" s="221"/>
      <c r="I39" s="32"/>
      <c r="J39" s="35">
        <v>536</v>
      </c>
      <c r="K39" s="219" t="s">
        <v>190</v>
      </c>
      <c r="L39" s="297">
        <f t="shared" si="5"/>
        <v>0</v>
      </c>
      <c r="P39" s="196"/>
      <c r="Q39" s="291"/>
      <c r="S39" s="290"/>
      <c r="T39" s="290"/>
      <c r="U39" s="290"/>
      <c r="V39" s="290"/>
      <c r="W39" s="18"/>
      <c r="X39" s="549">
        <v>536</v>
      </c>
      <c r="Y39" s="284">
        <v>536</v>
      </c>
      <c r="Z39" s="18"/>
      <c r="AA39" s="384">
        <f t="shared" si="0"/>
        <v>0</v>
      </c>
      <c r="AB39" s="284">
        <f t="shared" si="1"/>
        <v>0</v>
      </c>
    </row>
    <row r="40" spans="1:28" ht="56.25" customHeight="1" x14ac:dyDescent="0.3">
      <c r="A40" s="210">
        <f>'Unit Data from Audit Worksheet'!A48</f>
        <v>586</v>
      </c>
      <c r="B40" s="223" t="str">
        <f>'Unit Data from Audit Worksheet'!C48</f>
        <v>General Fund-Balance Sheet</v>
      </c>
      <c r="C40" s="209" t="str">
        <f>'Unit Data from Audit Worksheet'!D48</f>
        <v>Advance To: Interfund loan receivable-portion of repayment plan longer than 12 months</v>
      </c>
      <c r="D40" s="134"/>
      <c r="E40" s="229">
        <f>'Unit Data from Audit Worksheet'!F48</f>
        <v>0</v>
      </c>
      <c r="F40" s="222"/>
      <c r="G40" s="224"/>
      <c r="H40" s="221"/>
      <c r="I40" s="32"/>
      <c r="J40" s="220">
        <v>586</v>
      </c>
      <c r="K40" s="209" t="s">
        <v>313</v>
      </c>
      <c r="L40" s="287">
        <f t="shared" si="5"/>
        <v>0</v>
      </c>
      <c r="P40" s="196"/>
      <c r="Q40" s="291"/>
      <c r="S40" s="290"/>
      <c r="T40" s="290"/>
      <c r="U40" s="290"/>
      <c r="V40" s="290"/>
      <c r="W40" s="18"/>
      <c r="X40" s="549">
        <v>586</v>
      </c>
      <c r="Y40" s="284">
        <v>586</v>
      </c>
      <c r="Z40" s="18"/>
      <c r="AA40" s="384">
        <f t="shared" si="0"/>
        <v>0</v>
      </c>
      <c r="AB40" s="284">
        <f t="shared" si="1"/>
        <v>0</v>
      </c>
    </row>
    <row r="41" spans="1:28" ht="28.8" x14ac:dyDescent="0.3">
      <c r="A41" s="210">
        <f>'Unit Data from Audit Worksheet'!A49</f>
        <v>379</v>
      </c>
      <c r="B41" s="223" t="str">
        <f>'Unit Data from Audit Worksheet'!C49</f>
        <v>General Fund-Balance Sheet</v>
      </c>
      <c r="C41" s="209" t="str">
        <f>'Unit Data from Audit Worksheet'!D49</f>
        <v>Total Assets and deferred outflows</v>
      </c>
      <c r="D41" s="134"/>
      <c r="E41" s="229">
        <f>'Unit Data from Audit Worksheet'!F49</f>
        <v>0</v>
      </c>
      <c r="F41" s="77">
        <f>IF((L38+L39)&gt;L41,"Error: Please review accts (506+536)&gt;379",)</f>
        <v>0</v>
      </c>
      <c r="G41" s="224"/>
      <c r="H41" s="221"/>
      <c r="I41" s="32"/>
      <c r="J41" s="220">
        <v>379</v>
      </c>
      <c r="K41" s="219" t="s">
        <v>110</v>
      </c>
      <c r="L41" s="287">
        <f t="shared" si="5"/>
        <v>0</v>
      </c>
      <c r="P41" s="193"/>
      <c r="X41" s="549">
        <v>379</v>
      </c>
      <c r="Y41" s="284">
        <v>379</v>
      </c>
      <c r="AA41" s="384">
        <f t="shared" si="0"/>
        <v>0</v>
      </c>
      <c r="AB41" s="284">
        <f t="shared" si="1"/>
        <v>0</v>
      </c>
    </row>
    <row r="42" spans="1:28" ht="106.5" customHeight="1" x14ac:dyDescent="0.3">
      <c r="A42" s="210">
        <f>'Unit Data from Audit Worksheet'!A50</f>
        <v>368</v>
      </c>
      <c r="B42" s="223" t="str">
        <f>'Unit Data from Audit Worksheet'!C50</f>
        <v>General Fund-Balance Sheet</v>
      </c>
      <c r="C42" s="209" t="str">
        <f>'Unit Data from Audit Worksheet'!D50</f>
        <v>Total Liabilities payable from restricted assets (only complete if this is listed in your financial statements for the general fund and the auditor has listed the cash to be used to pay the liabilities as restricted)</v>
      </c>
      <c r="D42" s="134"/>
      <c r="E42" s="229">
        <f>'Unit Data from Audit Worksheet'!F50</f>
        <v>0</v>
      </c>
      <c r="F42" s="222">
        <f>IF(L42&lt;0,"Error: Enter as a positive.",)</f>
        <v>0</v>
      </c>
      <c r="G42" s="224"/>
      <c r="H42" s="221"/>
      <c r="I42" s="32"/>
      <c r="J42" s="220">
        <v>368</v>
      </c>
      <c r="K42" s="219" t="s">
        <v>191</v>
      </c>
      <c r="L42" s="287">
        <f t="shared" si="5"/>
        <v>0</v>
      </c>
      <c r="P42" s="194"/>
      <c r="S42" s="18"/>
      <c r="T42" s="18"/>
      <c r="U42" s="18"/>
      <c r="V42" s="18"/>
      <c r="X42" s="549">
        <v>368</v>
      </c>
      <c r="Y42" s="284">
        <v>368</v>
      </c>
      <c r="Z42" s="18"/>
      <c r="AA42" s="384">
        <f t="shared" si="0"/>
        <v>0</v>
      </c>
      <c r="AB42" s="284">
        <f t="shared" si="1"/>
        <v>0</v>
      </c>
    </row>
    <row r="43" spans="1:28" ht="90.75" customHeight="1" x14ac:dyDescent="0.3">
      <c r="A43" s="210">
        <f>'Unit Data from Audit Worksheet'!A51</f>
        <v>4</v>
      </c>
      <c r="B43" s="47" t="str">
        <f>'Unit Data from Audit Worksheet'!C51</f>
        <v>General Fund-Balance Sheet</v>
      </c>
      <c r="C43" s="296" t="str">
        <f>'Unit Data from Audit Worksheet'!D51</f>
        <v>Current Liabilities (as reported on the Balance Sheet)
Exclude all deferred inflows. 
Include advance from(long-term portion of interfund loans)</v>
      </c>
      <c r="D43" s="134"/>
      <c r="E43" s="144">
        <f>'Unit Data from Audit Worksheet'!F51</f>
        <v>0</v>
      </c>
      <c r="F43" s="31">
        <f t="shared" ref="F43:F52" si="6">IF(L43&lt;0,"Error: Enter as a positive.",)</f>
        <v>0</v>
      </c>
      <c r="G43" s="66"/>
      <c r="H43" s="221"/>
      <c r="I43" s="32"/>
      <c r="J43" s="35">
        <v>4</v>
      </c>
      <c r="K43" s="219" t="s">
        <v>111</v>
      </c>
      <c r="L43" s="297">
        <f t="shared" si="5"/>
        <v>0</v>
      </c>
      <c r="P43" s="194"/>
      <c r="S43" s="18"/>
      <c r="T43" s="18"/>
      <c r="U43" s="18"/>
      <c r="V43" s="18"/>
      <c r="X43" s="549">
        <v>4</v>
      </c>
      <c r="Y43" s="284">
        <v>4</v>
      </c>
      <c r="Z43" s="18"/>
      <c r="AA43" s="384">
        <f t="shared" si="0"/>
        <v>0</v>
      </c>
      <c r="AB43" s="284">
        <f t="shared" si="1"/>
        <v>0</v>
      </c>
    </row>
    <row r="44" spans="1:28" ht="131.25" customHeight="1" x14ac:dyDescent="0.3">
      <c r="A44" s="210">
        <f>'Unit Data from Audit Worksheet'!A52</f>
        <v>5</v>
      </c>
      <c r="B44" s="47" t="str">
        <f>'Unit Data from Audit Worksheet'!C52</f>
        <v>General Fund-Balance Sheet</v>
      </c>
      <c r="C44" s="296" t="str">
        <f>'Unit Data from Audit Worksheet'!D52</f>
        <v>General fund deferred inflows derived from cash receipts. 
 Prepaid taxes is a common item listed.  Deferred inflows on the face of the statements can include cash and non-cash.  You may have to refer to the note disclosure where the cash and non-cash is broken out.</v>
      </c>
      <c r="D44" s="134"/>
      <c r="E44" s="144">
        <f>'Unit Data from Audit Worksheet'!F52</f>
        <v>0</v>
      </c>
      <c r="F44" s="31">
        <f t="shared" si="6"/>
        <v>0</v>
      </c>
      <c r="G44" s="66"/>
      <c r="H44" s="221"/>
      <c r="I44" s="32"/>
      <c r="J44" s="35">
        <v>5</v>
      </c>
      <c r="K44" s="219" t="s">
        <v>112</v>
      </c>
      <c r="L44" s="297">
        <f t="shared" si="5"/>
        <v>0</v>
      </c>
      <c r="P44" s="194"/>
      <c r="S44" s="18"/>
      <c r="T44" s="18"/>
      <c r="U44" s="18"/>
      <c r="V44" s="18"/>
      <c r="X44" s="549">
        <v>5</v>
      </c>
      <c r="Y44" s="284">
        <v>5</v>
      </c>
      <c r="Z44" s="18"/>
      <c r="AA44" s="384">
        <f t="shared" si="0"/>
        <v>0</v>
      </c>
      <c r="AB44" s="284">
        <f t="shared" si="1"/>
        <v>0</v>
      </c>
    </row>
    <row r="45" spans="1:28" ht="104.25" customHeight="1" x14ac:dyDescent="0.3">
      <c r="A45" s="210">
        <f>'Unit Data from Audit Worksheet'!A53</f>
        <v>380</v>
      </c>
      <c r="B45" s="223" t="str">
        <f>'Unit Data from Audit Worksheet'!C53</f>
        <v>General Fund-Balance Sheet</v>
      </c>
      <c r="C45" s="209" t="str">
        <f>'Unit Data from Audit Worksheet'!D53</f>
        <v>Total Deferred inflows not derived from cash receipts.  Deferred inflows on the face of the statements can include cash and non-cash.  You may have to refer to the note disclosure where the cash and non-cash is broken out.</v>
      </c>
      <c r="D45" s="134"/>
      <c r="E45" s="229">
        <f>'Unit Data from Audit Worksheet'!F53</f>
        <v>0</v>
      </c>
      <c r="F45" s="222">
        <f t="shared" si="6"/>
        <v>0</v>
      </c>
      <c r="G45" s="224"/>
      <c r="H45" s="221"/>
      <c r="I45" s="32"/>
      <c r="J45" s="220">
        <v>380</v>
      </c>
      <c r="K45" s="219" t="s">
        <v>113</v>
      </c>
      <c r="L45" s="287">
        <f t="shared" si="5"/>
        <v>0</v>
      </c>
      <c r="P45" s="194"/>
      <c r="X45" s="549">
        <v>380</v>
      </c>
      <c r="Y45" s="284">
        <v>380</v>
      </c>
      <c r="AA45" s="384">
        <f t="shared" si="0"/>
        <v>0</v>
      </c>
      <c r="AB45" s="284">
        <f t="shared" si="1"/>
        <v>0</v>
      </c>
    </row>
    <row r="46" spans="1:28" ht="41.25" customHeight="1" x14ac:dyDescent="0.3">
      <c r="A46" s="210">
        <f>'Unit Data from Audit Worksheet'!A54</f>
        <v>391</v>
      </c>
      <c r="B46" s="223" t="str">
        <f>'Unit Data from Audit Worksheet'!C54</f>
        <v>General Fund-Balance Sheet</v>
      </c>
      <c r="C46" s="209" t="str">
        <f>'Unit Data from Audit Worksheet'!D54</f>
        <v xml:space="preserve">Fund balance, Restricted for Stabilization by State Statute </v>
      </c>
      <c r="D46" s="134"/>
      <c r="E46" s="229">
        <f>'Unit Data from Audit Worksheet'!F54</f>
        <v>0</v>
      </c>
      <c r="F46" s="222">
        <f t="shared" si="6"/>
        <v>0</v>
      </c>
      <c r="G46" s="224"/>
      <c r="H46" s="221"/>
      <c r="I46" s="32"/>
      <c r="J46" s="220">
        <v>391</v>
      </c>
      <c r="K46" s="219" t="s">
        <v>192</v>
      </c>
      <c r="L46" s="287">
        <f t="shared" si="5"/>
        <v>0</v>
      </c>
      <c r="P46" s="194"/>
      <c r="X46" s="549">
        <v>391</v>
      </c>
      <c r="Y46" s="284">
        <v>391</v>
      </c>
      <c r="AA46" s="384">
        <f t="shared" si="0"/>
        <v>0</v>
      </c>
      <c r="AB46" s="284">
        <f t="shared" si="1"/>
        <v>0</v>
      </c>
    </row>
    <row r="47" spans="1:28" ht="28.8" x14ac:dyDescent="0.3">
      <c r="A47" s="210">
        <f>'Unit Data from Audit Worksheet'!A55</f>
        <v>7</v>
      </c>
      <c r="B47" s="47" t="str">
        <f>'Unit Data from Audit Worksheet'!C55</f>
        <v>General Fund-Balance Sheet</v>
      </c>
      <c r="C47" s="296" t="str">
        <f>'Unit Data from Audit Worksheet'!D55</f>
        <v>Fund balance, Nonspendable-  inventory/prepaids/etc.</v>
      </c>
      <c r="D47" s="134"/>
      <c r="E47" s="144">
        <f>'Unit Data from Audit Worksheet'!F55</f>
        <v>0</v>
      </c>
      <c r="F47" s="31">
        <f t="shared" si="6"/>
        <v>0</v>
      </c>
      <c r="G47" s="66"/>
      <c r="H47" s="221"/>
      <c r="I47" s="32"/>
      <c r="J47" s="35">
        <v>7</v>
      </c>
      <c r="K47" s="219" t="s">
        <v>193</v>
      </c>
      <c r="L47" s="297">
        <f t="shared" si="5"/>
        <v>0</v>
      </c>
      <c r="P47" s="194"/>
      <c r="X47" s="549">
        <v>7</v>
      </c>
      <c r="Y47" s="284">
        <v>7</v>
      </c>
      <c r="AA47" s="384">
        <f t="shared" si="0"/>
        <v>0</v>
      </c>
      <c r="AB47" s="284">
        <f t="shared" si="1"/>
        <v>0</v>
      </c>
    </row>
    <row r="48" spans="1:28" ht="89.25" customHeight="1" x14ac:dyDescent="0.3">
      <c r="A48" s="298">
        <f>'Unit Data from Audit Worksheet'!A56</f>
        <v>11</v>
      </c>
      <c r="B48" s="109" t="str">
        <f>'Unit Data from Audit Worksheet'!C56</f>
        <v>General Fund-Balance Sheet</v>
      </c>
      <c r="C48" s="289" t="str">
        <f>'Unit Data from Audit Worksheet'!D56</f>
        <v>Fund balance, Restricted for Streets (unspent Powell Bill balance).  You may have to refer to the note disclosure where restricted fund balance is described.</v>
      </c>
      <c r="D48" s="102"/>
      <c r="E48" s="145">
        <f>'Unit Data from Audit Worksheet'!F56</f>
        <v>0</v>
      </c>
      <c r="F48" s="103">
        <f t="shared" si="6"/>
        <v>0</v>
      </c>
      <c r="G48" s="104"/>
      <c r="H48" s="105"/>
      <c r="I48" s="32"/>
      <c r="J48" s="97">
        <v>11</v>
      </c>
      <c r="K48" s="38" t="s">
        <v>194</v>
      </c>
      <c r="L48" s="287">
        <f t="shared" si="5"/>
        <v>0</v>
      </c>
      <c r="P48" s="194"/>
      <c r="X48" s="549">
        <v>11</v>
      </c>
      <c r="Y48" s="284">
        <v>11</v>
      </c>
      <c r="AA48" s="384">
        <f t="shared" si="0"/>
        <v>0</v>
      </c>
      <c r="AB48" s="284">
        <f t="shared" si="1"/>
        <v>0</v>
      </c>
    </row>
    <row r="49" spans="1:28" s="18" customFormat="1" ht="48.75" customHeight="1" x14ac:dyDescent="0.3">
      <c r="A49" s="188">
        <f>'Unit Data from Audit Worksheet'!A57</f>
        <v>645</v>
      </c>
      <c r="B49" s="233" t="str">
        <f>'Unit Data from Audit Worksheet'!C57</f>
        <v>General Fund-Balance Sheet</v>
      </c>
      <c r="C49" s="188" t="str">
        <f>'Unit Data from Audit Worksheet'!D57</f>
        <v>Fund balance, Assigned (total of all assigned components)</v>
      </c>
      <c r="D49" s="108"/>
      <c r="E49" s="232">
        <f>'Unit Data from Audit Worksheet'!F57</f>
        <v>0</v>
      </c>
      <c r="F49" s="217">
        <f>IF(L49&lt;0,"Error: Enter as a positive.",)</f>
        <v>0</v>
      </c>
      <c r="G49" s="205"/>
      <c r="H49" s="217"/>
      <c r="I49" s="299"/>
      <c r="J49" s="216">
        <v>645</v>
      </c>
      <c r="K49" s="188" t="s">
        <v>381</v>
      </c>
      <c r="L49" s="300">
        <f t="shared" si="5"/>
        <v>0</v>
      </c>
      <c r="M49"/>
      <c r="N49" s="290"/>
      <c r="O49" s="290"/>
      <c r="P49" s="194"/>
      <c r="Q49" s="277"/>
      <c r="R49" s="3"/>
      <c r="S49" s="3"/>
      <c r="T49" s="3"/>
      <c r="U49" s="3"/>
      <c r="V49" s="3"/>
      <c r="W49" s="3"/>
      <c r="X49" s="549">
        <v>645</v>
      </c>
      <c r="Y49" s="284">
        <v>645</v>
      </c>
      <c r="Z49" s="3"/>
      <c r="AA49" s="384">
        <f t="shared" si="0"/>
        <v>0</v>
      </c>
      <c r="AB49" s="284">
        <f t="shared" si="1"/>
        <v>0</v>
      </c>
    </row>
    <row r="50" spans="1:28" s="18" customFormat="1" ht="45.75" customHeight="1" x14ac:dyDescent="0.3">
      <c r="A50" s="188">
        <f>'Unit Data from Audit Worksheet'!A58</f>
        <v>646</v>
      </c>
      <c r="B50" s="233" t="str">
        <f>'Unit Data from Audit Worksheet'!C58</f>
        <v>General Fund-Balance Sheet</v>
      </c>
      <c r="C50" s="188" t="str">
        <f>'Unit Data from Audit Worksheet'!D58</f>
        <v>Fund Balance, Unassigned</v>
      </c>
      <c r="D50" s="108"/>
      <c r="E50" s="232">
        <f>'Unit Data from Audit Worksheet'!F58</f>
        <v>0</v>
      </c>
      <c r="F50" s="217">
        <f>IF(L50&lt;0,"Error: Enter as a positive.",)</f>
        <v>0</v>
      </c>
      <c r="G50" s="205"/>
      <c r="H50" s="217"/>
      <c r="I50" s="299"/>
      <c r="J50" s="216">
        <v>646</v>
      </c>
      <c r="K50" s="188" t="s">
        <v>382</v>
      </c>
      <c r="L50" s="300">
        <f t="shared" si="5"/>
        <v>0</v>
      </c>
      <c r="M50"/>
      <c r="N50" s="290"/>
      <c r="O50" s="290"/>
      <c r="P50" s="194"/>
      <c r="Q50" s="277"/>
      <c r="R50" s="3"/>
      <c r="S50" s="3"/>
      <c r="T50" s="3"/>
      <c r="U50" s="3"/>
      <c r="V50" s="3"/>
      <c r="W50" s="3"/>
      <c r="X50" s="549">
        <v>646</v>
      </c>
      <c r="Y50" s="284">
        <v>646</v>
      </c>
      <c r="Z50" s="3"/>
      <c r="AA50" s="384">
        <f t="shared" si="0"/>
        <v>0</v>
      </c>
      <c r="AB50" s="284">
        <f t="shared" si="1"/>
        <v>0</v>
      </c>
    </row>
    <row r="51" spans="1:28" ht="55.5" customHeight="1" x14ac:dyDescent="0.3">
      <c r="A51" s="285">
        <f>'Unit Data from Audit Worksheet'!A59</f>
        <v>9</v>
      </c>
      <c r="B51" s="110" t="str">
        <f>'Unit Data from Audit Worksheet'!C59</f>
        <v>General Fund-Balance Sheet</v>
      </c>
      <c r="C51" s="301" t="str">
        <f>'Unit Data from Audit Worksheet'!D59</f>
        <v>Total Fund balance (enter fund deficits as negative)</v>
      </c>
      <c r="D51" s="134"/>
      <c r="E51" s="143">
        <f>'Unit Data from Audit Worksheet'!F59</f>
        <v>0</v>
      </c>
      <c r="F51" s="111">
        <f>IF(L41-L43-L44-L45-L51=0,,"Error: Total assets less total liabilities do not equal Acct +379-4-5-380-9=0")</f>
        <v>0</v>
      </c>
      <c r="G51" s="112">
        <f>L41-L43-L44-L45-L51</f>
        <v>0</v>
      </c>
      <c r="H51" s="221"/>
      <c r="I51" s="32"/>
      <c r="J51" s="113">
        <v>9</v>
      </c>
      <c r="K51" s="45" t="s">
        <v>195</v>
      </c>
      <c r="L51" s="297">
        <f t="shared" si="5"/>
        <v>0</v>
      </c>
      <c r="O51" s="294" t="e">
        <f>'Unit Data from Audit Worksheet'!E59</f>
        <v>#N/A</v>
      </c>
      <c r="P51" s="194"/>
      <c r="X51" s="549">
        <v>9</v>
      </c>
      <c r="Y51" s="284">
        <v>9</v>
      </c>
      <c r="AA51" s="384">
        <f t="shared" si="0"/>
        <v>0</v>
      </c>
      <c r="AB51" s="284">
        <f t="shared" si="1"/>
        <v>0</v>
      </c>
    </row>
    <row r="52" spans="1:28" s="18" customFormat="1" ht="73.5" customHeight="1" x14ac:dyDescent="0.3">
      <c r="A52" s="210">
        <f>'Unit Data from Audit Worksheet'!A60</f>
        <v>540</v>
      </c>
      <c r="B52" s="223" t="str">
        <f>'Unit Data from Audit Worksheet'!C60</f>
        <v>General Fund - Budget Actual Statement</v>
      </c>
      <c r="C52" s="209" t="str">
        <f>'Unit Data from Audit Worksheet'!D60</f>
        <v>Amount of the General Fund Balance appropriated in next year's budget. As reported on the General Fund Balance Sheet.</v>
      </c>
      <c r="D52" s="134"/>
      <c r="E52" s="229">
        <f>'Unit Data from Audit Worksheet'!F60</f>
        <v>0</v>
      </c>
      <c r="F52" s="222">
        <f t="shared" si="6"/>
        <v>0</v>
      </c>
      <c r="G52" s="224"/>
      <c r="H52" s="221"/>
      <c r="I52" s="32"/>
      <c r="J52" s="220">
        <v>540</v>
      </c>
      <c r="K52" s="219" t="s">
        <v>253</v>
      </c>
      <c r="L52" s="287">
        <f t="shared" ref="L52:L79" si="7">IF(D52="",E52,D52)</f>
        <v>0</v>
      </c>
      <c r="M52"/>
      <c r="P52" s="194"/>
      <c r="Q52" s="277"/>
      <c r="R52" s="3"/>
      <c r="S52" s="3"/>
      <c r="T52" s="3"/>
      <c r="U52" s="3"/>
      <c r="V52" s="3"/>
      <c r="W52" s="3"/>
      <c r="X52" s="549">
        <v>540</v>
      </c>
      <c r="Y52" s="284">
        <v>540</v>
      </c>
      <c r="Z52" s="3"/>
      <c r="AA52" s="384">
        <f t="shared" si="0"/>
        <v>0</v>
      </c>
      <c r="AB52" s="284">
        <f t="shared" si="1"/>
        <v>0</v>
      </c>
    </row>
    <row r="53" spans="1:28" s="18" customFormat="1" ht="73.5" customHeight="1" x14ac:dyDescent="0.3">
      <c r="A53" s="210">
        <f>'Unit Data from Audit Worksheet'!A61</f>
        <v>1052</v>
      </c>
      <c r="B53" s="223" t="str">
        <f>'Unit Data from Audit Worksheet'!C61</f>
        <v>General Fund-Rev, Exp. Change in Fund Balance</v>
      </c>
      <c r="C53" s="209" t="str">
        <f>'Unit Data from Audit Worksheet'!D61</f>
        <v>Mark to Market unrealized losses in the General Fund. (enter as a negative number)</v>
      </c>
      <c r="D53" s="134"/>
      <c r="E53" s="229">
        <f>'Unit Data from Audit Worksheet'!F61</f>
        <v>0</v>
      </c>
      <c r="F53" s="222"/>
      <c r="G53" s="224"/>
      <c r="H53" s="221"/>
      <c r="I53" s="32"/>
      <c r="J53" s="220">
        <v>1052</v>
      </c>
      <c r="K53" s="219" t="s">
        <v>1534</v>
      </c>
      <c r="L53" s="293">
        <f t="shared" si="7"/>
        <v>0</v>
      </c>
      <c r="M53"/>
      <c r="P53" s="194"/>
      <c r="Q53" s="277"/>
      <c r="R53" s="384"/>
      <c r="S53" s="384"/>
      <c r="T53" s="384"/>
      <c r="U53" s="384"/>
      <c r="V53" s="384"/>
      <c r="W53" s="384"/>
      <c r="X53" s="549"/>
      <c r="Y53" s="284"/>
      <c r="Z53" s="384"/>
      <c r="AA53" s="384">
        <f t="shared" si="0"/>
        <v>0</v>
      </c>
      <c r="AB53" s="284"/>
    </row>
    <row r="54" spans="1:28" s="18" customFormat="1" ht="73.5" customHeight="1" x14ac:dyDescent="0.3">
      <c r="A54" s="210">
        <f>'Unit Data from Audit Worksheet'!A63</f>
        <v>984</v>
      </c>
      <c r="B54" s="223" t="str">
        <f>'Unit Data from Audit Worksheet'!C63</f>
        <v>General Fund - Budget Actual Statement</v>
      </c>
      <c r="C54" s="209" t="str">
        <f>'Unit Data from Audit Worksheet'!D63</f>
        <v>Amount of Ad valorem tax collected (including motor vehicle and prior years) reported on budget actual statement</v>
      </c>
      <c r="D54" s="134"/>
      <c r="E54" s="229">
        <f>'Unit Data from Audit Worksheet'!F63</f>
        <v>0</v>
      </c>
      <c r="F54" s="222"/>
      <c r="G54" s="224"/>
      <c r="H54" s="221"/>
      <c r="I54" s="32"/>
      <c r="J54" s="220">
        <v>984</v>
      </c>
      <c r="K54" s="219" t="s">
        <v>591</v>
      </c>
      <c r="L54" s="293">
        <f t="shared" si="7"/>
        <v>0</v>
      </c>
      <c r="M54"/>
      <c r="P54" s="194"/>
      <c r="Q54" s="277"/>
      <c r="R54" s="3"/>
      <c r="S54" s="3"/>
      <c r="T54" s="3"/>
      <c r="U54" s="3"/>
      <c r="V54" s="3"/>
      <c r="W54" s="3"/>
      <c r="X54" s="549">
        <v>984</v>
      </c>
      <c r="Y54" s="284">
        <v>984</v>
      </c>
      <c r="Z54" s="3"/>
      <c r="AA54" s="384">
        <f t="shared" si="0"/>
        <v>0</v>
      </c>
      <c r="AB54" s="284">
        <f t="shared" si="1"/>
        <v>0</v>
      </c>
    </row>
    <row r="55" spans="1:28" s="18" customFormat="1" ht="73.5" customHeight="1" x14ac:dyDescent="0.3">
      <c r="A55" s="210">
        <f>'Unit Data from Audit Worksheet'!A64</f>
        <v>985</v>
      </c>
      <c r="B55" s="223" t="str">
        <f>'Unit Data from Audit Worksheet'!C64</f>
        <v>General Fund - Budget Actual Statement</v>
      </c>
      <c r="C55" s="209" t="str">
        <f>'Unit Data from Audit Worksheet'!D64</f>
        <v>Amount of Ad valorem tax budgeted (including motor vehicle and prior years) reported on budget actual statement</v>
      </c>
      <c r="D55" s="134"/>
      <c r="E55" s="229">
        <f>'Unit Data from Audit Worksheet'!F64</f>
        <v>0</v>
      </c>
      <c r="F55" s="222"/>
      <c r="G55" s="224"/>
      <c r="H55" s="221"/>
      <c r="I55" s="32"/>
      <c r="J55" s="220">
        <v>985</v>
      </c>
      <c r="K55" s="219" t="s">
        <v>592</v>
      </c>
      <c r="L55" s="293">
        <f t="shared" si="7"/>
        <v>0</v>
      </c>
      <c r="M55"/>
      <c r="P55" s="195"/>
      <c r="Q55" s="277"/>
      <c r="R55" s="3"/>
      <c r="S55" s="3"/>
      <c r="T55" s="3"/>
      <c r="U55" s="3"/>
      <c r="V55" s="3"/>
      <c r="W55" s="3"/>
      <c r="X55" s="549">
        <v>985</v>
      </c>
      <c r="Y55" s="284">
        <v>985</v>
      </c>
      <c r="Z55" s="3"/>
      <c r="AA55" s="384">
        <f t="shared" si="0"/>
        <v>0</v>
      </c>
      <c r="AB55" s="284">
        <f t="shared" si="1"/>
        <v>0</v>
      </c>
    </row>
    <row r="56" spans="1:28" ht="73.5" customHeight="1" x14ac:dyDescent="0.3">
      <c r="A56" s="210">
        <f>'Unit Data from Audit Worksheet'!A65</f>
        <v>369</v>
      </c>
      <c r="B56" s="223" t="str">
        <f>'Unit Data from Audit Worksheet'!C65</f>
        <v>General Fund-Rev, Exp. Change in Fund Balance</v>
      </c>
      <c r="C56" s="209" t="str">
        <f>'Unit Data from Audit Worksheet'!D65</f>
        <v>Total Intergovernmental revenue 
Include restricted and unrestricted revenues</v>
      </c>
      <c r="D56" s="134"/>
      <c r="E56" s="229">
        <f>'Unit Data from Audit Worksheet'!F65</f>
        <v>0</v>
      </c>
      <c r="F56" s="222"/>
      <c r="G56" s="224"/>
      <c r="H56" s="221"/>
      <c r="I56" s="32"/>
      <c r="J56" s="220">
        <v>369</v>
      </c>
      <c r="K56" s="219" t="s">
        <v>196</v>
      </c>
      <c r="L56" s="287">
        <f t="shared" si="7"/>
        <v>0</v>
      </c>
      <c r="P56" s="203"/>
      <c r="X56" s="549">
        <v>369</v>
      </c>
      <c r="Y56" s="292">
        <v>369</v>
      </c>
      <c r="AA56" s="384">
        <f t="shared" si="0"/>
        <v>0</v>
      </c>
      <c r="AB56" s="284">
        <f t="shared" si="1"/>
        <v>0</v>
      </c>
    </row>
    <row r="57" spans="1:28" ht="73.5" customHeight="1" x14ac:dyDescent="0.3">
      <c r="A57" s="210">
        <f>'Unit Data from Audit Worksheet'!A66</f>
        <v>16</v>
      </c>
      <c r="B57" s="223" t="str">
        <f>'Unit Data from Audit Worksheet'!C66</f>
        <v>General Fund-Rev, Exp. Change in Fund Balance</v>
      </c>
      <c r="C57" s="209" t="str">
        <f>'Unit Data from Audit Worksheet'!D66</f>
        <v>Total revenues</v>
      </c>
      <c r="D57" s="134"/>
      <c r="E57" s="229">
        <f>'Unit Data from Audit Worksheet'!F66</f>
        <v>0</v>
      </c>
      <c r="F57" s="222"/>
      <c r="G57" s="224"/>
      <c r="H57" s="221"/>
      <c r="I57" s="32"/>
      <c r="J57" s="220">
        <v>16</v>
      </c>
      <c r="K57" s="219" t="s">
        <v>197</v>
      </c>
      <c r="L57" s="287">
        <f t="shared" si="7"/>
        <v>0</v>
      </c>
      <c r="P57" s="203"/>
      <c r="X57" s="549">
        <v>16</v>
      </c>
      <c r="Y57" s="292">
        <v>16</v>
      </c>
      <c r="AA57" s="384">
        <f t="shared" si="0"/>
        <v>0</v>
      </c>
      <c r="AB57" s="284">
        <f t="shared" si="1"/>
        <v>0</v>
      </c>
    </row>
    <row r="58" spans="1:28" ht="73.5" customHeight="1" x14ac:dyDescent="0.3">
      <c r="A58" s="210">
        <f>'Unit Data from Audit Worksheet'!A67</f>
        <v>370</v>
      </c>
      <c r="B58" s="223" t="str">
        <f>'Unit Data from Audit Worksheet'!C67</f>
        <v>General Fund-Rev, Exp. Change in Fund Balance</v>
      </c>
      <c r="C58" s="209" t="str">
        <f>'Unit Data from Audit Worksheet'!D67</f>
        <v>Debt service expenditures. 
Include principal, interest paid, and bond/debt issuance costs on long-term debt</v>
      </c>
      <c r="D58" s="134"/>
      <c r="E58" s="229">
        <f>'Unit Data from Audit Worksheet'!F67</f>
        <v>0</v>
      </c>
      <c r="F58" s="222">
        <f t="shared" ref="F58:F65" si="8">IF(L58&lt;0,"Error: Enter as a positive.",)</f>
        <v>0</v>
      </c>
      <c r="G58" s="224"/>
      <c r="H58" s="221"/>
      <c r="I58" s="32"/>
      <c r="J58" s="220">
        <v>370</v>
      </c>
      <c r="K58" s="219" t="s">
        <v>198</v>
      </c>
      <c r="L58" s="287">
        <f t="shared" si="7"/>
        <v>0</v>
      </c>
      <c r="P58" s="203"/>
      <c r="X58" s="549">
        <v>370</v>
      </c>
      <c r="Y58" s="284">
        <v>370</v>
      </c>
      <c r="AA58" s="384">
        <f t="shared" si="0"/>
        <v>0</v>
      </c>
      <c r="AB58" s="284">
        <f t="shared" si="1"/>
        <v>0</v>
      </c>
    </row>
    <row r="59" spans="1:28" ht="73.5" customHeight="1" x14ac:dyDescent="0.3">
      <c r="A59" s="210">
        <f>'Unit Data from Audit Worksheet'!A68</f>
        <v>532</v>
      </c>
      <c r="B59" s="223" t="str">
        <f>'Unit Data from Audit Worksheet'!C68</f>
        <v>General Fund-Rev, Exp. Change in Fund Balance</v>
      </c>
      <c r="C59" s="209" t="str">
        <f>'Unit Data from Audit Worksheet'!D68</f>
        <v xml:space="preserve">Total expenditures  
Exclude expenditures in the "other financing sources (uses)" section.
</v>
      </c>
      <c r="D59" s="134"/>
      <c r="E59" s="229">
        <f>'Unit Data from Audit Worksheet'!F68</f>
        <v>0</v>
      </c>
      <c r="F59" s="222">
        <f t="shared" si="8"/>
        <v>0</v>
      </c>
      <c r="G59" s="224"/>
      <c r="H59" s="221"/>
      <c r="I59" s="32"/>
      <c r="J59" s="220">
        <v>532</v>
      </c>
      <c r="K59" s="305" t="s">
        <v>199</v>
      </c>
      <c r="L59" s="287">
        <f t="shared" si="7"/>
        <v>0</v>
      </c>
      <c r="P59" s="203"/>
      <c r="X59" s="549">
        <v>532</v>
      </c>
      <c r="Y59" s="284">
        <v>532</v>
      </c>
      <c r="AA59" s="384">
        <f t="shared" si="0"/>
        <v>0</v>
      </c>
      <c r="AB59" s="284">
        <f t="shared" si="1"/>
        <v>0</v>
      </c>
    </row>
    <row r="60" spans="1:28" s="384" customFormat="1" ht="73.5" customHeight="1" x14ac:dyDescent="0.3">
      <c r="A60" s="210">
        <f>'Unit Data from Audit Worksheet'!A69</f>
        <v>1050</v>
      </c>
      <c r="B60" s="223" t="str">
        <f>'Unit Data from Audit Worksheet'!C69</f>
        <v>General Fund-Rev, Exp. Change in Fund Balance</v>
      </c>
      <c r="C60" s="209" t="str">
        <f>'Unit Data from Audit Worksheet'!D69</f>
        <v>Amount expended for Powell Bill expenditures in the General Fund</v>
      </c>
      <c r="D60" s="134"/>
      <c r="E60" s="229">
        <f>'Unit Data from Audit Worksheet'!F69</f>
        <v>0</v>
      </c>
      <c r="F60" s="222"/>
      <c r="G60" s="224"/>
      <c r="H60" s="221"/>
      <c r="I60" s="32"/>
      <c r="J60" s="220">
        <v>1050</v>
      </c>
      <c r="K60" s="209" t="s">
        <v>1437</v>
      </c>
      <c r="L60" s="293">
        <f t="shared" si="7"/>
        <v>0</v>
      </c>
      <c r="M60"/>
      <c r="P60" s="203"/>
      <c r="Q60" s="277"/>
      <c r="X60" s="549"/>
      <c r="Y60" s="284"/>
      <c r="AA60" s="384">
        <f t="shared" si="0"/>
        <v>0</v>
      </c>
      <c r="AB60" s="284"/>
    </row>
    <row r="61" spans="1:28" ht="73.5" customHeight="1" x14ac:dyDescent="0.3">
      <c r="A61" s="210">
        <f>'Unit Data from Audit Worksheet'!A70</f>
        <v>17</v>
      </c>
      <c r="B61" s="223" t="str">
        <f>'Unit Data from Audit Worksheet'!C70</f>
        <v>General Fund-Rev, Exp. Change in Fund Balance</v>
      </c>
      <c r="C61" s="209" t="str">
        <f>'Unit Data from Audit Worksheet'!D70</f>
        <v>Total Transfers in    (Preference is that transfers-in  are not netted against transfers-out)</v>
      </c>
      <c r="D61" s="134"/>
      <c r="E61" s="229">
        <f>'Unit Data from Audit Worksheet'!F70</f>
        <v>0</v>
      </c>
      <c r="F61" s="222">
        <f t="shared" si="8"/>
        <v>0</v>
      </c>
      <c r="G61" s="224"/>
      <c r="H61" s="221"/>
      <c r="I61" s="32"/>
      <c r="J61" s="220">
        <v>17</v>
      </c>
      <c r="K61" s="219" t="s">
        <v>200</v>
      </c>
      <c r="L61" s="287">
        <f t="shared" si="7"/>
        <v>0</v>
      </c>
      <c r="P61" s="203"/>
      <c r="X61" s="549">
        <v>17</v>
      </c>
      <c r="Y61" s="284">
        <v>17</v>
      </c>
      <c r="AA61" s="384">
        <f t="shared" si="0"/>
        <v>0</v>
      </c>
      <c r="AB61" s="284">
        <f t="shared" si="1"/>
        <v>0</v>
      </c>
    </row>
    <row r="62" spans="1:28" ht="54.75" customHeight="1" x14ac:dyDescent="0.3">
      <c r="A62" s="210">
        <f>'Unit Data from Audit Worksheet'!A71</f>
        <v>20</v>
      </c>
      <c r="B62" s="223" t="str">
        <f>'Unit Data from Audit Worksheet'!C71</f>
        <v>General Fund-Rev, Exp. Change in Fund Balance</v>
      </c>
      <c r="C62" s="209" t="str">
        <f>'Unit Data from Audit Worksheet'!D71</f>
        <v>Total Transfers out    (Preference is that transfers-in  are not netted against transfers-out)</v>
      </c>
      <c r="D62" s="134"/>
      <c r="E62" s="229">
        <f>'Unit Data from Audit Worksheet'!F71</f>
        <v>0</v>
      </c>
      <c r="F62" s="222">
        <f t="shared" si="8"/>
        <v>0</v>
      </c>
      <c r="G62" s="224"/>
      <c r="H62" s="221"/>
      <c r="I62" s="32"/>
      <c r="J62" s="220">
        <v>20</v>
      </c>
      <c r="K62" s="219" t="s">
        <v>201</v>
      </c>
      <c r="L62" s="287">
        <f t="shared" si="7"/>
        <v>0</v>
      </c>
      <c r="P62" s="203"/>
      <c r="X62" s="549">
        <v>20</v>
      </c>
      <c r="Y62" s="284">
        <v>20</v>
      </c>
      <c r="AA62" s="384">
        <f t="shared" si="0"/>
        <v>0</v>
      </c>
      <c r="AB62" s="284">
        <f t="shared" si="1"/>
        <v>0</v>
      </c>
    </row>
    <row r="63" spans="1:28" ht="54.75" customHeight="1" x14ac:dyDescent="0.3">
      <c r="A63" s="210">
        <f>'Unit Data from Audit Worksheet'!A72</f>
        <v>533</v>
      </c>
      <c r="B63" s="223" t="str">
        <f>'Unit Data from Audit Worksheet'!C72</f>
        <v>General Fund-Rev, Exp. Change in Fund Balance</v>
      </c>
      <c r="C63" s="209" t="str">
        <f>'Unit Data from Audit Worksheet'!D72</f>
        <v>Total Proceeds from all long-term debt issuances 
Exclude proceeds from refundings</v>
      </c>
      <c r="D63" s="134"/>
      <c r="E63" s="229">
        <f>'Unit Data from Audit Worksheet'!F72</f>
        <v>0</v>
      </c>
      <c r="F63" s="222">
        <f t="shared" si="8"/>
        <v>0</v>
      </c>
      <c r="G63" s="224"/>
      <c r="H63" s="221"/>
      <c r="I63" s="32"/>
      <c r="J63" s="220">
        <v>533</v>
      </c>
      <c r="K63" s="305" t="s">
        <v>202</v>
      </c>
      <c r="L63" s="287">
        <f t="shared" si="7"/>
        <v>0</v>
      </c>
      <c r="P63" s="203"/>
      <c r="X63" s="549">
        <v>533</v>
      </c>
      <c r="Y63" s="284">
        <v>533</v>
      </c>
      <c r="AA63" s="384">
        <f t="shared" si="0"/>
        <v>0</v>
      </c>
      <c r="AB63" s="284">
        <f t="shared" si="1"/>
        <v>0</v>
      </c>
    </row>
    <row r="64" spans="1:28" ht="54.75" customHeight="1" x14ac:dyDescent="0.3">
      <c r="A64" s="210">
        <f>'Unit Data from Audit Worksheet'!A73</f>
        <v>508</v>
      </c>
      <c r="B64" s="223" t="str">
        <f>'Unit Data from Audit Worksheet'!C73</f>
        <v>General Fund-Rev, Exp. Change in Fund Balance</v>
      </c>
      <c r="C64" s="209" t="str">
        <f>'Unit Data from Audit Worksheet'!D73</f>
        <v>Debt Refunding - Net refunding proceeds against debt payoff and if positive place results on this line.</v>
      </c>
      <c r="D64" s="134"/>
      <c r="E64" s="229">
        <f>'Unit Data from Audit Worksheet'!F73</f>
        <v>0</v>
      </c>
      <c r="F64" s="222">
        <f t="shared" si="8"/>
        <v>0</v>
      </c>
      <c r="G64" s="224"/>
      <c r="H64" s="221"/>
      <c r="I64" s="32"/>
      <c r="J64" s="220">
        <v>508</v>
      </c>
      <c r="K64" s="219" t="s">
        <v>204</v>
      </c>
      <c r="L64" s="287">
        <f t="shared" si="7"/>
        <v>0</v>
      </c>
      <c r="N64" s="571"/>
      <c r="P64" s="196"/>
      <c r="X64" s="549">
        <v>508</v>
      </c>
      <c r="Y64" s="284">
        <v>508</v>
      </c>
      <c r="AA64" s="384">
        <f t="shared" si="0"/>
        <v>0</v>
      </c>
      <c r="AB64" s="284">
        <f t="shared" si="1"/>
        <v>0</v>
      </c>
    </row>
    <row r="65" spans="1:28" ht="54.75" customHeight="1" x14ac:dyDescent="0.3">
      <c r="A65" s="210">
        <f>'Unit Data from Audit Worksheet'!A74</f>
        <v>509</v>
      </c>
      <c r="B65" s="223" t="str">
        <f>'Unit Data from Audit Worksheet'!C74</f>
        <v>General Fund-Rev, Exp. Change in Fund Balance</v>
      </c>
      <c r="C65" s="209" t="str">
        <f>'Unit Data from Audit Worksheet'!D74</f>
        <v>Debt Refunding - Net refunding proceeds against debt payoff and if negative place results on this line.</v>
      </c>
      <c r="D65" s="134"/>
      <c r="E65" s="229">
        <f>'Unit Data from Audit Worksheet'!F74</f>
        <v>0</v>
      </c>
      <c r="F65" s="222">
        <f t="shared" si="8"/>
        <v>0</v>
      </c>
      <c r="G65" s="224"/>
      <c r="H65" s="221"/>
      <c r="I65" s="32"/>
      <c r="J65" s="220">
        <v>509</v>
      </c>
      <c r="K65" s="219" t="s">
        <v>205</v>
      </c>
      <c r="L65" s="287">
        <f>IF(D65="",E65,D65)</f>
        <v>0</v>
      </c>
      <c r="N65" s="572"/>
      <c r="P65" s="203"/>
      <c r="Q65" s="291"/>
      <c r="S65" s="290"/>
      <c r="T65" s="290"/>
      <c r="U65" s="290"/>
      <c r="V65" s="290"/>
      <c r="W65" s="18"/>
      <c r="X65" s="549">
        <v>509</v>
      </c>
      <c r="Y65" s="284">
        <v>509</v>
      </c>
      <c r="Z65" s="18"/>
      <c r="AA65" s="384">
        <f t="shared" si="0"/>
        <v>0</v>
      </c>
      <c r="AB65" s="284">
        <f t="shared" si="1"/>
        <v>0</v>
      </c>
    </row>
    <row r="66" spans="1:28" ht="84.75" customHeight="1" x14ac:dyDescent="0.3">
      <c r="A66" s="210">
        <f>'Unit Data from Audit Worksheet'!A75</f>
        <v>22</v>
      </c>
      <c r="B66" s="223" t="str">
        <f>'Unit Data from Audit Worksheet'!C75</f>
        <v>General Fund-Rev, Exp. Change in Fund Balance</v>
      </c>
      <c r="C66" s="209" t="str">
        <f>'Unit Data from Audit Worksheet'!D75</f>
        <v xml:space="preserve">All other items on this statement that were not included in total revenues, total expenditures, transfers in or out, or proceeds from long-term debt above.  </v>
      </c>
      <c r="D66" s="134"/>
      <c r="E66" s="229">
        <f>'Unit Data from Audit Worksheet'!F75</f>
        <v>0</v>
      </c>
      <c r="F66" s="222"/>
      <c r="G66" s="224"/>
      <c r="H66" s="221"/>
      <c r="I66" s="32"/>
      <c r="J66" s="220">
        <v>22</v>
      </c>
      <c r="K66" s="219" t="s">
        <v>203</v>
      </c>
      <c r="L66" s="287">
        <f t="shared" si="7"/>
        <v>0</v>
      </c>
      <c r="N66" s="572"/>
      <c r="P66" s="193"/>
      <c r="Q66" s="308"/>
      <c r="S66" s="307"/>
      <c r="T66" s="307"/>
      <c r="U66" s="307"/>
      <c r="V66" s="307"/>
      <c r="W66" s="307"/>
      <c r="X66" s="549">
        <v>22</v>
      </c>
      <c r="Y66" s="284">
        <v>22</v>
      </c>
      <c r="Z66" s="18"/>
      <c r="AA66" s="384">
        <f t="shared" si="0"/>
        <v>0</v>
      </c>
      <c r="AB66" s="284">
        <f t="shared" si="1"/>
        <v>0</v>
      </c>
    </row>
    <row r="67" spans="1:28" ht="74.25" customHeight="1" x14ac:dyDescent="0.3">
      <c r="A67" s="210">
        <f>'Unit Data from Audit Worksheet'!A76</f>
        <v>23</v>
      </c>
      <c r="B67" s="223" t="str">
        <f>'Unit Data from Audit Worksheet'!C76</f>
        <v>General Fund-Rev, Exp. Change in Fund Balance</v>
      </c>
      <c r="C67" s="209" t="str">
        <f>'Unit Data from Audit Worksheet'!D76</f>
        <v>Change in fund balance - (Increase in Fund balance is recorded as a positive and a decrease in fund balance is recorded as a negative)</v>
      </c>
      <c r="D67" s="134"/>
      <c r="E67" s="229">
        <f>'Unit Data from Audit Worksheet'!F76</f>
        <v>0</v>
      </c>
      <c r="F67" s="222">
        <f>IF(+L57-L59+L61-L62+L63+L64-L65+L66-L67=0,,"Error:Total revenues less toal Expenditures do not equal change in fund balance")</f>
        <v>0</v>
      </c>
      <c r="G67" s="84">
        <f>+L57-L59+L61-L62+L63+L66+L64-L65-L67</f>
        <v>0</v>
      </c>
      <c r="H67" s="221"/>
      <c r="I67" s="32"/>
      <c r="J67" s="220">
        <v>23</v>
      </c>
      <c r="K67" s="219" t="s">
        <v>206</v>
      </c>
      <c r="L67" s="287">
        <f t="shared" si="7"/>
        <v>0</v>
      </c>
      <c r="P67" s="193"/>
      <c r="X67" s="549">
        <v>23</v>
      </c>
      <c r="Y67" s="284">
        <v>23</v>
      </c>
      <c r="AA67" s="384">
        <f t="shared" si="0"/>
        <v>0</v>
      </c>
      <c r="AB67" s="284">
        <f t="shared" si="1"/>
        <v>0</v>
      </c>
    </row>
    <row r="68" spans="1:28" ht="123" customHeight="1" x14ac:dyDescent="0.3">
      <c r="A68" s="298">
        <f>'Unit Data from Audit Worksheet'!A78</f>
        <v>507</v>
      </c>
      <c r="B68" s="109" t="str">
        <f>'Unit Data from Audit Worksheet'!C78</f>
        <v>General Fund-Rev, Exp. Change in Fund Balance</v>
      </c>
      <c r="C68" s="204" t="str">
        <f>'Unit Data from Audit Worksheet'!D78</f>
        <v>Any adjustment to beginning fund balance including rounding, prior period adjustments and restatements.   (Amounts that increase fund balance are recorded as positive and amounts that decrease fund balance are recorded as negative)</v>
      </c>
      <c r="D68" s="102"/>
      <c r="E68" s="145">
        <f>'Unit Data from Audit Worksheet'!F78</f>
        <v>0</v>
      </c>
      <c r="F68" s="103" t="e">
        <f>IF(+L51-L67-L68=O51,,"Error: Beginning Fund Bal does not equal our records Accts 9-23-507= PY9")</f>
        <v>#N/A</v>
      </c>
      <c r="G68" s="114" t="e">
        <f>L51-L67-L68-O51</f>
        <v>#N/A</v>
      </c>
      <c r="H68" s="105" t="e">
        <f>'Unit Data from Audit Worksheet'!I78</f>
        <v>#N/A</v>
      </c>
      <c r="I68" s="32"/>
      <c r="J68" s="97">
        <v>507</v>
      </c>
      <c r="K68" s="38" t="s">
        <v>207</v>
      </c>
      <c r="L68" s="287">
        <f t="shared" si="7"/>
        <v>0</v>
      </c>
      <c r="N68" s="295"/>
      <c r="O68" s="294"/>
      <c r="P68" s="193"/>
      <c r="R68" s="384"/>
      <c r="S68" s="384"/>
      <c r="T68" s="384"/>
      <c r="U68" s="384"/>
      <c r="V68" s="384"/>
      <c r="W68" s="307"/>
      <c r="X68" s="549">
        <v>507</v>
      </c>
      <c r="Y68" s="284">
        <v>507</v>
      </c>
      <c r="Z68" s="384"/>
      <c r="AA68" s="384">
        <f t="shared" si="0"/>
        <v>0</v>
      </c>
      <c r="AB68" s="284">
        <f t="shared" si="1"/>
        <v>0</v>
      </c>
    </row>
    <row r="69" spans="1:28" s="18" customFormat="1" ht="40.5" customHeight="1" x14ac:dyDescent="0.3">
      <c r="A69" s="188">
        <f>'Unit Data from Audit Worksheet'!A79</f>
        <v>647</v>
      </c>
      <c r="B69" s="233" t="str">
        <f>'Unit Data from Audit Worksheet'!C79</f>
        <v>Debt Service Fund</v>
      </c>
      <c r="C69" s="188" t="str">
        <f>'Unit Data from Audit Worksheet'!D79</f>
        <v>Please enter the Total Fund Balance for any Debt Service Funds from the Budgeted to Actual statement</v>
      </c>
      <c r="D69" s="108"/>
      <c r="E69" s="232">
        <f>'Unit Data from Audit Worksheet'!F79</f>
        <v>0</v>
      </c>
      <c r="F69" s="217"/>
      <c r="G69" s="213"/>
      <c r="H69" s="217"/>
      <c r="I69" s="299"/>
      <c r="J69" s="216">
        <v>647</v>
      </c>
      <c r="K69" s="191" t="s">
        <v>792</v>
      </c>
      <c r="L69" s="300">
        <f>IF(D69="",E69,D69)</f>
        <v>0</v>
      </c>
      <c r="M69"/>
      <c r="N69" s="290"/>
      <c r="O69" s="306"/>
      <c r="P69" s="193"/>
      <c r="Q69" s="277"/>
      <c r="R69" s="3"/>
      <c r="S69" s="3"/>
      <c r="T69" s="3"/>
      <c r="U69" s="3"/>
      <c r="V69" s="3"/>
      <c r="W69" s="3"/>
      <c r="X69" s="549">
        <v>647</v>
      </c>
      <c r="Y69" s="284">
        <v>647</v>
      </c>
      <c r="Z69" s="3"/>
      <c r="AA69" s="384">
        <f t="shared" si="0"/>
        <v>0</v>
      </c>
      <c r="AB69" s="284">
        <f t="shared" si="1"/>
        <v>0</v>
      </c>
    </row>
    <row r="70" spans="1:28" ht="60" customHeight="1" x14ac:dyDescent="0.3">
      <c r="A70" s="285">
        <f>'Unit Data from Audit Worksheet'!A81</f>
        <v>171</v>
      </c>
      <c r="B70" s="48" t="str">
        <f>'Unit Data from Audit Worksheet'!C81</f>
        <v>Fund Statements - all Governmental Funds</v>
      </c>
      <c r="C70" s="286" t="str">
        <f>'Unit Data from Audit Worksheet'!D81</f>
        <v>Debt service expenditures from all governmental funds.  Include principal, interest paid, and debt issuance costs on long-term debt.</v>
      </c>
      <c r="D70" s="228"/>
      <c r="E70" s="142">
        <f>'Unit Data from Audit Worksheet'!F81</f>
        <v>0</v>
      </c>
      <c r="F70" s="41">
        <f>IF(L70&lt;0,"Error: Enter as a positive.",)</f>
        <v>0</v>
      </c>
      <c r="G70" s="65"/>
      <c r="H70" s="221"/>
      <c r="I70" s="32"/>
      <c r="J70" s="36">
        <v>171</v>
      </c>
      <c r="K70" s="45" t="s">
        <v>208</v>
      </c>
      <c r="L70" s="287">
        <f t="shared" si="7"/>
        <v>0</v>
      </c>
      <c r="P70" s="193"/>
      <c r="X70" s="549">
        <v>171</v>
      </c>
      <c r="Y70" s="284">
        <v>171</v>
      </c>
      <c r="AA70" s="384">
        <f t="shared" si="0"/>
        <v>0</v>
      </c>
      <c r="AB70" s="284">
        <f t="shared" si="1"/>
        <v>0</v>
      </c>
    </row>
    <row r="71" spans="1:28" ht="69" customHeight="1" x14ac:dyDescent="0.3">
      <c r="A71" s="210">
        <f>'Unit Data from Audit Worksheet'!A85</f>
        <v>596</v>
      </c>
      <c r="B71" s="223"/>
      <c r="C71" s="209" t="str">
        <f>'Unit Data from Audit Worksheet'!D85</f>
        <v>Indicate if your water/sewer system:
50 - Became Operational
51 - Ceased Operations
52 - No Change
Select from drop down.</v>
      </c>
      <c r="D71" s="134"/>
      <c r="E71" s="229">
        <f>'Unit Data from Audit Worksheet'!F85</f>
        <v>0</v>
      </c>
      <c r="F71" s="222"/>
      <c r="G71" s="222" t="str">
        <f>'Unit Data from Audit Worksheet'!G85</f>
        <v>Please do not answer this question unless the unit has a  water and/or sewer fund</v>
      </c>
      <c r="H71" s="221"/>
      <c r="I71" s="32"/>
      <c r="J71" s="220">
        <v>596</v>
      </c>
      <c r="K71" s="219" t="s">
        <v>333</v>
      </c>
      <c r="L71" s="287">
        <f t="shared" si="7"/>
        <v>0</v>
      </c>
      <c r="P71" s="194"/>
      <c r="X71" s="549">
        <v>596</v>
      </c>
      <c r="Y71" s="284">
        <v>596</v>
      </c>
      <c r="AA71" s="384">
        <f t="shared" si="0"/>
        <v>0</v>
      </c>
      <c r="AB71" s="284">
        <f t="shared" si="1"/>
        <v>0</v>
      </c>
    </row>
    <row r="72" spans="1:28" ht="82.2" customHeight="1" x14ac:dyDescent="0.3">
      <c r="A72" s="210">
        <f>'Unit Data from Audit Worksheet'!A86</f>
        <v>80</v>
      </c>
      <c r="B72" s="223" t="str">
        <f>'Unit Data from Audit Worksheet'!C86</f>
        <v>Water Sewer Net Position Statement</v>
      </c>
      <c r="C72" s="209" t="str">
        <f>'Unit Data from Audit Worksheet'!D86</f>
        <v>Unrestricted Cash and investments 
Exclude restricted cash and/or restricted investments.</v>
      </c>
      <c r="D72" s="134"/>
      <c r="E72" s="229">
        <f>'Unit Data from Audit Worksheet'!F86</f>
        <v>0</v>
      </c>
      <c r="F72" s="222">
        <f>IF(L72&lt;0,"Error: Number is normally positive.",)</f>
        <v>0</v>
      </c>
      <c r="G72" s="222" t="e">
        <f>'Unit Data from Audit Worksheet'!G86</f>
        <v>#N/A</v>
      </c>
      <c r="H72" s="221"/>
      <c r="I72" s="32"/>
      <c r="J72" s="220">
        <v>80</v>
      </c>
      <c r="K72" s="219" t="s">
        <v>209</v>
      </c>
      <c r="L72" s="287">
        <f t="shared" si="7"/>
        <v>0</v>
      </c>
      <c r="P72" s="194"/>
      <c r="X72" s="549">
        <v>80</v>
      </c>
      <c r="Y72" s="284">
        <v>80</v>
      </c>
      <c r="AA72" s="384">
        <f t="shared" ref="AA72:AA137" si="9">A72-J72</f>
        <v>0</v>
      </c>
      <c r="AB72" s="284">
        <f t="shared" ref="AB72:AB137" si="10">E72-L72</f>
        <v>0</v>
      </c>
    </row>
    <row r="73" spans="1:28" ht="43.2" x14ac:dyDescent="0.3">
      <c r="A73" s="210">
        <f>'Unit Data from Audit Worksheet'!A87</f>
        <v>81</v>
      </c>
      <c r="B73" s="223" t="str">
        <f>'Unit Data from Audit Worksheet'!C87</f>
        <v>Water Sewer Net Position Statement</v>
      </c>
      <c r="C73" s="209" t="str">
        <f>'Unit Data from Audit Worksheet'!D87</f>
        <v>Customer accounts receivable (net of allowance accounts). 
Include both billed and unbilled amounts.</v>
      </c>
      <c r="D73" s="134"/>
      <c r="E73" s="229">
        <f>'Unit Data from Audit Worksheet'!F87</f>
        <v>0</v>
      </c>
      <c r="F73" s="222">
        <f>IF(L73&lt;0,"Error: Number is normally positive.",)</f>
        <v>0</v>
      </c>
      <c r="G73" s="224"/>
      <c r="H73" s="221"/>
      <c r="I73" s="32"/>
      <c r="J73" s="220">
        <v>81</v>
      </c>
      <c r="K73" s="219" t="s">
        <v>210</v>
      </c>
      <c r="L73" s="287">
        <f t="shared" si="7"/>
        <v>0</v>
      </c>
      <c r="P73" s="194"/>
      <c r="X73" s="549">
        <v>81</v>
      </c>
      <c r="Y73" s="284">
        <v>81</v>
      </c>
      <c r="AA73" s="384">
        <f t="shared" si="9"/>
        <v>0</v>
      </c>
      <c r="AB73" s="284">
        <f t="shared" si="10"/>
        <v>0</v>
      </c>
    </row>
    <row r="74" spans="1:28" ht="68.25" customHeight="1" x14ac:dyDescent="0.3">
      <c r="A74" s="210">
        <f>'Unit Data from Audit Worksheet'!A88</f>
        <v>579</v>
      </c>
      <c r="B74" s="223" t="str">
        <f>'Unit Data from Audit Worksheet'!C88</f>
        <v>Water Sewer Net Position Statement</v>
      </c>
      <c r="C74" s="209" t="str">
        <f>'Unit Data from Audit Worksheet'!D88</f>
        <v>Water Sewer - Advance To:
Interfund loan receivable-portion of repayment plan longer than 12 months</v>
      </c>
      <c r="D74" s="134"/>
      <c r="E74" s="229">
        <f>'Unit Data from Audit Worksheet'!F88</f>
        <v>0</v>
      </c>
      <c r="F74" s="222"/>
      <c r="G74" s="224"/>
      <c r="H74" s="221"/>
      <c r="I74" s="32"/>
      <c r="J74" s="220">
        <v>579</v>
      </c>
      <c r="K74" s="219" t="s">
        <v>314</v>
      </c>
      <c r="L74" s="287">
        <f t="shared" si="7"/>
        <v>0</v>
      </c>
      <c r="N74" s="309"/>
      <c r="P74" s="194"/>
      <c r="X74" s="549">
        <v>579</v>
      </c>
      <c r="Y74" s="284">
        <v>579</v>
      </c>
      <c r="AA74" s="384">
        <f t="shared" si="9"/>
        <v>0</v>
      </c>
      <c r="AB74" s="284">
        <f t="shared" si="10"/>
        <v>0</v>
      </c>
    </row>
    <row r="75" spans="1:28" ht="47.25" customHeight="1" x14ac:dyDescent="0.3">
      <c r="A75" s="210">
        <f>'Unit Data from Audit Worksheet'!A89</f>
        <v>510</v>
      </c>
      <c r="B75" s="223" t="str">
        <f>'Unit Data from Audit Worksheet'!C89</f>
        <v>Water Sewer Net Position Statement</v>
      </c>
      <c r="C75" s="209" t="str">
        <f>'Unit Data from Audit Worksheet'!D89</f>
        <v>Amount of Inventories and Prepaid expenses in current assets</v>
      </c>
      <c r="D75" s="134"/>
      <c r="E75" s="229">
        <f>'Unit Data from Audit Worksheet'!F89</f>
        <v>0</v>
      </c>
      <c r="F75" s="222"/>
      <c r="G75" s="224"/>
      <c r="H75" s="221"/>
      <c r="I75" s="32"/>
      <c r="J75" s="220">
        <v>510</v>
      </c>
      <c r="K75" s="219" t="s">
        <v>211</v>
      </c>
      <c r="L75" s="287">
        <f t="shared" si="7"/>
        <v>0</v>
      </c>
      <c r="P75" s="194"/>
      <c r="X75" s="549">
        <v>510</v>
      </c>
      <c r="Y75" s="284">
        <v>510</v>
      </c>
      <c r="AA75" s="384">
        <f t="shared" si="9"/>
        <v>0</v>
      </c>
      <c r="AB75" s="284">
        <f t="shared" si="10"/>
        <v>0</v>
      </c>
    </row>
    <row r="76" spans="1:28" ht="43.2" x14ac:dyDescent="0.3">
      <c r="A76" s="210">
        <f>'Unit Data from Audit Worksheet'!A90</f>
        <v>654</v>
      </c>
      <c r="B76" s="223" t="str">
        <f>'Unit Data from Audit Worksheet'!C90</f>
        <v>Water Sewer Net Position Statement</v>
      </c>
      <c r="C76" s="209" t="str">
        <f>'Unit Data from Audit Worksheet'!D90</f>
        <v xml:space="preserve">Total Current assets as listed on the WS Net Position Statement.  
</v>
      </c>
      <c r="D76" s="134"/>
      <c r="E76" s="229">
        <f>'Unit Data from Audit Worksheet'!F90</f>
        <v>0</v>
      </c>
      <c r="F76" s="222">
        <f>IF((+L72+L73+L75)&gt;L76,"Please review components of current assets above Acct. (80+81+510&gt;654",)</f>
        <v>0</v>
      </c>
      <c r="G76" s="224"/>
      <c r="H76" s="221"/>
      <c r="I76" s="32"/>
      <c r="J76" s="220">
        <v>654</v>
      </c>
      <c r="K76" s="226" t="s">
        <v>413</v>
      </c>
      <c r="L76" s="287">
        <f t="shared" si="7"/>
        <v>0</v>
      </c>
      <c r="P76" s="194"/>
      <c r="X76" s="549">
        <v>654</v>
      </c>
      <c r="Y76" s="284">
        <v>654</v>
      </c>
      <c r="AA76" s="384">
        <f t="shared" si="9"/>
        <v>0</v>
      </c>
      <c r="AB76" s="284">
        <f t="shared" si="10"/>
        <v>0</v>
      </c>
    </row>
    <row r="77" spans="1:28" ht="43.2" x14ac:dyDescent="0.3">
      <c r="A77" s="210">
        <f>'Unit Data from Audit Worksheet'!A91</f>
        <v>655</v>
      </c>
      <c r="B77" s="223" t="str">
        <f>'Unit Data from Audit Worksheet'!C91</f>
        <v>Water Sewer Net Position Statement</v>
      </c>
      <c r="C77" s="209" t="str">
        <f>'Unit Data from Audit Worksheet'!D91</f>
        <v>WS-Any current assets that are restricted (Cash, Accounts Rec., etc..) and included in account 654 above</v>
      </c>
      <c r="D77" s="134"/>
      <c r="E77" s="229">
        <f>'Unit Data from Audit Worksheet'!F91</f>
        <v>0</v>
      </c>
      <c r="F77" s="222"/>
      <c r="G77" s="224"/>
      <c r="H77" s="221"/>
      <c r="I77" s="32"/>
      <c r="J77" s="220">
        <v>655</v>
      </c>
      <c r="K77" s="226" t="s">
        <v>445</v>
      </c>
      <c r="L77" s="287">
        <f t="shared" si="7"/>
        <v>0</v>
      </c>
      <c r="P77" s="194"/>
      <c r="X77" s="549">
        <v>655</v>
      </c>
      <c r="Y77" s="284">
        <v>655</v>
      </c>
      <c r="AA77" s="384">
        <f t="shared" si="9"/>
        <v>0</v>
      </c>
      <c r="AB77" s="284">
        <f t="shared" si="10"/>
        <v>0</v>
      </c>
    </row>
    <row r="78" spans="1:28" ht="42.75" customHeight="1" x14ac:dyDescent="0.3">
      <c r="A78" s="210">
        <f>'Unit Data from Audit Worksheet'!A92</f>
        <v>381</v>
      </c>
      <c r="B78" s="223" t="str">
        <f>'Unit Data from Audit Worksheet'!C92</f>
        <v>Water Sewer Net Position Statement</v>
      </c>
      <c r="C78" s="209" t="str">
        <f>'Unit Data from Audit Worksheet'!D92</f>
        <v>Total Assets and deferred outflows</v>
      </c>
      <c r="D78" s="134"/>
      <c r="E78" s="229">
        <f>'Unit Data from Audit Worksheet'!F92</f>
        <v>0</v>
      </c>
      <c r="F78" s="222" t="str">
        <f>IF(L78&lt;L76,"Please review components of current assets above acct. 381&lt;654"," ")</f>
        <v xml:space="preserve"> </v>
      </c>
      <c r="G78" s="224"/>
      <c r="H78" s="221"/>
      <c r="I78" s="32"/>
      <c r="J78" s="220">
        <v>381</v>
      </c>
      <c r="K78" s="219" t="s">
        <v>105</v>
      </c>
      <c r="L78" s="287">
        <f t="shared" si="7"/>
        <v>0</v>
      </c>
      <c r="P78" s="194"/>
      <c r="X78" s="549">
        <v>381</v>
      </c>
      <c r="Y78" s="284">
        <v>381</v>
      </c>
      <c r="AA78" s="384">
        <f t="shared" si="9"/>
        <v>0</v>
      </c>
      <c r="AB78" s="284">
        <f t="shared" si="10"/>
        <v>0</v>
      </c>
    </row>
    <row r="79" spans="1:28" ht="60.75" customHeight="1" x14ac:dyDescent="0.3">
      <c r="A79" s="298">
        <f>'Unit Data from Audit Worksheet'!A93</f>
        <v>578</v>
      </c>
      <c r="B79" s="109" t="str">
        <f>'Unit Data from Audit Worksheet'!C93</f>
        <v>Water Sewer Net Position Statement</v>
      </c>
      <c r="C79" s="289" t="str">
        <f>'Unit Data from Audit Worksheet'!D93</f>
        <v>Water Sewer - Advance From: 
Interfund loan Payable-portion of repayment plan longer than 12 months</v>
      </c>
      <c r="D79" s="102"/>
      <c r="E79" s="145">
        <f>'Unit Data from Audit Worksheet'!F93</f>
        <v>0</v>
      </c>
      <c r="F79" s="103"/>
      <c r="G79" s="104"/>
      <c r="H79" s="105"/>
      <c r="I79" s="32"/>
      <c r="J79" s="97">
        <v>578</v>
      </c>
      <c r="K79" s="38" t="s">
        <v>315</v>
      </c>
      <c r="L79" s="287">
        <f t="shared" si="7"/>
        <v>0</v>
      </c>
      <c r="P79" s="194"/>
      <c r="X79" s="549">
        <v>578</v>
      </c>
      <c r="Y79" s="284">
        <v>578</v>
      </c>
      <c r="AA79" s="384">
        <f t="shared" si="9"/>
        <v>0</v>
      </c>
      <c r="AB79" s="284">
        <f t="shared" si="10"/>
        <v>0</v>
      </c>
    </row>
    <row r="80" spans="1:28" s="18" customFormat="1" ht="169.95" customHeight="1" x14ac:dyDescent="0.3">
      <c r="A80" s="188">
        <v>633</v>
      </c>
      <c r="B80" s="233" t="str">
        <f>'Unit Data from Audit Worksheet'!C94</f>
        <v>Water Sewer Net Position Statement</v>
      </c>
      <c r="C80" s="188" t="str">
        <f>'Unit Data from Audit Worksheet'!D94</f>
        <v>Current liabilities (as reported on the Statement of Fund Net Position)
Include:   Current liabilities including current portion of long-term debt.  Deferred inflows should not be included in Current Liabilities  
Enter as positive</v>
      </c>
      <c r="D80" s="102"/>
      <c r="E80" s="661">
        <f>'Unit Data from Audit Worksheet'!F94</f>
        <v>0</v>
      </c>
      <c r="F80"/>
      <c r="G80"/>
      <c r="H80"/>
      <c r="I80" s="658"/>
      <c r="J80" s="216">
        <v>633</v>
      </c>
      <c r="K80" s="191" t="s">
        <v>371</v>
      </c>
      <c r="L80" s="300">
        <f>IF(D80="",E80,D80)</f>
        <v>0</v>
      </c>
      <c r="M80"/>
      <c r="N80" s="290"/>
      <c r="O80" s="290"/>
      <c r="P80" s="194"/>
      <c r="Q80" s="277"/>
      <c r="R80" s="3"/>
      <c r="X80" s="549">
        <v>633</v>
      </c>
      <c r="Y80" s="284">
        <v>633</v>
      </c>
      <c r="AA80" s="384">
        <f t="shared" si="9"/>
        <v>0</v>
      </c>
      <c r="AB80" s="284">
        <f t="shared" si="10"/>
        <v>0</v>
      </c>
    </row>
    <row r="81" spans="1:28" s="18" customFormat="1" ht="130.5" customHeight="1" x14ac:dyDescent="0.3">
      <c r="A81" s="188">
        <v>634</v>
      </c>
      <c r="B81" s="233" t="str">
        <f>'Unit Data from Audit Worksheet'!C95</f>
        <v>Water Sewer Net Position Statement</v>
      </c>
      <c r="C81" s="188" t="str">
        <f>'Unit Data from Audit Worksheet'!D95</f>
        <v>Please enter any bond anticipation notes that are classified as current liabilities and included in account 633 above (amounts entered should agree to the current amount included in the changes to long-term debt note)
Enter as positive</v>
      </c>
      <c r="D81" s="102"/>
      <c r="E81" s="232">
        <f>'Unit Data from Audit Worksheet'!F95</f>
        <v>0</v>
      </c>
      <c r="F81" s="660"/>
      <c r="G81" s="659"/>
      <c r="H81" s="660"/>
      <c r="I81" s="299"/>
      <c r="J81" s="216">
        <v>634</v>
      </c>
      <c r="K81" s="191" t="s">
        <v>372</v>
      </c>
      <c r="L81" s="300">
        <f>IF(D81="",E81,D81)</f>
        <v>0</v>
      </c>
      <c r="M81"/>
      <c r="N81" s="290"/>
      <c r="O81" s="290"/>
      <c r="P81" s="194"/>
      <c r="Q81" s="277"/>
      <c r="R81" s="3"/>
      <c r="X81" s="549">
        <v>634</v>
      </c>
      <c r="Y81" s="284">
        <v>634</v>
      </c>
      <c r="AA81" s="384">
        <f t="shared" si="9"/>
        <v>0</v>
      </c>
      <c r="AB81" s="284">
        <f t="shared" si="10"/>
        <v>0</v>
      </c>
    </row>
    <row r="82" spans="1:28" s="18" customFormat="1" ht="105.75" customHeight="1" x14ac:dyDescent="0.3">
      <c r="A82" s="188">
        <v>635</v>
      </c>
      <c r="B82" s="233" t="str">
        <f>'Unit Data from Audit Worksheet'!C96</f>
        <v>Water Sewer Net Position Statement</v>
      </c>
      <c r="C82" s="188" t="str">
        <f>'Unit Data from Audit Worksheet'!D96</f>
        <v>Please enter any compensated absences that are classified as current liabilities and included in account 633 above (amounts entered should agree to the current amount included in the changes to long-term debt note)
Enter as positive</v>
      </c>
      <c r="D82" s="102"/>
      <c r="E82" s="232">
        <f>'Unit Data from Audit Worksheet'!F96</f>
        <v>0</v>
      </c>
      <c r="F82" s="217"/>
      <c r="G82" s="205"/>
      <c r="H82" s="217"/>
      <c r="I82" s="299"/>
      <c r="J82" s="216">
        <v>635</v>
      </c>
      <c r="K82" s="191" t="s">
        <v>373</v>
      </c>
      <c r="L82" s="300">
        <f>IF(D82="",E82,D82)</f>
        <v>0</v>
      </c>
      <c r="M82"/>
      <c r="N82" s="290"/>
      <c r="O82" s="290"/>
      <c r="P82" s="194"/>
      <c r="Q82" s="277"/>
      <c r="R82" s="3"/>
      <c r="X82" s="549">
        <v>635</v>
      </c>
      <c r="Y82" s="284">
        <v>635</v>
      </c>
      <c r="AA82" s="384">
        <f t="shared" si="9"/>
        <v>0</v>
      </c>
      <c r="AB82" s="284">
        <f t="shared" si="10"/>
        <v>0</v>
      </c>
    </row>
    <row r="83" spans="1:28" s="18" customFormat="1" ht="105.75" customHeight="1" x14ac:dyDescent="0.3">
      <c r="A83" s="188">
        <v>636</v>
      </c>
      <c r="B83" s="233" t="str">
        <f>'Unit Data from Audit Worksheet'!C97</f>
        <v>Water Sewer Net Position Statement</v>
      </c>
      <c r="C83" s="188" t="str">
        <f>'Unit Data from Audit Worksheet'!D97</f>
        <v>Please enter any pension liabilities that are classified as current liabilities and included in account 633 above (amounts entered should agree to the current amount included in the changes to long-term debt note)
Enter as positive</v>
      </c>
      <c r="D83" s="102"/>
      <c r="E83" s="232">
        <f>'Unit Data from Audit Worksheet'!F97</f>
        <v>0</v>
      </c>
      <c r="F83" s="217"/>
      <c r="G83" s="205"/>
      <c r="H83" s="217"/>
      <c r="I83" s="299"/>
      <c r="J83" s="216">
        <v>636</v>
      </c>
      <c r="K83" s="191" t="s">
        <v>368</v>
      </c>
      <c r="L83" s="300">
        <f t="shared" ref="L83:L93" si="11">IF(D83="",E83,D83)</f>
        <v>0</v>
      </c>
      <c r="M83"/>
      <c r="N83" s="290"/>
      <c r="O83" s="290"/>
      <c r="P83" s="194"/>
      <c r="Q83" s="277"/>
      <c r="R83" s="3"/>
      <c r="X83" s="549">
        <v>636</v>
      </c>
      <c r="Y83" s="284">
        <v>636</v>
      </c>
      <c r="AA83" s="384">
        <f t="shared" si="9"/>
        <v>0</v>
      </c>
      <c r="AB83" s="284">
        <f t="shared" si="10"/>
        <v>0</v>
      </c>
    </row>
    <row r="84" spans="1:28" s="18" customFormat="1" ht="59.25" customHeight="1" x14ac:dyDescent="0.3">
      <c r="A84" s="188">
        <v>637</v>
      </c>
      <c r="B84" s="233" t="str">
        <f>'Unit Data from Audit Worksheet'!C98</f>
        <v>Water Sewer Net Position Statement</v>
      </c>
      <c r="C84" s="188" t="str">
        <f>'Unit Data from Audit Worksheet'!D98</f>
        <v>Please enter any current liabilities that are payable from restricted assets and included in account 633 above.
Enter as positive</v>
      </c>
      <c r="D84" s="102"/>
      <c r="E84" s="232">
        <f>'Unit Data from Audit Worksheet'!F98</f>
        <v>0</v>
      </c>
      <c r="F84" s="217"/>
      <c r="G84" s="205"/>
      <c r="H84" s="217"/>
      <c r="I84" s="299"/>
      <c r="J84" s="216">
        <v>637</v>
      </c>
      <c r="K84" s="191" t="s">
        <v>369</v>
      </c>
      <c r="L84" s="300">
        <f t="shared" si="11"/>
        <v>0</v>
      </c>
      <c r="M84"/>
      <c r="N84" s="290"/>
      <c r="O84" s="290"/>
      <c r="P84" s="197"/>
      <c r="Q84" s="277"/>
      <c r="R84" s="3"/>
      <c r="X84" s="549">
        <v>637</v>
      </c>
      <c r="Y84" s="284">
        <v>637</v>
      </c>
      <c r="AA84" s="384">
        <f t="shared" si="9"/>
        <v>0</v>
      </c>
      <c r="AB84" s="284">
        <f t="shared" si="10"/>
        <v>0</v>
      </c>
    </row>
    <row r="85" spans="1:28" s="18" customFormat="1" ht="115.95" customHeight="1" x14ac:dyDescent="0.3">
      <c r="A85" s="188">
        <v>638</v>
      </c>
      <c r="B85" s="233" t="str">
        <f>'Unit Data from Audit Worksheet'!C99</f>
        <v>Water Sewer Net Position Statement</v>
      </c>
      <c r="C85" s="188" t="str">
        <f>'Unit Data from Audit Worksheet'!D99</f>
        <v>Please enter any OPEB liabilities that are classified as current liabilities and included in account 633 above (amounts entered should agree to the current amount included in the changes to long-term debt note)
Enter as positive</v>
      </c>
      <c r="D85" s="102"/>
      <c r="E85" s="232">
        <f>'Unit Data from Audit Worksheet'!F99</f>
        <v>0</v>
      </c>
      <c r="F85" s="217"/>
      <c r="G85" s="205"/>
      <c r="H85" s="217"/>
      <c r="I85" s="299"/>
      <c r="J85" s="216">
        <v>638</v>
      </c>
      <c r="K85" s="191" t="s">
        <v>374</v>
      </c>
      <c r="L85" s="300">
        <f t="shared" si="11"/>
        <v>0</v>
      </c>
      <c r="M85"/>
      <c r="N85" s="290"/>
      <c r="O85" s="290"/>
      <c r="P85" s="194"/>
      <c r="Q85" s="277"/>
      <c r="R85" s="3"/>
      <c r="X85" s="549">
        <v>638</v>
      </c>
      <c r="Y85" s="284">
        <v>638</v>
      </c>
      <c r="AA85" s="384">
        <f t="shared" si="9"/>
        <v>0</v>
      </c>
      <c r="AB85" s="284">
        <f t="shared" si="10"/>
        <v>0</v>
      </c>
    </row>
    <row r="86" spans="1:28" ht="76.5" customHeight="1" x14ac:dyDescent="0.3">
      <c r="A86" s="285">
        <f>'Unit Data from Audit Worksheet'!A100</f>
        <v>383</v>
      </c>
      <c r="B86" s="48" t="str">
        <f>'Unit Data from Audit Worksheet'!C100</f>
        <v>Water Sewer Net Position Statement</v>
      </c>
      <c r="C86" s="286" t="str">
        <f>'Unit Data from Audit Worksheet'!D100</f>
        <v>Unearned revenue (arising from cash receipts) that were included in Current Liabilities in the question in account 633 above.
Enter as positive</v>
      </c>
      <c r="D86" s="134"/>
      <c r="E86" s="142">
        <f>'Unit Data from Audit Worksheet'!F100</f>
        <v>0</v>
      </c>
      <c r="F86" s="41">
        <f>IF(L86&lt;0,"Error: Enter as a positive.",)</f>
        <v>0</v>
      </c>
      <c r="G86" s="65"/>
      <c r="H86" s="221"/>
      <c r="I86" s="32"/>
      <c r="J86" s="36">
        <v>383</v>
      </c>
      <c r="K86" s="45" t="s">
        <v>212</v>
      </c>
      <c r="L86" s="287">
        <f t="shared" si="11"/>
        <v>0</v>
      </c>
      <c r="P86" s="194"/>
      <c r="X86" s="549">
        <v>383</v>
      </c>
      <c r="Y86" s="284">
        <v>383</v>
      </c>
      <c r="AA86" s="384">
        <f t="shared" si="9"/>
        <v>0</v>
      </c>
      <c r="AB86" s="284">
        <f t="shared" si="10"/>
        <v>0</v>
      </c>
    </row>
    <row r="87" spans="1:28" ht="54" customHeight="1" x14ac:dyDescent="0.3">
      <c r="A87" s="210">
        <f>'Unit Data from Audit Worksheet'!A101</f>
        <v>349</v>
      </c>
      <c r="B87" s="223" t="str">
        <f>'Unit Data from Audit Worksheet'!C101</f>
        <v>Water Sewer Net Position Statement</v>
      </c>
      <c r="C87" s="209" t="str">
        <f>'Unit Data from Audit Worksheet'!D101</f>
        <v>Total Liabilities and deferred inflows</v>
      </c>
      <c r="D87" s="134"/>
      <c r="E87" s="229">
        <f>'Unit Data from Audit Worksheet'!F101</f>
        <v>0</v>
      </c>
      <c r="F87" s="222">
        <f>IF(L80&gt;L87,"Error: Please review accts 633&gt;349",)</f>
        <v>0</v>
      </c>
      <c r="G87" s="224"/>
      <c r="H87" s="221"/>
      <c r="I87" s="32"/>
      <c r="J87" s="220">
        <v>349</v>
      </c>
      <c r="K87" s="219" t="s">
        <v>114</v>
      </c>
      <c r="L87" s="287">
        <f t="shared" si="11"/>
        <v>0</v>
      </c>
      <c r="P87" s="194"/>
      <c r="X87" s="549">
        <v>349</v>
      </c>
      <c r="Y87" s="284">
        <v>349</v>
      </c>
      <c r="AA87" s="384">
        <f t="shared" si="9"/>
        <v>0</v>
      </c>
      <c r="AB87" s="284">
        <f t="shared" si="10"/>
        <v>0</v>
      </c>
    </row>
    <row r="88" spans="1:28" ht="56.25" customHeight="1" x14ac:dyDescent="0.3">
      <c r="A88" s="210">
        <f>'Unit Data from Audit Worksheet'!A102</f>
        <v>375</v>
      </c>
      <c r="B88" s="223" t="str">
        <f>'Unit Data from Audit Worksheet'!C102</f>
        <v>Water Sewer Net Position Statement</v>
      </c>
      <c r="C88" s="209" t="str">
        <f>'Unit Data from Audit Worksheet'!D102</f>
        <v>Total Net position, Unrestricted - enter negative unrestricted net position as a negative</v>
      </c>
      <c r="D88" s="134"/>
      <c r="E88" s="229">
        <f>'Unit Data from Audit Worksheet'!F102</f>
        <v>0</v>
      </c>
      <c r="F88" s="222"/>
      <c r="G88" s="224"/>
      <c r="H88" s="221"/>
      <c r="I88" s="32"/>
      <c r="J88" s="220">
        <v>375</v>
      </c>
      <c r="K88" s="219" t="s">
        <v>213</v>
      </c>
      <c r="L88" s="287">
        <f t="shared" si="11"/>
        <v>0</v>
      </c>
      <c r="P88" s="194"/>
      <c r="X88" s="549">
        <v>375</v>
      </c>
      <c r="Y88" s="284">
        <v>375</v>
      </c>
      <c r="AA88" s="384">
        <f t="shared" si="9"/>
        <v>0</v>
      </c>
      <c r="AB88" s="284">
        <f t="shared" si="10"/>
        <v>0</v>
      </c>
    </row>
    <row r="89" spans="1:28" ht="56.25" customHeight="1" x14ac:dyDescent="0.3">
      <c r="A89" s="210">
        <f>'Unit Data from Audit Worksheet'!A103</f>
        <v>83</v>
      </c>
      <c r="B89" s="223" t="str">
        <f>'Unit Data from Audit Worksheet'!C103</f>
        <v>Water Sewer Net Position Statement</v>
      </c>
      <c r="C89" s="209" t="str">
        <f>'Unit Data from Audit Worksheet'!D103</f>
        <v>Total Net position</v>
      </c>
      <c r="D89" s="134"/>
      <c r="E89" s="229">
        <f>'Unit Data from Audit Worksheet'!F103</f>
        <v>0</v>
      </c>
      <c r="F89" s="222">
        <f>IF(+L78-L87-L89=0,,"Error: Total assets less total liabilities do not equal net position acct 381-349-83=0")</f>
        <v>0</v>
      </c>
      <c r="G89" s="84">
        <f>L78-L87-L89</f>
        <v>0</v>
      </c>
      <c r="H89" s="221"/>
      <c r="I89" s="32"/>
      <c r="J89" s="220">
        <v>83</v>
      </c>
      <c r="K89" s="219" t="s">
        <v>94</v>
      </c>
      <c r="L89" s="287">
        <f t="shared" si="11"/>
        <v>0</v>
      </c>
      <c r="O89" s="294" t="e">
        <f>'Unit Data from Audit Worksheet'!E103</f>
        <v>#N/A</v>
      </c>
      <c r="P89" s="194"/>
      <c r="Q89" s="225"/>
      <c r="X89" s="549">
        <v>83</v>
      </c>
      <c r="Y89" s="284">
        <v>83</v>
      </c>
      <c r="AA89" s="384">
        <f t="shared" si="9"/>
        <v>0</v>
      </c>
      <c r="AB89" s="284">
        <f t="shared" si="10"/>
        <v>0</v>
      </c>
    </row>
    <row r="90" spans="1:28" ht="56.25" customHeight="1" x14ac:dyDescent="0.3">
      <c r="A90" s="210">
        <f>'Unit Data from Audit Worksheet'!A105</f>
        <v>90</v>
      </c>
      <c r="B90" s="223" t="str">
        <f>'Unit Data from Audit Worksheet'!C105</f>
        <v>Electric Fund Net Position Statement</v>
      </c>
      <c r="C90" s="209" t="str">
        <f>'Unit Data from Audit Worksheet'!D105</f>
        <v>All Unrestricted Cash and Investments.  
Exclude any restricted cash and investments.</v>
      </c>
      <c r="D90" s="134"/>
      <c r="E90" s="229">
        <f>'Unit Data from Audit Worksheet'!F105</f>
        <v>0</v>
      </c>
      <c r="F90" s="222">
        <f>IF(L90&lt;0,"Error: Number is normally positive.",)</f>
        <v>0</v>
      </c>
      <c r="G90" s="224"/>
      <c r="H90" s="221"/>
      <c r="I90" s="32"/>
      <c r="J90" s="220">
        <v>90</v>
      </c>
      <c r="K90" s="219" t="s">
        <v>214</v>
      </c>
      <c r="L90" s="287">
        <f t="shared" si="11"/>
        <v>0</v>
      </c>
      <c r="P90" s="194"/>
      <c r="X90" s="549">
        <v>90</v>
      </c>
      <c r="Y90" s="284">
        <v>90</v>
      </c>
      <c r="AA90" s="384">
        <f t="shared" si="9"/>
        <v>0</v>
      </c>
      <c r="AB90" s="284">
        <f t="shared" si="10"/>
        <v>0</v>
      </c>
    </row>
    <row r="91" spans="1:28" ht="56.25" customHeight="1" x14ac:dyDescent="0.3">
      <c r="A91" s="210">
        <f>'Unit Data from Audit Worksheet'!A106</f>
        <v>91</v>
      </c>
      <c r="B91" s="223" t="str">
        <f>'Unit Data from Audit Worksheet'!C106</f>
        <v>Electric Fund Net Position Statement</v>
      </c>
      <c r="C91" s="209" t="str">
        <f>'Unit Data from Audit Worksheet'!D106</f>
        <v xml:space="preserve">Customer accounts receivable (net of allowance accounts)
Include billed and unbilled amounts </v>
      </c>
      <c r="D91" s="134"/>
      <c r="E91" s="229">
        <f>'Unit Data from Audit Worksheet'!F106</f>
        <v>0</v>
      </c>
      <c r="F91" s="222">
        <f>IF(L91&lt;0,"Error: Number is normally positive.",)</f>
        <v>0</v>
      </c>
      <c r="G91" s="224"/>
      <c r="H91" s="221"/>
      <c r="I91" s="32"/>
      <c r="J91" s="220">
        <v>91</v>
      </c>
      <c r="K91" s="219" t="s">
        <v>215</v>
      </c>
      <c r="L91" s="287">
        <f t="shared" si="11"/>
        <v>0</v>
      </c>
      <c r="P91" s="194"/>
      <c r="X91" s="549">
        <v>91</v>
      </c>
      <c r="Y91" s="284">
        <v>91</v>
      </c>
      <c r="AA91" s="384">
        <f t="shared" si="9"/>
        <v>0</v>
      </c>
      <c r="AB91" s="284">
        <f t="shared" si="10"/>
        <v>0</v>
      </c>
    </row>
    <row r="92" spans="1:28" ht="56.25" customHeight="1" x14ac:dyDescent="0.3">
      <c r="A92" s="210">
        <f>'Unit Data from Audit Worksheet'!A107</f>
        <v>581</v>
      </c>
      <c r="B92" s="223" t="str">
        <f>'Unit Data from Audit Worksheet'!C107</f>
        <v>Electric Fund Net Position Statement</v>
      </c>
      <c r="C92" s="209" t="str">
        <f>'Unit Data from Audit Worksheet'!D107</f>
        <v>Electric Fund - Advance To:
Interfund loan receivable-portion of repayment plan longer than 12 months</v>
      </c>
      <c r="D92" s="134"/>
      <c r="E92" s="229">
        <f>'Unit Data from Audit Worksheet'!F107</f>
        <v>0</v>
      </c>
      <c r="F92" s="222"/>
      <c r="G92" s="224"/>
      <c r="H92" s="221"/>
      <c r="I92" s="32"/>
      <c r="J92" s="220">
        <v>581</v>
      </c>
      <c r="K92" s="219" t="s">
        <v>316</v>
      </c>
      <c r="L92" s="287">
        <f t="shared" si="11"/>
        <v>0</v>
      </c>
      <c r="P92" s="194"/>
      <c r="X92" s="549">
        <v>581</v>
      </c>
      <c r="Y92" s="284">
        <v>581</v>
      </c>
      <c r="AA92" s="384">
        <f t="shared" si="9"/>
        <v>0</v>
      </c>
      <c r="AB92" s="284">
        <f t="shared" si="10"/>
        <v>0</v>
      </c>
    </row>
    <row r="93" spans="1:28" ht="56.25" customHeight="1" x14ac:dyDescent="0.3">
      <c r="A93" s="210">
        <f>'Unit Data from Audit Worksheet'!A108</f>
        <v>511</v>
      </c>
      <c r="B93" s="223" t="str">
        <f>'Unit Data from Audit Worksheet'!C108</f>
        <v>Electric Fund Net Position Statement</v>
      </c>
      <c r="C93" s="209" t="str">
        <f>'Unit Data from Audit Worksheet'!D108</f>
        <v>Amount of inventories and prepaids</v>
      </c>
      <c r="D93" s="134"/>
      <c r="E93" s="229">
        <f>'Unit Data from Audit Worksheet'!F108</f>
        <v>0</v>
      </c>
      <c r="F93" s="222">
        <f t="shared" ref="F93:F98" si="12">IF(L93&lt;0,"Error: Number is normally positive.",)</f>
        <v>0</v>
      </c>
      <c r="G93" s="224"/>
      <c r="H93" s="221"/>
      <c r="I93" s="32"/>
      <c r="J93" s="220">
        <v>511</v>
      </c>
      <c r="K93" s="219" t="s">
        <v>216</v>
      </c>
      <c r="L93" s="287">
        <f t="shared" si="11"/>
        <v>0</v>
      </c>
      <c r="P93" s="194"/>
      <c r="X93" s="549">
        <v>511</v>
      </c>
      <c r="Y93" s="284">
        <v>511</v>
      </c>
      <c r="AA93" s="384">
        <f t="shared" si="9"/>
        <v>0</v>
      </c>
      <c r="AB93" s="284">
        <f t="shared" si="10"/>
        <v>0</v>
      </c>
    </row>
    <row r="94" spans="1:28" ht="62.25" customHeight="1" x14ac:dyDescent="0.3">
      <c r="A94" s="210">
        <f>'Unit Data from Audit Worksheet'!A109</f>
        <v>657</v>
      </c>
      <c r="B94" s="223" t="str">
        <f>'Unit Data from Audit Worksheet'!C109</f>
        <v>Electric Fund Net Position Statement</v>
      </c>
      <c r="C94" s="209" t="str">
        <f>'Unit Data from Audit Worksheet'!D109</f>
        <v xml:space="preserve">Total Current assets as listed on the Electric Net Position Statement.  
</v>
      </c>
      <c r="D94" s="134"/>
      <c r="E94" s="229">
        <f>'Unit Data from Audit Worksheet'!F109</f>
        <v>0</v>
      </c>
      <c r="F94" s="222">
        <f t="shared" si="12"/>
        <v>0</v>
      </c>
      <c r="G94" s="224"/>
      <c r="H94" s="221"/>
      <c r="I94" s="32"/>
      <c r="J94" s="220">
        <v>657</v>
      </c>
      <c r="K94" s="219" t="s">
        <v>417</v>
      </c>
      <c r="L94" s="300">
        <f>IF(D94="",E94,D94)</f>
        <v>0</v>
      </c>
      <c r="P94" s="194"/>
      <c r="X94" s="549">
        <v>657</v>
      </c>
      <c r="Y94" s="284">
        <v>657</v>
      </c>
      <c r="AA94" s="384">
        <f t="shared" si="9"/>
        <v>0</v>
      </c>
      <c r="AB94" s="284">
        <f t="shared" si="10"/>
        <v>0</v>
      </c>
    </row>
    <row r="95" spans="1:28" ht="62.25" customHeight="1" x14ac:dyDescent="0.3">
      <c r="A95" s="210">
        <f>'Unit Data from Audit Worksheet'!A110</f>
        <v>658</v>
      </c>
      <c r="B95" s="223" t="str">
        <f>'Unit Data from Audit Worksheet'!C110</f>
        <v>Electric Fund Net Position Statement</v>
      </c>
      <c r="C95" s="209" t="str">
        <f>'Unit Data from Audit Worksheet'!D110</f>
        <v>Electric-Any current assets that are restricted (Cash, Accounts Rec., etc..) and included in account 657 above</v>
      </c>
      <c r="D95" s="134"/>
      <c r="E95" s="229">
        <f>'Unit Data from Audit Worksheet'!F110</f>
        <v>0</v>
      </c>
      <c r="F95" s="222">
        <f t="shared" si="12"/>
        <v>0</v>
      </c>
      <c r="G95" s="224"/>
      <c r="H95" s="221"/>
      <c r="I95" s="32"/>
      <c r="J95" s="220">
        <v>658</v>
      </c>
      <c r="K95" s="219" t="s">
        <v>444</v>
      </c>
      <c r="L95" s="300">
        <f>IF(D95="",E95,D95)</f>
        <v>0</v>
      </c>
      <c r="P95" s="194"/>
      <c r="X95" s="549">
        <v>658</v>
      </c>
      <c r="Y95" s="284">
        <v>658</v>
      </c>
      <c r="AA95" s="384">
        <f t="shared" si="9"/>
        <v>0</v>
      </c>
      <c r="AB95" s="284">
        <f t="shared" si="10"/>
        <v>0</v>
      </c>
    </row>
    <row r="96" spans="1:28" ht="39.75" customHeight="1" x14ac:dyDescent="0.3">
      <c r="A96" s="210">
        <f>'Unit Data from Audit Worksheet'!A111</f>
        <v>382</v>
      </c>
      <c r="B96" s="223" t="str">
        <f>'Unit Data from Audit Worksheet'!C111</f>
        <v>Electric Fund Net Position Statement</v>
      </c>
      <c r="C96" s="209" t="str">
        <f>'Unit Data from Audit Worksheet'!D111</f>
        <v>Total Assets and deferred outflows</v>
      </c>
      <c r="D96" s="134"/>
      <c r="E96" s="229">
        <f>'Unit Data from Audit Worksheet'!F111</f>
        <v>0</v>
      </c>
      <c r="F96" s="222">
        <f t="shared" si="12"/>
        <v>0</v>
      </c>
      <c r="G96" s="224"/>
      <c r="H96" s="221"/>
      <c r="I96" s="32"/>
      <c r="J96" s="220">
        <v>382</v>
      </c>
      <c r="K96" s="219" t="s">
        <v>106</v>
      </c>
      <c r="L96" s="287">
        <f>IF(D96="",E96,D96)</f>
        <v>0</v>
      </c>
      <c r="P96" s="194"/>
      <c r="X96" s="549">
        <v>382</v>
      </c>
      <c r="Y96" s="284">
        <v>382</v>
      </c>
      <c r="AA96" s="384">
        <f t="shared" si="9"/>
        <v>0</v>
      </c>
      <c r="AB96" s="284">
        <f t="shared" si="10"/>
        <v>0</v>
      </c>
    </row>
    <row r="97" spans="1:28" ht="39.75" customHeight="1" x14ac:dyDescent="0.3">
      <c r="A97" s="210">
        <f>'Unit Data from Audit Worksheet'!A112</f>
        <v>360</v>
      </c>
      <c r="B97" s="223" t="str">
        <f>'Unit Data from Audit Worksheet'!C112</f>
        <v>Electric Fund Net Position Statement</v>
      </c>
      <c r="C97" s="209" t="str">
        <f>'Unit Data from Audit Worksheet'!D112</f>
        <v>Total liabilities and total deferred inflows</v>
      </c>
      <c r="D97" s="134"/>
      <c r="E97" s="229">
        <f>'Unit Data from Audit Worksheet'!F112</f>
        <v>0</v>
      </c>
      <c r="F97" s="222">
        <f t="shared" si="12"/>
        <v>0</v>
      </c>
      <c r="G97" s="224"/>
      <c r="H97" s="221"/>
      <c r="I97" s="32"/>
      <c r="J97" s="220">
        <v>360</v>
      </c>
      <c r="K97" s="101" t="s">
        <v>117</v>
      </c>
      <c r="L97" s="287">
        <f>IF(D97="",E97,D97)</f>
        <v>0</v>
      </c>
      <c r="P97" s="194"/>
      <c r="X97" s="549">
        <v>360</v>
      </c>
      <c r="Y97" s="284">
        <v>360</v>
      </c>
      <c r="AA97" s="384">
        <f t="shared" si="9"/>
        <v>0</v>
      </c>
      <c r="AB97" s="284">
        <f t="shared" si="10"/>
        <v>0</v>
      </c>
    </row>
    <row r="98" spans="1:28" ht="58.5" customHeight="1" x14ac:dyDescent="0.3">
      <c r="A98" s="210">
        <f>'Unit Data from Audit Worksheet'!A113</f>
        <v>580</v>
      </c>
      <c r="B98" s="223" t="str">
        <f>'Unit Data from Audit Worksheet'!C113</f>
        <v>Electric Fund Net Position Statement</v>
      </c>
      <c r="C98" s="209" t="str">
        <f>'Unit Data from Audit Worksheet'!D113</f>
        <v>Electric Fund - Advance From:
Interfund loans payable-portion of repayment plan longer than 12 months</v>
      </c>
      <c r="D98" s="134"/>
      <c r="E98" s="229">
        <f>'Unit Data from Audit Worksheet'!F113</f>
        <v>0</v>
      </c>
      <c r="F98" s="103">
        <f t="shared" si="12"/>
        <v>0</v>
      </c>
      <c r="G98" s="104"/>
      <c r="H98" s="105"/>
      <c r="I98" s="32"/>
      <c r="J98" s="220">
        <v>580</v>
      </c>
      <c r="K98" s="101" t="s">
        <v>317</v>
      </c>
      <c r="L98" s="287">
        <f>IF(D98="",E98,D98)</f>
        <v>0</v>
      </c>
      <c r="N98" s="295"/>
      <c r="P98" s="198"/>
      <c r="X98" s="549">
        <v>580</v>
      </c>
      <c r="Y98" s="284">
        <v>580</v>
      </c>
      <c r="AA98" s="384">
        <f t="shared" si="9"/>
        <v>0</v>
      </c>
      <c r="AB98" s="284">
        <f t="shared" si="10"/>
        <v>0</v>
      </c>
    </row>
    <row r="99" spans="1:28" s="18" customFormat="1" ht="128.4" customHeight="1" x14ac:dyDescent="0.3">
      <c r="A99" s="210">
        <f>'Unit Data from Audit Worksheet'!A114</f>
        <v>639</v>
      </c>
      <c r="B99" s="223" t="str">
        <f>'Unit Data from Audit Worksheet'!C114</f>
        <v>Electric Fund Net Position Statement</v>
      </c>
      <c r="C99" s="209" t="str">
        <f>'Unit Data from Audit Worksheet'!D114</f>
        <v>Current liabilities (as reported on the Statement of Fund Net Position)
Include:   Current liabilities including current portion of long-term debt.  Deferred inflows should not be included in Current Liabilities   
Enter as a positive</v>
      </c>
      <c r="D99" s="134"/>
      <c r="E99" s="662">
        <f>'Unit Data from Audit Worksheet'!F114</f>
        <v>0</v>
      </c>
      <c r="F99"/>
      <c r="G99"/>
      <c r="H99"/>
      <c r="I99" s="32"/>
      <c r="J99" s="220">
        <v>639</v>
      </c>
      <c r="K99" s="219" t="s">
        <v>375</v>
      </c>
      <c r="L99" s="300">
        <f t="shared" ref="L99:L123" si="13">IF(D99="",E99,D99)</f>
        <v>0</v>
      </c>
      <c r="M99"/>
      <c r="P99" s="194"/>
      <c r="Q99" s="277"/>
      <c r="R99" s="3"/>
      <c r="S99" s="3"/>
      <c r="T99" s="3"/>
      <c r="U99" s="3"/>
      <c r="V99" s="3"/>
      <c r="W99" s="3"/>
      <c r="X99" s="549">
        <v>639</v>
      </c>
      <c r="Y99" s="284">
        <v>639</v>
      </c>
      <c r="Z99" s="3"/>
      <c r="AA99" s="384">
        <f t="shared" si="9"/>
        <v>0</v>
      </c>
      <c r="AB99" s="284">
        <f t="shared" si="10"/>
        <v>0</v>
      </c>
    </row>
    <row r="100" spans="1:28" s="18" customFormat="1" ht="132" customHeight="1" x14ac:dyDescent="0.3">
      <c r="A100" s="210">
        <f>'Unit Data from Audit Worksheet'!A115</f>
        <v>640</v>
      </c>
      <c r="B100" s="223" t="str">
        <f>'Unit Data from Audit Worksheet'!C115</f>
        <v>Electric Fund Net Position Statement</v>
      </c>
      <c r="C100" s="209" t="str">
        <f>'Unit Data from Audit Worksheet'!D115</f>
        <v>Please enter any bond anticipation notes that are classified as current liabilities and included in account 639 above (amounts entered should agree to the current amount included in the changes to long-term debt note)
Enter as a positive</v>
      </c>
      <c r="D100" s="134"/>
      <c r="E100" s="229">
        <f>'Unit Data from Audit Worksheet'!F115</f>
        <v>0</v>
      </c>
      <c r="F100" s="41">
        <f t="shared" ref="F100:F105" si="14">IF(L100&lt;0,"Error: Number is normally positive.",)</f>
        <v>0</v>
      </c>
      <c r="G100" s="65"/>
      <c r="H100" s="221"/>
      <c r="I100" s="32"/>
      <c r="J100" s="220">
        <v>640</v>
      </c>
      <c r="K100" s="219" t="s">
        <v>376</v>
      </c>
      <c r="L100" s="300">
        <f t="shared" si="13"/>
        <v>0</v>
      </c>
      <c r="M100"/>
      <c r="P100" s="194"/>
      <c r="Q100" s="277"/>
      <c r="R100" s="3"/>
      <c r="S100" s="3"/>
      <c r="T100" s="3"/>
      <c r="U100" s="3"/>
      <c r="V100" s="3"/>
      <c r="W100" s="3"/>
      <c r="X100" s="549">
        <v>640</v>
      </c>
      <c r="Y100" s="284">
        <v>640</v>
      </c>
      <c r="Z100" s="3"/>
      <c r="AA100" s="384">
        <f t="shared" si="9"/>
        <v>0</v>
      </c>
      <c r="AB100" s="284">
        <f t="shared" si="10"/>
        <v>0</v>
      </c>
    </row>
    <row r="101" spans="1:28" s="18" customFormat="1" ht="128.4" customHeight="1" x14ac:dyDescent="0.3">
      <c r="A101" s="210">
        <f>'Unit Data from Audit Worksheet'!A116</f>
        <v>641</v>
      </c>
      <c r="B101" s="223" t="str">
        <f>'Unit Data from Audit Worksheet'!C116</f>
        <v>Electric Fund Net Position Statement</v>
      </c>
      <c r="C101" s="209" t="str">
        <f>'Unit Data from Audit Worksheet'!D116</f>
        <v>Please enter any compensated absences that are classified as current liabilities and included in account 639 above (amounts entered should agree to the current amount included in the changes to long-term debt note)
Enter as a positive</v>
      </c>
      <c r="D101" s="134"/>
      <c r="E101" s="229">
        <f>'Unit Data from Audit Worksheet'!F116</f>
        <v>0</v>
      </c>
      <c r="F101" s="222">
        <f t="shared" si="14"/>
        <v>0</v>
      </c>
      <c r="G101" s="224"/>
      <c r="H101" s="221"/>
      <c r="I101" s="32"/>
      <c r="J101" s="220">
        <v>641</v>
      </c>
      <c r="K101" s="219" t="s">
        <v>377</v>
      </c>
      <c r="L101" s="300">
        <f t="shared" si="13"/>
        <v>0</v>
      </c>
      <c r="M101"/>
      <c r="P101" s="199"/>
      <c r="Q101" s="277"/>
      <c r="R101" s="3"/>
      <c r="S101" s="3"/>
      <c r="T101" s="3"/>
      <c r="U101" s="3"/>
      <c r="V101" s="3"/>
      <c r="W101" s="3"/>
      <c r="X101" s="549">
        <v>641</v>
      </c>
      <c r="Y101" s="284">
        <v>641</v>
      </c>
      <c r="Z101" s="3"/>
      <c r="AA101" s="384">
        <f t="shared" si="9"/>
        <v>0</v>
      </c>
      <c r="AB101" s="284">
        <f t="shared" si="10"/>
        <v>0</v>
      </c>
    </row>
    <row r="102" spans="1:28" s="18" customFormat="1" ht="104.25" customHeight="1" x14ac:dyDescent="0.3">
      <c r="A102" s="210">
        <f>'Unit Data from Audit Worksheet'!A117</f>
        <v>642</v>
      </c>
      <c r="B102" s="223" t="str">
        <f>'Unit Data from Audit Worksheet'!C117</f>
        <v>Electric Fund Net Position Statement</v>
      </c>
      <c r="C102" s="209" t="str">
        <f>'Unit Data from Audit Worksheet'!D117</f>
        <v>Please enter any pension liabilities that are classified as current liabilities and included account in 639 above (amounts entered should agree to the current amount included in the changes to long-term debt note)
Enter as a positive</v>
      </c>
      <c r="D102" s="134"/>
      <c r="E102" s="229">
        <f>'Unit Data from Audit Worksheet'!F117</f>
        <v>0</v>
      </c>
      <c r="F102" s="222">
        <f t="shared" si="14"/>
        <v>0</v>
      </c>
      <c r="G102" s="224"/>
      <c r="H102" s="221"/>
      <c r="I102" s="32"/>
      <c r="J102" s="220">
        <v>642</v>
      </c>
      <c r="K102" s="219" t="s">
        <v>378</v>
      </c>
      <c r="L102" s="300">
        <f t="shared" si="13"/>
        <v>0</v>
      </c>
      <c r="M102"/>
      <c r="P102" s="199"/>
      <c r="Q102" s="277"/>
      <c r="R102" s="3"/>
      <c r="S102" s="3"/>
      <c r="T102" s="3"/>
      <c r="U102" s="3"/>
      <c r="V102" s="3"/>
      <c r="W102" s="3"/>
      <c r="X102" s="549">
        <v>642</v>
      </c>
      <c r="Y102" s="284">
        <v>642</v>
      </c>
      <c r="Z102" s="3"/>
      <c r="AA102" s="384">
        <f t="shared" si="9"/>
        <v>0</v>
      </c>
      <c r="AB102" s="284">
        <f t="shared" si="10"/>
        <v>0</v>
      </c>
    </row>
    <row r="103" spans="1:28" s="18" customFormat="1" ht="97.95" customHeight="1" x14ac:dyDescent="0.3">
      <c r="A103" s="210">
        <f>'Unit Data from Audit Worksheet'!A118</f>
        <v>643</v>
      </c>
      <c r="B103" s="223" t="str">
        <f>'Unit Data from Audit Worksheet'!C118</f>
        <v>Electric Fund Net Position Statement</v>
      </c>
      <c r="C103" s="209" t="str">
        <f>'Unit Data from Audit Worksheet'!D118</f>
        <v>Please enter any current liabilities that are payable from restricted assets and included in account 639 above. 
Enter as a positive</v>
      </c>
      <c r="D103" s="134"/>
      <c r="E103" s="229">
        <f>'Unit Data from Audit Worksheet'!F118</f>
        <v>0</v>
      </c>
      <c r="F103" s="222">
        <f t="shared" si="14"/>
        <v>0</v>
      </c>
      <c r="G103" s="224"/>
      <c r="H103" s="221"/>
      <c r="I103" s="32"/>
      <c r="J103" s="220">
        <v>643</v>
      </c>
      <c r="K103" s="219" t="s">
        <v>379</v>
      </c>
      <c r="L103" s="300">
        <f t="shared" si="13"/>
        <v>0</v>
      </c>
      <c r="M103"/>
      <c r="P103" s="194"/>
      <c r="Q103" s="277"/>
      <c r="R103" s="3"/>
      <c r="S103" s="3"/>
      <c r="T103" s="3"/>
      <c r="U103" s="3"/>
      <c r="V103" s="3"/>
      <c r="W103" s="3"/>
      <c r="X103" s="549">
        <v>643</v>
      </c>
      <c r="Y103" s="284">
        <v>643</v>
      </c>
      <c r="Z103" s="3"/>
      <c r="AA103" s="384">
        <f t="shared" si="9"/>
        <v>0</v>
      </c>
      <c r="AB103" s="284">
        <f t="shared" si="10"/>
        <v>0</v>
      </c>
    </row>
    <row r="104" spans="1:28" s="18" customFormat="1" ht="102" customHeight="1" x14ac:dyDescent="0.3">
      <c r="A104" s="210">
        <f>'Unit Data from Audit Worksheet'!A119</f>
        <v>644</v>
      </c>
      <c r="B104" s="223" t="str">
        <f>'Unit Data from Audit Worksheet'!C119</f>
        <v>Electric Fund Net Position Statement</v>
      </c>
      <c r="C104" s="209" t="str">
        <f>'Unit Data from Audit Worksheet'!D119</f>
        <v>Please enter any OPEB liabilities that are classified as current liabilities and included in account 639 above (amounts entered should agree to the current amount included in the changes to long-term debt note)
Enter as a positive</v>
      </c>
      <c r="D104" s="134"/>
      <c r="E104" s="229">
        <f>'Unit Data from Audit Worksheet'!F119</f>
        <v>0</v>
      </c>
      <c r="F104" s="222">
        <f t="shared" si="14"/>
        <v>0</v>
      </c>
      <c r="G104" s="224"/>
      <c r="H104" s="221"/>
      <c r="I104" s="32"/>
      <c r="J104" s="182">
        <v>644</v>
      </c>
      <c r="K104" s="219" t="s">
        <v>380</v>
      </c>
      <c r="L104" s="300">
        <f t="shared" si="13"/>
        <v>0</v>
      </c>
      <c r="M104"/>
      <c r="P104" s="194"/>
      <c r="Q104" s="277"/>
      <c r="R104" s="3"/>
      <c r="S104" s="3"/>
      <c r="T104" s="3"/>
      <c r="U104" s="3"/>
      <c r="V104" s="3"/>
      <c r="W104" s="3"/>
      <c r="X104" s="549">
        <v>644</v>
      </c>
      <c r="Y104" s="284">
        <v>644</v>
      </c>
      <c r="Z104" s="3"/>
      <c r="AA104" s="384">
        <f t="shared" si="9"/>
        <v>0</v>
      </c>
      <c r="AB104" s="284">
        <f t="shared" si="10"/>
        <v>0</v>
      </c>
    </row>
    <row r="105" spans="1:28" ht="96" customHeight="1" x14ac:dyDescent="0.3">
      <c r="A105" s="210">
        <f>+'Unit Data from Audit Worksheet'!A120</f>
        <v>384</v>
      </c>
      <c r="B105" s="210" t="str">
        <f>+'Unit Data from Audit Worksheet'!C120</f>
        <v>Electric Fund Net Position Statement</v>
      </c>
      <c r="C105" s="210" t="str">
        <f>+'Unit Data from Audit Worksheet'!D120</f>
        <v>Unearned revenue (arising from cash receipts) that were included in Current Liabilities in account 639 above.
Enter as a positive</v>
      </c>
      <c r="D105" s="134"/>
      <c r="E105" s="229">
        <f>+'Unit Data from Audit Worksheet'!F120</f>
        <v>0</v>
      </c>
      <c r="F105" s="222">
        <f t="shared" si="14"/>
        <v>0</v>
      </c>
      <c r="G105" s="224"/>
      <c r="H105" s="221"/>
      <c r="I105" s="32"/>
      <c r="J105" s="220">
        <v>384</v>
      </c>
      <c r="K105" s="52" t="s">
        <v>116</v>
      </c>
      <c r="L105" s="287">
        <f t="shared" si="13"/>
        <v>0</v>
      </c>
      <c r="P105" s="194"/>
      <c r="X105" s="549">
        <v>384</v>
      </c>
      <c r="Y105" s="284">
        <v>384</v>
      </c>
      <c r="AA105" s="384">
        <f t="shared" si="9"/>
        <v>0</v>
      </c>
      <c r="AB105" s="284">
        <f t="shared" si="10"/>
        <v>0</v>
      </c>
    </row>
    <row r="106" spans="1:28" ht="72" x14ac:dyDescent="0.3">
      <c r="A106" s="210">
        <f>+'Unit Data from Audit Worksheet'!A121</f>
        <v>361</v>
      </c>
      <c r="B106" s="210" t="str">
        <f>+'Unit Data from Audit Worksheet'!C121</f>
        <v>Electric Fund Net Position Statement</v>
      </c>
      <c r="C106" s="210" t="str">
        <f>+'Unit Data from Audit Worksheet'!D121</f>
        <v>Total net position, unrestricted - Amount of negative unrestricted net position should be entered as a negative amount and the amount of positive unrestricted net position should be entered as a positive amount.</v>
      </c>
      <c r="D106" s="134"/>
      <c r="E106" s="229">
        <f>+'Unit Data from Audit Worksheet'!F121</f>
        <v>0</v>
      </c>
      <c r="F106" s="222"/>
      <c r="G106" s="224"/>
      <c r="H106" s="221"/>
      <c r="I106" s="32"/>
      <c r="J106" s="220">
        <v>361</v>
      </c>
      <c r="K106" s="219" t="s">
        <v>98</v>
      </c>
      <c r="L106" s="287">
        <f t="shared" si="13"/>
        <v>0</v>
      </c>
      <c r="P106" s="194"/>
      <c r="X106" s="549">
        <v>361</v>
      </c>
      <c r="Y106" s="284">
        <v>361</v>
      </c>
      <c r="AA106" s="384">
        <f t="shared" si="9"/>
        <v>0</v>
      </c>
      <c r="AB106" s="284">
        <f t="shared" si="10"/>
        <v>0</v>
      </c>
    </row>
    <row r="107" spans="1:28" ht="46.5" customHeight="1" x14ac:dyDescent="0.3">
      <c r="A107" s="210">
        <f>'Unit Data from Audit Worksheet'!A122</f>
        <v>362</v>
      </c>
      <c r="B107" s="223" t="str">
        <f>'Unit Data from Audit Worksheet'!C122</f>
        <v>Electric Fund Net Position Statement</v>
      </c>
      <c r="C107" s="209" t="str">
        <f>'Unit Data from Audit Worksheet'!D122</f>
        <v>Total net position</v>
      </c>
      <c r="D107" s="134"/>
      <c r="E107" s="229">
        <f>'Unit Data from Audit Worksheet'!F122</f>
        <v>0</v>
      </c>
      <c r="F107" s="222">
        <f>IF(L96-L97-L107=0,,"Error: Total assets less total liabilities do not equal net position acct 382-360-362=0")</f>
        <v>0</v>
      </c>
      <c r="G107" s="84">
        <f>+L96-L97-L107</f>
        <v>0</v>
      </c>
      <c r="H107" s="221"/>
      <c r="I107" s="32"/>
      <c r="J107" s="220">
        <v>362</v>
      </c>
      <c r="K107" s="219" t="s">
        <v>99</v>
      </c>
      <c r="L107" s="287">
        <f t="shared" si="13"/>
        <v>0</v>
      </c>
      <c r="O107" s="294" t="e">
        <f>'Unit Data from Audit Worksheet'!E122</f>
        <v>#N/A</v>
      </c>
      <c r="P107" s="194"/>
      <c r="X107" s="549">
        <v>362</v>
      </c>
      <c r="Y107" s="284">
        <v>362</v>
      </c>
      <c r="AA107" s="384">
        <f t="shared" si="9"/>
        <v>0</v>
      </c>
      <c r="AB107" s="284">
        <f t="shared" si="10"/>
        <v>0</v>
      </c>
    </row>
    <row r="108" spans="1:28" ht="61.5" customHeight="1" x14ac:dyDescent="0.3">
      <c r="A108" s="210">
        <f>'Unit Data from Audit Worksheet'!A125</f>
        <v>88</v>
      </c>
      <c r="B108" s="223" t="str">
        <f>'Unit Data from Audit Worksheet'!C125</f>
        <v>Water Sewer Revenue, Expenses &amp; Changes in Fund Net Position</v>
      </c>
      <c r="C108" s="209" t="str">
        <f>'Unit Data from Audit Worksheet'!D125</f>
        <v>Charges for services. 
Exclude tap, capacity fees and other misc. income .</v>
      </c>
      <c r="D108" s="134"/>
      <c r="E108" s="229">
        <f>'Unit Data from Audit Worksheet'!F125</f>
        <v>0</v>
      </c>
      <c r="F108" s="222"/>
      <c r="G108" s="224"/>
      <c r="H108" s="221"/>
      <c r="I108" s="32"/>
      <c r="J108" s="220">
        <v>88</v>
      </c>
      <c r="K108" s="219" t="s">
        <v>217</v>
      </c>
      <c r="L108" s="287">
        <f t="shared" si="13"/>
        <v>0</v>
      </c>
      <c r="P108" s="194"/>
      <c r="X108" s="549">
        <v>88</v>
      </c>
      <c r="Y108" s="284">
        <v>88</v>
      </c>
      <c r="AA108" s="384">
        <f t="shared" si="9"/>
        <v>0</v>
      </c>
      <c r="AB108" s="284">
        <f t="shared" si="10"/>
        <v>0</v>
      </c>
    </row>
    <row r="109" spans="1:28" ht="72" customHeight="1" x14ac:dyDescent="0.3">
      <c r="A109" s="210">
        <f>'Unit Data from Audit Worksheet'!A126</f>
        <v>84</v>
      </c>
      <c r="B109" s="223" t="str">
        <f>'Unit Data from Audit Worksheet'!C126</f>
        <v>Water Sewer Revenue, Expenses &amp; Changes in Fund Net Position</v>
      </c>
      <c r="C109" s="209" t="str">
        <f>'Unit Data from Audit Worksheet'!D126</f>
        <v>Total Operating revenues</v>
      </c>
      <c r="D109" s="134"/>
      <c r="E109" s="229">
        <f>'Unit Data from Audit Worksheet'!F126</f>
        <v>0</v>
      </c>
      <c r="F109" s="222" t="str">
        <f>IF(L108&gt;L109,"Error: Charges for services exceed total operating revenues. Acct # 88&gt;84"," ")</f>
        <v xml:space="preserve"> </v>
      </c>
      <c r="G109" s="224" t="str">
        <f>IF(Q90=1," Included in error count"," ")</f>
        <v xml:space="preserve"> </v>
      </c>
      <c r="H109" s="221"/>
      <c r="I109" s="32"/>
      <c r="J109" s="220">
        <v>84</v>
      </c>
      <c r="K109" s="219" t="s">
        <v>218</v>
      </c>
      <c r="L109" s="287">
        <f t="shared" si="13"/>
        <v>0</v>
      </c>
      <c r="P109" s="194"/>
      <c r="X109" s="549">
        <v>84</v>
      </c>
      <c r="Y109" s="284">
        <v>84</v>
      </c>
      <c r="AA109" s="384">
        <f t="shared" si="9"/>
        <v>0</v>
      </c>
      <c r="AB109" s="284">
        <f t="shared" si="10"/>
        <v>0</v>
      </c>
    </row>
    <row r="110" spans="1:28" ht="72" customHeight="1" x14ac:dyDescent="0.3">
      <c r="A110" s="210">
        <f>'Unit Data from Audit Worksheet'!A127</f>
        <v>49</v>
      </c>
      <c r="B110" s="223" t="str">
        <f>'Unit Data from Audit Worksheet'!C127</f>
        <v>Water Sewer Revenue, Expenses &amp; Changes in Fund Net Position</v>
      </c>
      <c r="C110" s="209" t="str">
        <f>'Unit Data from Audit Worksheet'!D127</f>
        <v>Depreciation and amortization expense</v>
      </c>
      <c r="D110" s="134"/>
      <c r="E110" s="229">
        <f>'Unit Data from Audit Worksheet'!F127</f>
        <v>0</v>
      </c>
      <c r="F110" s="222">
        <f>IF(L110&lt;0,"Error: Number is normally positive.",)</f>
        <v>0</v>
      </c>
      <c r="G110" s="224"/>
      <c r="H110" s="221"/>
      <c r="I110" s="32"/>
      <c r="J110" s="220">
        <v>49</v>
      </c>
      <c r="K110" s="219" t="s">
        <v>219</v>
      </c>
      <c r="L110" s="287">
        <f t="shared" si="13"/>
        <v>0</v>
      </c>
      <c r="O110" s="294"/>
      <c r="P110" s="194"/>
      <c r="X110" s="549">
        <v>49</v>
      </c>
      <c r="Y110" s="284">
        <v>49</v>
      </c>
      <c r="AA110" s="384">
        <f t="shared" si="9"/>
        <v>0</v>
      </c>
      <c r="AB110" s="284">
        <f t="shared" si="10"/>
        <v>0</v>
      </c>
    </row>
    <row r="111" spans="1:28" ht="48" customHeight="1" x14ac:dyDescent="0.3">
      <c r="A111" s="210">
        <f>'Unit Data from Audit Worksheet'!A128</f>
        <v>85</v>
      </c>
      <c r="B111" s="223" t="str">
        <f>'Unit Data from Audit Worksheet'!C128</f>
        <v>Water Sewer Revenue, Expenses &amp; Changes in Fund Net Position</v>
      </c>
      <c r="C111" s="209" t="str">
        <f>'Unit Data from Audit Worksheet'!D128</f>
        <v>Total Operating expenses</v>
      </c>
      <c r="D111" s="134"/>
      <c r="E111" s="229">
        <f>'Unit Data from Audit Worksheet'!F128</f>
        <v>0</v>
      </c>
      <c r="F111" s="222"/>
      <c r="G111" s="224"/>
      <c r="H111" s="221"/>
      <c r="I111" s="32"/>
      <c r="J111" s="220">
        <v>85</v>
      </c>
      <c r="K111" s="219" t="s">
        <v>220</v>
      </c>
      <c r="L111" s="287">
        <f t="shared" si="13"/>
        <v>0</v>
      </c>
      <c r="P111" s="194"/>
      <c r="X111" s="549">
        <v>85</v>
      </c>
      <c r="Y111" s="284">
        <v>85</v>
      </c>
      <c r="AA111" s="384">
        <f t="shared" si="9"/>
        <v>0</v>
      </c>
      <c r="AB111" s="284">
        <f t="shared" si="10"/>
        <v>0</v>
      </c>
    </row>
    <row r="112" spans="1:28" ht="48" customHeight="1" x14ac:dyDescent="0.3">
      <c r="A112" s="210">
        <f>'Unit Data from Audit Worksheet'!A129</f>
        <v>89</v>
      </c>
      <c r="B112" s="223" t="str">
        <f>'Unit Data from Audit Worksheet'!C129</f>
        <v>Water Sewer Revenue, Expenses &amp; Changes in Fund Net Position</v>
      </c>
      <c r="C112" s="209" t="str">
        <f>'Unit Data from Audit Worksheet'!D129</f>
        <v>Interest expense</v>
      </c>
      <c r="D112" s="134"/>
      <c r="E112" s="229">
        <f>'Unit Data from Audit Worksheet'!F129</f>
        <v>0</v>
      </c>
      <c r="F112" s="222"/>
      <c r="G112" s="224"/>
      <c r="H112" s="221"/>
      <c r="I112" s="32"/>
      <c r="J112" s="220">
        <v>89</v>
      </c>
      <c r="K112" s="219" t="s">
        <v>221</v>
      </c>
      <c r="L112" s="287">
        <f t="shared" si="13"/>
        <v>0</v>
      </c>
      <c r="P112" s="194"/>
      <c r="X112" s="549">
        <v>89</v>
      </c>
      <c r="Y112" s="284">
        <v>89</v>
      </c>
      <c r="AA112" s="384">
        <f t="shared" si="9"/>
        <v>0</v>
      </c>
      <c r="AB112" s="284">
        <f t="shared" si="10"/>
        <v>0</v>
      </c>
    </row>
    <row r="113" spans="1:28" ht="48" customHeight="1" x14ac:dyDescent="0.3">
      <c r="A113" s="210">
        <f>'Unit Data from Audit Worksheet'!A130</f>
        <v>350</v>
      </c>
      <c r="B113" s="223" t="str">
        <f>'Unit Data from Audit Worksheet'!C130</f>
        <v>Water Sewer Revenue, Expenses &amp; Changes in Fund Net Position</v>
      </c>
      <c r="C113" s="209" t="str">
        <f>'Unit Data from Audit Worksheet'!D130</f>
        <v>Total all non-operating revenues  
Exclude Capital contributions.</v>
      </c>
      <c r="D113" s="134"/>
      <c r="E113" s="229">
        <f>'Unit Data from Audit Worksheet'!F130</f>
        <v>0</v>
      </c>
      <c r="F113" s="222"/>
      <c r="G113" s="224"/>
      <c r="H113" s="221"/>
      <c r="I113" s="32"/>
      <c r="J113" s="220">
        <v>350</v>
      </c>
      <c r="K113" s="219" t="s">
        <v>222</v>
      </c>
      <c r="L113" s="287">
        <f t="shared" si="13"/>
        <v>0</v>
      </c>
      <c r="P113" s="194"/>
      <c r="X113" s="549">
        <v>350</v>
      </c>
      <c r="Y113" s="284">
        <v>350</v>
      </c>
      <c r="AA113" s="384">
        <f t="shared" si="9"/>
        <v>0</v>
      </c>
      <c r="AB113" s="284">
        <f t="shared" si="10"/>
        <v>0</v>
      </c>
    </row>
    <row r="114" spans="1:28" ht="48" customHeight="1" x14ac:dyDescent="0.3">
      <c r="A114" s="210">
        <f>'Unit Data from Audit Worksheet'!A131</f>
        <v>351</v>
      </c>
      <c r="B114" s="223" t="str">
        <f>'Unit Data from Audit Worksheet'!C131</f>
        <v>Water Sewer Revenue, Expenses &amp; Changes in Fund Net Position</v>
      </c>
      <c r="C114" s="209" t="str">
        <f>'Unit Data from Audit Worksheet'!D131</f>
        <v>Total all non-operating expenses.  
Include any negative special, extraordinary, or capital contribution.</v>
      </c>
      <c r="D114" s="134"/>
      <c r="E114" s="229">
        <f>'Unit Data from Audit Worksheet'!F131</f>
        <v>0</v>
      </c>
      <c r="F114" s="222"/>
      <c r="G114" s="224"/>
      <c r="H114" s="221"/>
      <c r="I114" s="32"/>
      <c r="J114" s="220">
        <v>351</v>
      </c>
      <c r="K114" s="219" t="s">
        <v>223</v>
      </c>
      <c r="L114" s="287">
        <f t="shared" si="13"/>
        <v>0</v>
      </c>
      <c r="P114" s="194"/>
      <c r="X114" s="549">
        <v>351</v>
      </c>
      <c r="Y114" s="284">
        <v>351</v>
      </c>
      <c r="AA114" s="384">
        <f t="shared" si="9"/>
        <v>0</v>
      </c>
      <c r="AB114" s="284">
        <f t="shared" si="10"/>
        <v>0</v>
      </c>
    </row>
    <row r="115" spans="1:28" ht="66" customHeight="1" x14ac:dyDescent="0.3">
      <c r="A115" s="210">
        <f>'Unit Data from Audit Worksheet'!A132</f>
        <v>191</v>
      </c>
      <c r="B115" s="223" t="str">
        <f>'Unit Data from Audit Worksheet'!C132</f>
        <v>Water Sewer Revenue, Expenses &amp; Changes in Fund Net Position</v>
      </c>
      <c r="C115" s="209" t="str">
        <f>'Unit Data from Audit Worksheet'!D132</f>
        <v>Capital contributions. Only include positive capital contributions.  Negative capital contributions should be included with 'Total all non-operating expenses.'</v>
      </c>
      <c r="D115" s="134"/>
      <c r="E115" s="229">
        <f>'Unit Data from Audit Worksheet'!F132</f>
        <v>0</v>
      </c>
      <c r="F115" s="222">
        <f>IF(L115&lt;0,"Error: Enter as a positive.",)</f>
        <v>0</v>
      </c>
      <c r="G115" s="224"/>
      <c r="H115" s="221"/>
      <c r="I115" s="32"/>
      <c r="J115" s="220">
        <v>191</v>
      </c>
      <c r="K115" s="219" t="s">
        <v>224</v>
      </c>
      <c r="L115" s="287">
        <f t="shared" si="13"/>
        <v>0</v>
      </c>
      <c r="P115" s="194"/>
      <c r="S115" s="18"/>
      <c r="T115" s="18"/>
      <c r="U115" s="18"/>
      <c r="V115" s="18"/>
      <c r="X115" s="549">
        <v>191</v>
      </c>
      <c r="Y115" s="284">
        <v>191</v>
      </c>
      <c r="Z115" s="18"/>
      <c r="AA115" s="384">
        <f t="shared" si="9"/>
        <v>0</v>
      </c>
      <c r="AB115" s="284">
        <f t="shared" si="10"/>
        <v>0</v>
      </c>
    </row>
    <row r="116" spans="1:28" s="384" customFormat="1" ht="66.599999999999994" customHeight="1" x14ac:dyDescent="0.3">
      <c r="A116" s="210">
        <f>'Unit Data from Audit Worksheet'!A133</f>
        <v>1053</v>
      </c>
      <c r="B116" s="223" t="str">
        <f>'Unit Data from Audit Worksheet'!C133</f>
        <v>Water &amp; Sewer Revenue, Expenses &amp; Changes in Fund Net Position</v>
      </c>
      <c r="C116" s="209" t="str">
        <f>'Unit Data from Audit Worksheet'!D133</f>
        <v>Mark to Market unrealized losses in the Water and Sewer Fund. (enter as a negative number)</v>
      </c>
      <c r="D116" s="134"/>
      <c r="E116" s="229">
        <f>'Unit Data from Audit Worksheet'!F133</f>
        <v>0</v>
      </c>
      <c r="F116" s="222"/>
      <c r="G116" s="224"/>
      <c r="H116" s="221"/>
      <c r="I116" s="32"/>
      <c r="J116" s="220">
        <v>1053</v>
      </c>
      <c r="K116" s="209" t="s">
        <v>1535</v>
      </c>
      <c r="L116" s="293">
        <f t="shared" si="13"/>
        <v>0</v>
      </c>
      <c r="M116"/>
      <c r="P116" s="194"/>
      <c r="Q116" s="277"/>
      <c r="S116" s="18"/>
      <c r="T116" s="18"/>
      <c r="U116" s="18"/>
      <c r="V116" s="18"/>
      <c r="X116" s="549"/>
      <c r="Y116" s="284"/>
      <c r="Z116" s="18"/>
      <c r="AA116" s="384">
        <f t="shared" si="9"/>
        <v>0</v>
      </c>
      <c r="AB116" s="284"/>
    </row>
    <row r="117" spans="1:28" ht="47.25" customHeight="1" x14ac:dyDescent="0.3">
      <c r="A117" s="210">
        <f>'Unit Data from Audit Worksheet'!A134</f>
        <v>352</v>
      </c>
      <c r="B117" s="223" t="str">
        <f>'Unit Data from Audit Worksheet'!C134</f>
        <v>Water Sewer Revenue, Expenses &amp; Changes in Fund Net Position</v>
      </c>
      <c r="C117" s="209" t="str">
        <f>'Unit Data from Audit Worksheet'!D134</f>
        <v>Total Transfers in - all funds (operating and capital)</v>
      </c>
      <c r="D117" s="134"/>
      <c r="E117" s="229">
        <f>'Unit Data from Audit Worksheet'!F134</f>
        <v>0</v>
      </c>
      <c r="F117" s="222"/>
      <c r="G117" s="224"/>
      <c r="H117" s="221"/>
      <c r="I117" s="32"/>
      <c r="J117" s="220">
        <v>352</v>
      </c>
      <c r="K117" s="219" t="s">
        <v>225</v>
      </c>
      <c r="L117" s="287">
        <f t="shared" si="13"/>
        <v>0</v>
      </c>
      <c r="P117" s="194"/>
      <c r="X117" s="549">
        <v>352</v>
      </c>
      <c r="Y117" s="284">
        <v>352</v>
      </c>
      <c r="AA117" s="384">
        <f t="shared" si="9"/>
        <v>0</v>
      </c>
      <c r="AB117" s="284">
        <f t="shared" si="10"/>
        <v>0</v>
      </c>
    </row>
    <row r="118" spans="1:28" ht="70.5" customHeight="1" x14ac:dyDescent="0.3">
      <c r="A118" s="210">
        <f>'Unit Data from Audit Worksheet'!A135</f>
        <v>986</v>
      </c>
      <c r="B118" s="223" t="str">
        <f>'Unit Data from Audit Worksheet'!C135</f>
        <v>Water Sewer Revenue, Expenses &amp; Changes in Fund Net Position</v>
      </c>
      <c r="C118" s="209" t="str">
        <f>'Unit Data from Audit Worksheet'!D135</f>
        <v>Of the transfers-in above in acct # 352, list amount of transfers-in that were used to support Water Sewer operations  (exclude capital transfers)</v>
      </c>
      <c r="D118" s="134"/>
      <c r="E118" s="229">
        <f>'Unit Data from Audit Worksheet'!F135</f>
        <v>0</v>
      </c>
      <c r="F118" s="222"/>
      <c r="G118" s="224"/>
      <c r="H118" s="221"/>
      <c r="I118" s="32"/>
      <c r="J118" s="220">
        <v>986</v>
      </c>
      <c r="K118" s="209" t="s">
        <v>584</v>
      </c>
      <c r="L118" s="293">
        <f t="shared" si="13"/>
        <v>0</v>
      </c>
      <c r="P118" s="194"/>
      <c r="X118" s="549">
        <v>986</v>
      </c>
      <c r="Y118" s="284">
        <v>986</v>
      </c>
      <c r="AA118" s="384">
        <f t="shared" si="9"/>
        <v>0</v>
      </c>
      <c r="AB118" s="284">
        <f t="shared" si="10"/>
        <v>0</v>
      </c>
    </row>
    <row r="119" spans="1:28" ht="47.25" customHeight="1" x14ac:dyDescent="0.3">
      <c r="A119" s="210">
        <f>'Unit Data from Audit Worksheet'!A136</f>
        <v>353</v>
      </c>
      <c r="B119" s="223" t="str">
        <f>'Unit Data from Audit Worksheet'!C136</f>
        <v>Water Sewer Revenue, Expenses &amp; Changes in Fund Net Position</v>
      </c>
      <c r="C119" s="209" t="str">
        <f>'Unit Data from Audit Worksheet'!D136</f>
        <v>Total Transfers out</v>
      </c>
      <c r="D119" s="134"/>
      <c r="E119" s="229">
        <f>'Unit Data from Audit Worksheet'!F136</f>
        <v>0</v>
      </c>
      <c r="F119" s="222">
        <f>IF(L119&lt;0,"Error: Enter as a positive.",)</f>
        <v>0</v>
      </c>
      <c r="G119" s="224"/>
      <c r="H119" s="221"/>
      <c r="I119" s="32"/>
      <c r="J119" s="34">
        <v>353</v>
      </c>
      <c r="K119" s="219" t="s">
        <v>226</v>
      </c>
      <c r="L119" s="287">
        <f t="shared" si="13"/>
        <v>0</v>
      </c>
      <c r="P119" s="194"/>
      <c r="X119" s="549">
        <v>353</v>
      </c>
      <c r="Y119" s="284">
        <v>353</v>
      </c>
      <c r="AA119" s="384">
        <f t="shared" si="9"/>
        <v>0</v>
      </c>
      <c r="AB119" s="284">
        <f t="shared" si="10"/>
        <v>0</v>
      </c>
    </row>
    <row r="120" spans="1:28" ht="72.75" customHeight="1" x14ac:dyDescent="0.3">
      <c r="A120" s="210">
        <f>'Unit Data from Audit Worksheet'!A137</f>
        <v>50</v>
      </c>
      <c r="B120" s="223" t="str">
        <f>'Unit Data from Audit Worksheet'!C137</f>
        <v>Water Sewer Revenue, Expenses &amp; Changes in Fund Net Position</v>
      </c>
      <c r="C120" s="209" t="str">
        <f>'Unit Data from Audit Worksheet'!D137</f>
        <v>Change in net position - Increase in net position is recorded as a positive and a (Decrease) in net position is recorded as a negative.</v>
      </c>
      <c r="D120" s="134"/>
      <c r="E120" s="139">
        <f>'Unit Data from Audit Worksheet'!F137</f>
        <v>0</v>
      </c>
      <c r="F120" s="222">
        <f>IF(L109-L111+L113-L114+L117+L115-L119-L120=0,,"Error:Total revenues less total expenses do not equal total change in net position. Acct # 84-85+350-351+191+352-353-50")</f>
        <v>0</v>
      </c>
      <c r="G120" s="84">
        <f>+L109-L111+L113-L114+L117+L115-L119-L120</f>
        <v>0</v>
      </c>
      <c r="H120" s="221"/>
      <c r="I120" s="32"/>
      <c r="J120" s="220">
        <v>50</v>
      </c>
      <c r="K120" s="219" t="s">
        <v>92</v>
      </c>
      <c r="L120" s="287">
        <f t="shared" si="13"/>
        <v>0</v>
      </c>
      <c r="P120" s="194"/>
      <c r="X120" s="549">
        <v>50</v>
      </c>
      <c r="Y120" s="284">
        <v>50</v>
      </c>
      <c r="AA120" s="384">
        <f t="shared" si="9"/>
        <v>0</v>
      </c>
      <c r="AB120" s="284">
        <f t="shared" si="10"/>
        <v>0</v>
      </c>
    </row>
    <row r="121" spans="1:28" ht="144" customHeight="1" x14ac:dyDescent="0.3">
      <c r="A121" s="210">
        <f>'Unit Data from Audit Worksheet'!A138</f>
        <v>377</v>
      </c>
      <c r="B121" s="223" t="str">
        <f>'Unit Data from Audit Worksheet'!C138</f>
        <v>Water Sewer Revenue, Expenses &amp; Changes in Fund Net Position</v>
      </c>
      <c r="C121" s="209" t="str">
        <f>'Unit Data from Audit Worksheet'!D138</f>
        <v>Increases or (decreases) to beginning water sewer net position due to rounding, prior period adjustments and restatements.  Increase amounts to beginning net position should be entered as a positive amount and (decreases) should be entered as a negative amount.</v>
      </c>
      <c r="D121" s="134"/>
      <c r="E121" s="139">
        <f>'Unit Data from Audit Worksheet'!F138</f>
        <v>0</v>
      </c>
      <c r="F121" s="80" t="e">
        <f>IF(L89-L120-L121=O89,,"Error:Beginning Balance does not agree with out records.Acct # 83-50-377 = PY83")</f>
        <v>#N/A</v>
      </c>
      <c r="G121" s="84" t="e">
        <f>+L89-L120-L121-O89</f>
        <v>#N/A</v>
      </c>
      <c r="H121" s="221" t="e">
        <f>'Unit Data from Audit Worksheet'!I138</f>
        <v>#N/A</v>
      </c>
      <c r="I121" s="32"/>
      <c r="J121" s="220">
        <v>377</v>
      </c>
      <c r="K121" s="219" t="s">
        <v>101</v>
      </c>
      <c r="L121" s="287">
        <f t="shared" si="13"/>
        <v>0</v>
      </c>
      <c r="P121" s="194"/>
      <c r="X121" s="549">
        <v>377</v>
      </c>
      <c r="Y121" s="284">
        <v>377</v>
      </c>
      <c r="AA121" s="384">
        <f t="shared" si="9"/>
        <v>0</v>
      </c>
      <c r="AB121" s="284">
        <f t="shared" si="10"/>
        <v>0</v>
      </c>
    </row>
    <row r="122" spans="1:28" ht="63" customHeight="1" x14ac:dyDescent="0.3">
      <c r="A122" s="310">
        <f>'Unit Data from Audit Worksheet'!A139</f>
        <v>537</v>
      </c>
      <c r="B122" s="223" t="str">
        <f>'Unit Data from Audit Worksheet'!C139</f>
        <v>Water Sewer Revenue, Expenses &amp; Changes in Fund Net Position</v>
      </c>
      <c r="C122" s="209" t="str">
        <f>'Unit Data from Audit Worksheet'!D139</f>
        <v>Did unit raise Water Sewer rates during the audited fiscal period? - answer Yes =1 or No= 2</v>
      </c>
      <c r="D122" s="129"/>
      <c r="E122" s="229">
        <f>'Unit Data from Audit Worksheet'!F139</f>
        <v>0</v>
      </c>
      <c r="F122" s="222" t="s">
        <v>309</v>
      </c>
      <c r="G122" s="224"/>
      <c r="H122" s="221"/>
      <c r="I122" s="32"/>
      <c r="J122" s="60">
        <v>537</v>
      </c>
      <c r="K122" s="58" t="s">
        <v>280</v>
      </c>
      <c r="L122" s="287">
        <f t="shared" si="13"/>
        <v>0</v>
      </c>
      <c r="N122" s="54" t="s">
        <v>299</v>
      </c>
      <c r="P122" s="194"/>
      <c r="X122" s="549">
        <v>537</v>
      </c>
      <c r="Y122" s="284">
        <v>537</v>
      </c>
      <c r="AA122" s="384">
        <f t="shared" si="9"/>
        <v>0</v>
      </c>
      <c r="AB122" s="284">
        <f t="shared" si="10"/>
        <v>0</v>
      </c>
    </row>
    <row r="123" spans="1:28" ht="63.75" customHeight="1" x14ac:dyDescent="0.3">
      <c r="A123" s="310">
        <f>'Unit Data from Audit Worksheet'!A140</f>
        <v>538</v>
      </c>
      <c r="B123" s="223" t="str">
        <f>'Unit Data from Audit Worksheet'!C140</f>
        <v>Water Sewer Revenue, Expenses &amp; Changes in Fund Net Position</v>
      </c>
      <c r="C123" s="209" t="str">
        <f>'Unit Data from Audit Worksheet'!D140</f>
        <v>Did unit raise Water Sewer rates during the budget year following the audited fiscal year? - answer Yes=1 or No=2</v>
      </c>
      <c r="D123" s="129"/>
      <c r="E123" s="229">
        <f>'Unit Data from Audit Worksheet'!F140</f>
        <v>0</v>
      </c>
      <c r="F123" s="222" t="s">
        <v>309</v>
      </c>
      <c r="G123" s="224"/>
      <c r="H123" s="221"/>
      <c r="I123" s="32"/>
      <c r="J123" s="60">
        <v>538</v>
      </c>
      <c r="K123" s="58" t="s">
        <v>279</v>
      </c>
      <c r="L123" s="287">
        <f t="shared" si="13"/>
        <v>0</v>
      </c>
      <c r="N123" s="54" t="s">
        <v>299</v>
      </c>
      <c r="P123" s="194"/>
      <c r="X123" s="549">
        <v>538</v>
      </c>
      <c r="Y123" s="284">
        <v>538</v>
      </c>
      <c r="AA123" s="384">
        <f t="shared" si="9"/>
        <v>0</v>
      </c>
      <c r="AB123" s="284">
        <f t="shared" si="10"/>
        <v>0</v>
      </c>
    </row>
    <row r="124" spans="1:28" ht="47.25" customHeight="1" x14ac:dyDescent="0.3">
      <c r="A124" s="210">
        <f>'Unit Data from Audit Worksheet'!A142</f>
        <v>97</v>
      </c>
      <c r="B124" s="223" t="str">
        <f>'Unit Data from Audit Worksheet'!C142</f>
        <v>Electric Fund Revenue, Expenses &amp; Changes in Fund Net Position</v>
      </c>
      <c r="C124" s="209" t="str">
        <f>'Unit Data from Audit Worksheet'!D142</f>
        <v>Charges for services</v>
      </c>
      <c r="D124" s="228"/>
      <c r="E124" s="229">
        <f>'Unit Data from Audit Worksheet'!F142</f>
        <v>0</v>
      </c>
      <c r="F124" s="222">
        <f>IF(L124&lt;0,"Error: Enter as a positive.",)</f>
        <v>0</v>
      </c>
      <c r="G124" s="224"/>
      <c r="H124" s="221"/>
      <c r="I124" s="32"/>
      <c r="J124" s="220">
        <v>97</v>
      </c>
      <c r="K124" s="219" t="s">
        <v>227</v>
      </c>
      <c r="L124" s="287">
        <f t="shared" ref="L124:L200" si="15">IF(D124="",E124,D124)</f>
        <v>0</v>
      </c>
      <c r="P124" s="194"/>
      <c r="X124" s="549">
        <v>97</v>
      </c>
      <c r="Y124" s="284">
        <v>97</v>
      </c>
      <c r="AA124" s="384">
        <f t="shared" si="9"/>
        <v>0</v>
      </c>
      <c r="AB124" s="284">
        <f t="shared" si="10"/>
        <v>0</v>
      </c>
    </row>
    <row r="125" spans="1:28" ht="45.75" customHeight="1" x14ac:dyDescent="0.3">
      <c r="A125" s="210">
        <f>'Unit Data from Audit Worksheet'!A143</f>
        <v>93</v>
      </c>
      <c r="B125" s="223" t="str">
        <f>'Unit Data from Audit Worksheet'!C143</f>
        <v>Electric Fund Revenue, Expenses &amp; Changes in Fund Net Position</v>
      </c>
      <c r="C125" s="209" t="str">
        <f>'Unit Data from Audit Worksheet'!D143</f>
        <v>Total Operating revenues</v>
      </c>
      <c r="D125" s="228"/>
      <c r="E125" s="229">
        <f>'Unit Data from Audit Worksheet'!F143</f>
        <v>0</v>
      </c>
      <c r="F125" s="222" t="str">
        <f>IF(L124&gt;L125,"Error: Charges for services exceeds total operating revenues Acct 97&gt;=93"," ")</f>
        <v xml:space="preserve"> </v>
      </c>
      <c r="G125" s="224" t="str">
        <f>IF(Q105=1," Included in error count"," ")</f>
        <v xml:space="preserve"> </v>
      </c>
      <c r="H125" s="221"/>
      <c r="I125" s="32"/>
      <c r="J125" s="220">
        <v>93</v>
      </c>
      <c r="K125" s="219" t="s">
        <v>228</v>
      </c>
      <c r="L125" s="287">
        <f t="shared" si="15"/>
        <v>0</v>
      </c>
      <c r="P125" s="194"/>
      <c r="X125" s="549">
        <v>93</v>
      </c>
      <c r="Y125" s="284">
        <v>93</v>
      </c>
      <c r="AA125" s="384">
        <f t="shared" si="9"/>
        <v>0</v>
      </c>
      <c r="AB125" s="284">
        <f t="shared" si="10"/>
        <v>0</v>
      </c>
    </row>
    <row r="126" spans="1:28" ht="45.75" customHeight="1" x14ac:dyDescent="0.3">
      <c r="A126" s="210">
        <f>'Unit Data from Audit Worksheet'!A144</f>
        <v>99</v>
      </c>
      <c r="B126" s="223" t="str">
        <f>'Unit Data from Audit Worksheet'!C144</f>
        <v>Electric Fund Revenue, Expenses &amp; Changes in Fund Net Position</v>
      </c>
      <c r="C126" s="209" t="str">
        <f>'Unit Data from Audit Worksheet'!D144</f>
        <v>Electrical power purchases</v>
      </c>
      <c r="D126" s="228"/>
      <c r="E126" s="229">
        <f>'Unit Data from Audit Worksheet'!F144</f>
        <v>0</v>
      </c>
      <c r="F126" s="222">
        <f>IF(L126&lt;0,"Error: Enter as a positive.",)</f>
        <v>0</v>
      </c>
      <c r="G126" s="224"/>
      <c r="H126" s="221"/>
      <c r="I126" s="32"/>
      <c r="J126" s="220">
        <v>99</v>
      </c>
      <c r="K126" s="219" t="s">
        <v>229</v>
      </c>
      <c r="L126" s="287">
        <f t="shared" si="15"/>
        <v>0</v>
      </c>
      <c r="P126" s="194"/>
      <c r="S126" s="18"/>
      <c r="T126" s="18"/>
      <c r="U126" s="18"/>
      <c r="V126" s="18"/>
      <c r="X126" s="549">
        <v>99</v>
      </c>
      <c r="Y126" s="284">
        <v>99</v>
      </c>
      <c r="Z126" s="18"/>
      <c r="AA126" s="384">
        <f t="shared" si="9"/>
        <v>0</v>
      </c>
      <c r="AB126" s="284">
        <f t="shared" si="10"/>
        <v>0</v>
      </c>
    </row>
    <row r="127" spans="1:28" ht="45.75" customHeight="1" x14ac:dyDescent="0.3">
      <c r="A127" s="210">
        <f>'Unit Data from Audit Worksheet'!A145</f>
        <v>52</v>
      </c>
      <c r="B127" s="223" t="str">
        <f>'Unit Data from Audit Worksheet'!C145</f>
        <v>Electric Fund Revenue, Expenses &amp; Changes in Fund Net Position</v>
      </c>
      <c r="C127" s="209" t="str">
        <f>'Unit Data from Audit Worksheet'!D145</f>
        <v>Depreciation and amortization expense</v>
      </c>
      <c r="D127" s="228"/>
      <c r="E127" s="229">
        <f>'Unit Data from Audit Worksheet'!F145</f>
        <v>0</v>
      </c>
      <c r="F127" s="222">
        <f>IF(L127&lt;0,"Error: Enter as a positive.",)</f>
        <v>0</v>
      </c>
      <c r="G127" s="224"/>
      <c r="H127" s="221"/>
      <c r="I127" s="32"/>
      <c r="J127" s="220">
        <v>52</v>
      </c>
      <c r="K127" s="219" t="s">
        <v>230</v>
      </c>
      <c r="L127" s="287">
        <f t="shared" si="15"/>
        <v>0</v>
      </c>
      <c r="P127" s="194"/>
      <c r="X127" s="549">
        <v>52</v>
      </c>
      <c r="Y127" s="284">
        <v>52</v>
      </c>
      <c r="AA127" s="384">
        <f t="shared" si="9"/>
        <v>0</v>
      </c>
      <c r="AB127" s="284">
        <f t="shared" si="10"/>
        <v>0</v>
      </c>
    </row>
    <row r="128" spans="1:28" ht="45.75" customHeight="1" x14ac:dyDescent="0.3">
      <c r="A128" s="210">
        <f>'Unit Data from Audit Worksheet'!A146</f>
        <v>94</v>
      </c>
      <c r="B128" s="223" t="str">
        <f>'Unit Data from Audit Worksheet'!C146</f>
        <v>Electric Fund Revenue, Expenses &amp; Changes in Fund Net Position</v>
      </c>
      <c r="C128" s="209" t="str">
        <f>'Unit Data from Audit Worksheet'!D146</f>
        <v>Total Operating expenses</v>
      </c>
      <c r="D128" s="228"/>
      <c r="E128" s="229">
        <f>'Unit Data from Audit Worksheet'!F146</f>
        <v>0</v>
      </c>
      <c r="F128" s="222">
        <f>IF(L128&lt;0,"Error: Enter as a positive.",)</f>
        <v>0</v>
      </c>
      <c r="G128" s="224"/>
      <c r="H128" s="221"/>
      <c r="I128" s="32"/>
      <c r="J128" s="220">
        <v>94</v>
      </c>
      <c r="K128" s="219" t="s">
        <v>231</v>
      </c>
      <c r="L128" s="287">
        <f t="shared" si="15"/>
        <v>0</v>
      </c>
      <c r="P128" s="194"/>
      <c r="X128" s="549">
        <v>94</v>
      </c>
      <c r="Y128" s="284">
        <v>94</v>
      </c>
      <c r="AA128" s="384">
        <f t="shared" si="9"/>
        <v>0</v>
      </c>
      <c r="AB128" s="284">
        <f t="shared" si="10"/>
        <v>0</v>
      </c>
    </row>
    <row r="129" spans="1:28" ht="46.5" customHeight="1" x14ac:dyDescent="0.3">
      <c r="A129" s="210">
        <f>'Unit Data from Audit Worksheet'!A147</f>
        <v>98</v>
      </c>
      <c r="B129" s="223" t="str">
        <f>'Unit Data from Audit Worksheet'!C147</f>
        <v>Electric Fund Revenue, Expenses &amp; Changes in Fund Net Position</v>
      </c>
      <c r="C129" s="209" t="str">
        <f>'Unit Data from Audit Worksheet'!D147</f>
        <v>Interest expense</v>
      </c>
      <c r="D129" s="228"/>
      <c r="E129" s="229">
        <f>'Unit Data from Audit Worksheet'!F147</f>
        <v>0</v>
      </c>
      <c r="F129" s="222">
        <f>IF(L129&lt;0,"Error: Enter as a positive.",)</f>
        <v>0</v>
      </c>
      <c r="G129" s="224"/>
      <c r="H129" s="221"/>
      <c r="I129" s="32"/>
      <c r="J129" s="220">
        <v>98</v>
      </c>
      <c r="K129" s="219" t="s">
        <v>232</v>
      </c>
      <c r="L129" s="287">
        <f t="shared" si="15"/>
        <v>0</v>
      </c>
      <c r="P129" s="194"/>
      <c r="X129" s="549">
        <v>98</v>
      </c>
      <c r="Y129" s="284">
        <v>98</v>
      </c>
      <c r="AA129" s="384">
        <f t="shared" si="9"/>
        <v>0</v>
      </c>
      <c r="AB129" s="284">
        <f t="shared" si="10"/>
        <v>0</v>
      </c>
    </row>
    <row r="130" spans="1:28" ht="51" customHeight="1" x14ac:dyDescent="0.3">
      <c r="A130" s="210">
        <f>'Unit Data from Audit Worksheet'!A148</f>
        <v>363</v>
      </c>
      <c r="B130" s="223" t="str">
        <f>'Unit Data from Audit Worksheet'!C148</f>
        <v>Electric Fund Revenue, Expenses &amp; Changes in Fund Net Position</v>
      </c>
      <c r="C130" s="209" t="str">
        <f>'Unit Data from Audit Worksheet'!D148</f>
        <v>Total all the non-operating revenues  
Exclude Capital Contributions.</v>
      </c>
      <c r="D130" s="228"/>
      <c r="E130" s="229">
        <f>'Unit Data from Audit Worksheet'!F148</f>
        <v>0</v>
      </c>
      <c r="F130" s="222"/>
      <c r="G130" s="224"/>
      <c r="H130" s="221"/>
      <c r="I130" s="32"/>
      <c r="J130" s="220">
        <v>363</v>
      </c>
      <c r="K130" s="219" t="s">
        <v>233</v>
      </c>
      <c r="L130" s="287">
        <f t="shared" si="15"/>
        <v>0</v>
      </c>
      <c r="P130" s="194"/>
      <c r="X130" s="549">
        <v>363</v>
      </c>
      <c r="Y130" s="284">
        <v>363</v>
      </c>
      <c r="AA130" s="384">
        <f t="shared" si="9"/>
        <v>0</v>
      </c>
      <c r="AB130" s="284">
        <f t="shared" si="10"/>
        <v>0</v>
      </c>
    </row>
    <row r="131" spans="1:28" ht="60" customHeight="1" x14ac:dyDescent="0.3">
      <c r="A131" s="210">
        <f>'Unit Data from Audit Worksheet'!A149</f>
        <v>364</v>
      </c>
      <c r="B131" s="223" t="str">
        <f>'Unit Data from Audit Worksheet'!C149</f>
        <v>Electric Fund Revenue, Expenses &amp; Changes in Fund Net Position</v>
      </c>
      <c r="C131" s="209" t="str">
        <f>'Unit Data from Audit Worksheet'!D149</f>
        <v>Total all non-operating expenses.  
Include negative special, extraordinary, or capital contribution.</v>
      </c>
      <c r="D131" s="228"/>
      <c r="E131" s="229">
        <f>'Unit Data from Audit Worksheet'!F149</f>
        <v>0</v>
      </c>
      <c r="F131" s="222">
        <f>IF(L131&lt;0,"Error: Enter as a positive.",)</f>
        <v>0</v>
      </c>
      <c r="G131" s="224"/>
      <c r="H131" s="221"/>
      <c r="I131" s="32"/>
      <c r="J131" s="220">
        <v>364</v>
      </c>
      <c r="K131" s="219" t="s">
        <v>234</v>
      </c>
      <c r="L131" s="287">
        <f t="shared" si="15"/>
        <v>0</v>
      </c>
      <c r="P131" s="194"/>
      <c r="X131" s="549">
        <v>364</v>
      </c>
      <c r="Y131" s="284">
        <v>364</v>
      </c>
      <c r="AA131" s="384">
        <f t="shared" si="9"/>
        <v>0</v>
      </c>
      <c r="AB131" s="284">
        <f t="shared" si="10"/>
        <v>0</v>
      </c>
    </row>
    <row r="132" spans="1:28" ht="89.25" customHeight="1" x14ac:dyDescent="0.3">
      <c r="A132" s="210">
        <f>'Unit Data from Audit Worksheet'!A150</f>
        <v>192</v>
      </c>
      <c r="B132" s="223" t="str">
        <f>'Unit Data from Audit Worksheet'!C150</f>
        <v>Electric Fund Revenue, Expenses &amp; Changes in Fund Net Position</v>
      </c>
      <c r="C132" s="209" t="str">
        <f>'Unit Data from Audit Worksheet'!D150</f>
        <v>Capital Contributions.  
Include only positive capital Contributions.  Negative capital contributions should be included with 'Total all non-operating expenses.'</v>
      </c>
      <c r="D132" s="228"/>
      <c r="E132" s="229">
        <f>'Unit Data from Audit Worksheet'!F150</f>
        <v>0</v>
      </c>
      <c r="F132" s="222">
        <f>IF(L132&lt;0,"Error: Enter as a positive.",)</f>
        <v>0</v>
      </c>
      <c r="G132" s="224"/>
      <c r="H132" s="221"/>
      <c r="I132" s="32"/>
      <c r="J132" s="220">
        <v>192</v>
      </c>
      <c r="K132" s="219" t="s">
        <v>235</v>
      </c>
      <c r="L132" s="287">
        <f t="shared" si="15"/>
        <v>0</v>
      </c>
      <c r="P132" s="194"/>
      <c r="X132" s="549">
        <v>192</v>
      </c>
      <c r="Y132" s="284">
        <v>192</v>
      </c>
      <c r="AA132" s="384">
        <f t="shared" si="9"/>
        <v>0</v>
      </c>
      <c r="AB132" s="284">
        <f t="shared" si="10"/>
        <v>0</v>
      </c>
    </row>
    <row r="133" spans="1:28" s="384" customFormat="1" ht="89.25" customHeight="1" x14ac:dyDescent="0.3">
      <c r="A133" s="210">
        <f>'Unit Data from Audit Worksheet'!A151</f>
        <v>1054</v>
      </c>
      <c r="B133" s="223" t="str">
        <f>'Unit Data from Audit Worksheet'!C151</f>
        <v>Electric Fund Revenue, Expenses &amp; Changes in Fund Net Position</v>
      </c>
      <c r="C133" s="209" t="str">
        <f>'Unit Data from Audit Worksheet'!D151</f>
        <v xml:space="preserve"> Mark to Market unrealized losses in the Electric Fund. (enter as a negative number)</v>
      </c>
      <c r="D133" s="228"/>
      <c r="E133" s="229">
        <f>'Unit Data from Audit Worksheet'!F151</f>
        <v>0</v>
      </c>
      <c r="F133" s="222"/>
      <c r="G133" s="224"/>
      <c r="H133" s="221"/>
      <c r="I133" s="32"/>
      <c r="J133" s="220">
        <v>1054</v>
      </c>
      <c r="K133" s="209" t="s">
        <v>1441</v>
      </c>
      <c r="L133" s="287">
        <f t="shared" si="15"/>
        <v>0</v>
      </c>
      <c r="M133"/>
      <c r="P133" s="194"/>
      <c r="Q133" s="277"/>
      <c r="X133" s="549"/>
      <c r="Y133" s="284"/>
      <c r="AA133" s="384">
        <f t="shared" si="9"/>
        <v>0</v>
      </c>
      <c r="AB133" s="284"/>
    </row>
    <row r="134" spans="1:28" ht="42.75" customHeight="1" x14ac:dyDescent="0.3">
      <c r="A134" s="210">
        <f>'Unit Data from Audit Worksheet'!A152</f>
        <v>365</v>
      </c>
      <c r="B134" s="223" t="str">
        <f>'Unit Data from Audit Worksheet'!C152</f>
        <v>Electric Fund Revenue, Expenses &amp; Changes in Fund Net Position</v>
      </c>
      <c r="C134" s="209" t="str">
        <f>'Unit Data from Audit Worksheet'!D152</f>
        <v>Total Transfers In (From all Funds)</v>
      </c>
      <c r="D134" s="228"/>
      <c r="E134" s="229">
        <f>'Unit Data from Audit Worksheet'!F152</f>
        <v>0</v>
      </c>
      <c r="F134" s="222"/>
      <c r="G134" s="224"/>
      <c r="H134" s="221"/>
      <c r="I134" s="32"/>
      <c r="J134" s="220">
        <v>365</v>
      </c>
      <c r="K134" s="219" t="s">
        <v>236</v>
      </c>
      <c r="L134" s="287">
        <f t="shared" si="15"/>
        <v>0</v>
      </c>
      <c r="P134" s="194"/>
      <c r="X134" s="549">
        <v>365</v>
      </c>
      <c r="Y134" s="284">
        <v>365</v>
      </c>
      <c r="AA134" s="384">
        <f t="shared" si="9"/>
        <v>0</v>
      </c>
      <c r="AB134" s="284">
        <f t="shared" si="10"/>
        <v>0</v>
      </c>
    </row>
    <row r="135" spans="1:28" ht="42.75" customHeight="1" x14ac:dyDescent="0.3">
      <c r="A135" s="210">
        <f>'Unit Data from Audit Worksheet'!A153</f>
        <v>366</v>
      </c>
      <c r="B135" s="223" t="str">
        <f>'Unit Data from Audit Worksheet'!C153</f>
        <v>Electric Fund Revenue, Expenses &amp; Changes in Fund Net Position</v>
      </c>
      <c r="C135" s="209" t="str">
        <f>'Unit Data from Audit Worksheet'!D153</f>
        <v>Total Transfers Out (To all funds)</v>
      </c>
      <c r="D135" s="228"/>
      <c r="E135" s="229">
        <f>'Unit Data from Audit Worksheet'!F153</f>
        <v>0</v>
      </c>
      <c r="F135" s="222">
        <f>IF(L135&lt;0,"Error: Enter as a positive.",)</f>
        <v>0</v>
      </c>
      <c r="G135" s="224"/>
      <c r="H135" s="221"/>
      <c r="I135" s="32"/>
      <c r="J135" s="220">
        <v>366</v>
      </c>
      <c r="K135" s="219" t="s">
        <v>291</v>
      </c>
      <c r="L135" s="287">
        <f t="shared" si="15"/>
        <v>0</v>
      </c>
      <c r="P135" s="194"/>
      <c r="X135" s="549">
        <v>366</v>
      </c>
      <c r="Y135" s="284">
        <v>366</v>
      </c>
      <c r="AA135" s="384">
        <f t="shared" si="9"/>
        <v>0</v>
      </c>
      <c r="AB135" s="284">
        <f t="shared" si="10"/>
        <v>0</v>
      </c>
    </row>
    <row r="136" spans="1:28" s="18" customFormat="1" ht="76.5" customHeight="1" x14ac:dyDescent="0.3">
      <c r="A136" s="210">
        <f>'Unit Data from Audit Worksheet'!A154</f>
        <v>53</v>
      </c>
      <c r="B136" s="223" t="str">
        <f>'Unit Data from Audit Worksheet'!C154</f>
        <v>Electric Fund Revenue, Expenses &amp; Changes in Fund Net Position</v>
      </c>
      <c r="C136" s="209" t="str">
        <f>'Unit Data from Audit Worksheet'!D154</f>
        <v>Change in net position - Increase in net position is recorded as a positive and a (decrease) in net position is recorded as a negative.</v>
      </c>
      <c r="D136" s="228"/>
      <c r="E136" s="229">
        <f>'Unit Data from Audit Worksheet'!F154</f>
        <v>0</v>
      </c>
      <c r="F136" s="222">
        <f>IF(L125-L128+L130-L131+L132+L134-L135-L136=0,,"Error: Total revenues less total exp. does not equal change in net position Acct 93-94+363-364+192+365-366-53=0")</f>
        <v>0</v>
      </c>
      <c r="G136" s="84">
        <f>+L125-L128+L130-L131+L132+L134-L135-L136</f>
        <v>0</v>
      </c>
      <c r="H136" s="221"/>
      <c r="I136" s="32"/>
      <c r="J136" s="220">
        <v>53</v>
      </c>
      <c r="K136" s="219" t="s">
        <v>93</v>
      </c>
      <c r="L136" s="287">
        <f t="shared" si="15"/>
        <v>0</v>
      </c>
      <c r="M136"/>
      <c r="P136" s="194"/>
      <c r="Q136" s="277"/>
      <c r="R136" s="3"/>
      <c r="S136" s="3"/>
      <c r="T136" s="3"/>
      <c r="U136" s="3"/>
      <c r="V136" s="3"/>
      <c r="W136" s="3"/>
      <c r="X136" s="549">
        <v>53</v>
      </c>
      <c r="Y136" s="284">
        <v>53</v>
      </c>
      <c r="Z136" s="3"/>
      <c r="AA136" s="384">
        <f t="shared" si="9"/>
        <v>0</v>
      </c>
      <c r="AB136" s="284">
        <f t="shared" si="10"/>
        <v>0</v>
      </c>
    </row>
    <row r="137" spans="1:28" ht="140.25" customHeight="1" x14ac:dyDescent="0.3">
      <c r="A137" s="210">
        <f>'Unit Data from Audit Worksheet'!A155</f>
        <v>378</v>
      </c>
      <c r="B137" s="223" t="str">
        <f>'Unit Data from Audit Worksheet'!C155</f>
        <v>Electric Fund Revenue, Expenses &amp; Changes in Fund Net Position</v>
      </c>
      <c r="C137" s="209" t="str">
        <f>'Unit Data from Audit Worksheet'!D155</f>
        <v>Increases or (decreases) to beginning electric net position due to rounding, prior period adjustments and restatements.  Increase amounts to beginning net position should be entered as a positive amount and (decreases) should be entered as a negative amount.</v>
      </c>
      <c r="D137" s="228"/>
      <c r="E137" s="229">
        <f>+'Unit Data from Audit Worksheet'!F155</f>
        <v>0</v>
      </c>
      <c r="F137" s="222" t="e">
        <f>IF(L107-L136-L137=O107,,"Error: Beg. Bal does not agree with our records Acct 362-53-378= pr yr 362")</f>
        <v>#N/A</v>
      </c>
      <c r="G137" s="84" t="e">
        <f>L107-L136-L137-O107</f>
        <v>#N/A</v>
      </c>
      <c r="H137" s="221" t="e">
        <f>'Unit Data from Audit Worksheet'!I155</f>
        <v>#N/A</v>
      </c>
      <c r="I137" s="32"/>
      <c r="J137" s="220">
        <v>378</v>
      </c>
      <c r="K137" s="219" t="s">
        <v>102</v>
      </c>
      <c r="L137" s="287">
        <f t="shared" si="15"/>
        <v>0</v>
      </c>
      <c r="P137" s="194"/>
      <c r="X137" s="549">
        <v>378</v>
      </c>
      <c r="Y137" s="284">
        <v>378</v>
      </c>
      <c r="AA137" s="384">
        <f t="shared" si="9"/>
        <v>0</v>
      </c>
      <c r="AB137" s="284">
        <f t="shared" si="10"/>
        <v>0</v>
      </c>
    </row>
    <row r="138" spans="1:28" ht="28.8" x14ac:dyDescent="0.3">
      <c r="A138" s="210">
        <f>'Unit Data from Audit Worksheet'!A160</f>
        <v>51</v>
      </c>
      <c r="B138" s="223" t="str">
        <f>'Unit Data from Audit Worksheet'!C160</f>
        <v>Water Sewer Cash Flow Statement</v>
      </c>
      <c r="C138" s="209" t="str">
        <f>'Unit Data from Audit Worksheet'!D160</f>
        <v>Total Cash flow from operating activities  - (Enter negative cash flows as negative)</v>
      </c>
      <c r="D138" s="228"/>
      <c r="E138" s="229">
        <f>'Unit Data from Audit Worksheet'!F160</f>
        <v>0</v>
      </c>
      <c r="F138" s="222"/>
      <c r="G138" s="224"/>
      <c r="H138" s="221"/>
      <c r="I138" s="32"/>
      <c r="J138" s="220">
        <v>51</v>
      </c>
      <c r="K138" s="219" t="s">
        <v>237</v>
      </c>
      <c r="L138" s="287">
        <f t="shared" si="15"/>
        <v>0</v>
      </c>
      <c r="P138" s="194"/>
      <c r="X138" s="549">
        <v>51</v>
      </c>
      <c r="Y138" s="284">
        <v>51</v>
      </c>
      <c r="AA138" s="384">
        <f t="shared" ref="AA138:AA209" si="16">A138-J138</f>
        <v>0</v>
      </c>
      <c r="AB138" s="284">
        <f t="shared" ref="AB138:AB209" si="17">E138-L138</f>
        <v>0</v>
      </c>
    </row>
    <row r="139" spans="1:28" ht="64.5" customHeight="1" x14ac:dyDescent="0.3">
      <c r="A139" s="210">
        <f>'Unit Data from Audit Worksheet'!A161</f>
        <v>332</v>
      </c>
      <c r="B139" s="223" t="str">
        <f>'Unit Data from Audit Worksheet'!C161</f>
        <v>Water Sewer Cash Flow Statement</v>
      </c>
      <c r="C139" s="209" t="str">
        <f>'Unit Data from Audit Worksheet'!D161</f>
        <v>Total Capital outlay. 
Include acquisition and construction of capital assets.</v>
      </c>
      <c r="D139" s="228"/>
      <c r="E139" s="229">
        <f>'Unit Data from Audit Worksheet'!F161</f>
        <v>0</v>
      </c>
      <c r="F139" s="222">
        <f>IF(L139&lt;0,"Error: Enter as a positive.",)</f>
        <v>0</v>
      </c>
      <c r="G139" s="224"/>
      <c r="H139" s="221"/>
      <c r="I139" s="32"/>
      <c r="J139" s="220">
        <v>332</v>
      </c>
      <c r="K139" s="219" t="s">
        <v>239</v>
      </c>
      <c r="L139" s="287">
        <f t="shared" si="15"/>
        <v>0</v>
      </c>
      <c r="O139" s="294"/>
      <c r="P139" s="194"/>
      <c r="X139" s="549">
        <v>332</v>
      </c>
      <c r="Y139" s="284">
        <v>332</v>
      </c>
      <c r="AA139" s="384">
        <f t="shared" si="16"/>
        <v>0</v>
      </c>
      <c r="AB139" s="284">
        <f t="shared" si="17"/>
        <v>0</v>
      </c>
    </row>
    <row r="140" spans="1:28" ht="58.5" customHeight="1" x14ac:dyDescent="0.3">
      <c r="A140" s="210">
        <f>'Unit Data from Audit Worksheet'!A162</f>
        <v>331</v>
      </c>
      <c r="B140" s="223" t="str">
        <f>'Unit Data from Audit Worksheet'!C162</f>
        <v>Water Sewer Cash Flow Statement</v>
      </c>
      <c r="C140" s="209" t="str">
        <f>'Unit Data from Audit Worksheet'!D162</f>
        <v>Principal paid on long-term debt.  Amount should be reduced by principal payments for debt refunding.</v>
      </c>
      <c r="D140" s="228"/>
      <c r="E140" s="229">
        <f>'Unit Data from Audit Worksheet'!F162</f>
        <v>0</v>
      </c>
      <c r="F140" s="222">
        <f>IF(L140&lt;0,"Error: Enter as a positive.",)</f>
        <v>0</v>
      </c>
      <c r="G140" s="224"/>
      <c r="H140" s="221"/>
      <c r="I140" s="32"/>
      <c r="J140" s="220">
        <v>331</v>
      </c>
      <c r="K140" s="219" t="s">
        <v>238</v>
      </c>
      <c r="L140" s="287">
        <f t="shared" si="15"/>
        <v>0</v>
      </c>
      <c r="O140" s="294"/>
      <c r="P140" s="194"/>
      <c r="X140" s="549">
        <v>331</v>
      </c>
      <c r="Y140" s="284">
        <v>331</v>
      </c>
      <c r="AA140" s="384">
        <f t="shared" si="16"/>
        <v>0</v>
      </c>
      <c r="AB140" s="284">
        <f t="shared" si="17"/>
        <v>0</v>
      </c>
    </row>
    <row r="141" spans="1:28" ht="51.75" customHeight="1" x14ac:dyDescent="0.3">
      <c r="A141" s="210">
        <f>'Unit Data from Audit Worksheet'!A164</f>
        <v>55</v>
      </c>
      <c r="B141" s="223" t="str">
        <f>'Unit Data from Audit Worksheet'!C164</f>
        <v>Electric Fund Cash Flow Statement</v>
      </c>
      <c r="C141" s="209" t="str">
        <f>'Unit Data from Audit Worksheet'!D164</f>
        <v>Cash flow from operating activities - (enter negative cash flows as negative)</v>
      </c>
      <c r="D141" s="228"/>
      <c r="E141" s="229">
        <f>'Unit Data from Audit Worksheet'!F164</f>
        <v>0</v>
      </c>
      <c r="F141" s="222"/>
      <c r="G141" s="224"/>
      <c r="H141" s="221"/>
      <c r="I141" s="32"/>
      <c r="J141" s="220">
        <v>55</v>
      </c>
      <c r="K141" s="219" t="s">
        <v>240</v>
      </c>
      <c r="L141" s="287">
        <f t="shared" si="15"/>
        <v>0</v>
      </c>
      <c r="P141" s="194"/>
      <c r="X141" s="549">
        <v>55</v>
      </c>
      <c r="Y141" s="284">
        <v>55</v>
      </c>
      <c r="AA141" s="384">
        <f t="shared" si="16"/>
        <v>0</v>
      </c>
      <c r="AB141" s="284">
        <f t="shared" si="17"/>
        <v>0</v>
      </c>
    </row>
    <row r="142" spans="1:28" ht="58.5" customHeight="1" x14ac:dyDescent="0.3">
      <c r="A142" s="210">
        <f>'Unit Data from Audit Worksheet'!A165</f>
        <v>101</v>
      </c>
      <c r="B142" s="223" t="str">
        <f>'Unit Data from Audit Worksheet'!C165</f>
        <v>Electric Fund Cash Flow Statement</v>
      </c>
      <c r="C142" s="209" t="str">
        <f>'Unit Data from Audit Worksheet'!D165</f>
        <v>Total Capital outlay.  
Include acquisition and construction of capital assets.</v>
      </c>
      <c r="D142" s="228"/>
      <c r="E142" s="229">
        <f>'Unit Data from Audit Worksheet'!F165</f>
        <v>0</v>
      </c>
      <c r="F142" s="222">
        <f>IF(L142&lt;0,"Error: Enter as a positive.",)</f>
        <v>0</v>
      </c>
      <c r="G142" s="224"/>
      <c r="H142" s="221"/>
      <c r="I142" s="32"/>
      <c r="J142" s="220">
        <v>101</v>
      </c>
      <c r="K142" s="219" t="s">
        <v>241</v>
      </c>
      <c r="L142" s="287">
        <f t="shared" si="15"/>
        <v>0</v>
      </c>
      <c r="P142" s="194"/>
      <c r="X142" s="549">
        <v>101</v>
      </c>
      <c r="Y142" s="284">
        <v>101</v>
      </c>
      <c r="AA142" s="384">
        <f t="shared" si="16"/>
        <v>0</v>
      </c>
      <c r="AB142" s="284">
        <f t="shared" si="17"/>
        <v>0</v>
      </c>
    </row>
    <row r="143" spans="1:28" ht="60.75" customHeight="1" x14ac:dyDescent="0.3">
      <c r="A143" s="210">
        <f>'Unit Data from Audit Worksheet'!A166</f>
        <v>100</v>
      </c>
      <c r="B143" s="223" t="str">
        <f>'Unit Data from Audit Worksheet'!C166</f>
        <v>Electric Fund Cash Flow Statement</v>
      </c>
      <c r="C143" s="209" t="str">
        <f>'Unit Data from Audit Worksheet'!D166</f>
        <v>Principal paid on long-term debt.  Amount should be reduced by principal payments for debt refunding.</v>
      </c>
      <c r="D143" s="228"/>
      <c r="E143" s="229">
        <f>'Unit Data from Audit Worksheet'!F166</f>
        <v>0</v>
      </c>
      <c r="F143" s="222">
        <f>IF(L143&lt;0,"Error: Enter as a positive.",)</f>
        <v>0</v>
      </c>
      <c r="G143" s="224"/>
      <c r="H143" s="221"/>
      <c r="I143" s="32"/>
      <c r="J143" s="220">
        <v>100</v>
      </c>
      <c r="K143" s="219" t="s">
        <v>242</v>
      </c>
      <c r="L143" s="287">
        <f t="shared" si="15"/>
        <v>0</v>
      </c>
      <c r="P143" s="194"/>
      <c r="X143" s="549">
        <v>100</v>
      </c>
      <c r="Y143" s="284">
        <v>100</v>
      </c>
      <c r="AA143" s="384">
        <f t="shared" si="16"/>
        <v>0</v>
      </c>
      <c r="AB143" s="284">
        <f t="shared" si="17"/>
        <v>0</v>
      </c>
    </row>
    <row r="144" spans="1:28" s="384" customFormat="1" ht="95.4" customHeight="1" x14ac:dyDescent="0.3">
      <c r="A144" s="210">
        <f>'Unit Data from Audit Worksheet'!A168</f>
        <v>1060</v>
      </c>
      <c r="B144" s="223">
        <f>'Unit Data from Audit Worksheet'!C168</f>
        <v>0</v>
      </c>
      <c r="C144" s="209" t="str">
        <f>'Unit Data from Audit Worksheet'!D168</f>
        <v>Total American Rescue Plan Act (ARPA) of 2021-Coronavrius State &amp; Local Fiscal Recovery Funds actually expended since inception as of June 30th.  Do not include encumbered funds in this number.</v>
      </c>
      <c r="D144" s="228"/>
      <c r="E144" s="229">
        <f>'Unit Data from Audit Worksheet'!F168</f>
        <v>0</v>
      </c>
      <c r="F144" s="222"/>
      <c r="G144" s="224"/>
      <c r="H144" s="221"/>
      <c r="I144" s="32"/>
      <c r="J144" s="220">
        <v>1060</v>
      </c>
      <c r="K144" s="209" t="s">
        <v>1442</v>
      </c>
      <c r="L144" s="287">
        <f t="shared" si="15"/>
        <v>0</v>
      </c>
      <c r="M144"/>
      <c r="P144" s="194"/>
      <c r="Q144" s="277"/>
      <c r="X144" s="549"/>
      <c r="Y144" s="284"/>
      <c r="AB144" s="284"/>
    </row>
    <row r="145" spans="1:28" s="384" customFormat="1" ht="85.95" customHeight="1" x14ac:dyDescent="0.3">
      <c r="A145" s="210">
        <f>'Unit Data from Audit Worksheet'!A169</f>
        <v>1061</v>
      </c>
      <c r="B145" s="223">
        <f>'Unit Data from Audit Worksheet'!C169</f>
        <v>0</v>
      </c>
      <c r="C145" s="209" t="str">
        <f>'Unit Data from Audit Worksheet'!D169</f>
        <v>Total American Rescue Plan Act (ARPA) of 2021-Coronavrius State &amp; Local Fiscal Recovery Funds encumbered or obligated and not yet expended since inception as of June 30th.</v>
      </c>
      <c r="D145" s="228"/>
      <c r="E145" s="229">
        <f>'Unit Data from Audit Worksheet'!F169</f>
        <v>0</v>
      </c>
      <c r="F145" s="222"/>
      <c r="G145" s="224"/>
      <c r="H145" s="221"/>
      <c r="I145" s="32"/>
      <c r="J145" s="220">
        <v>1061</v>
      </c>
      <c r="K145" s="209" t="s">
        <v>1526</v>
      </c>
      <c r="L145" s="287">
        <f t="shared" si="15"/>
        <v>0</v>
      </c>
      <c r="M145"/>
      <c r="P145" s="194"/>
      <c r="Q145" s="277"/>
      <c r="X145" s="549"/>
      <c r="Y145" s="284"/>
      <c r="AB145" s="284"/>
    </row>
    <row r="146" spans="1:28" s="384" customFormat="1" ht="81.599999999999994" customHeight="1" x14ac:dyDescent="0.3">
      <c r="A146" s="210">
        <f>'Unit Data from Audit Worksheet'!A170</f>
        <v>1062</v>
      </c>
      <c r="B146" s="223">
        <f>'Unit Data from Audit Worksheet'!C170</f>
        <v>0</v>
      </c>
      <c r="C146" s="209" t="str">
        <f>'Unit Data from Audit Worksheet'!D170</f>
        <v xml:space="preserve">Are the American Rescue Plan Act (ARPA) of 2021-Coronavrius State &amp; Local Fiscal Recovery Funds on target to be committed by December 31, 2024? (Yes = 1 or No = 2or N/A = 3 if unit did not receive funds) </v>
      </c>
      <c r="D146" s="228"/>
      <c r="E146" s="229">
        <f>'Unit Data from Audit Worksheet'!F170</f>
        <v>0</v>
      </c>
      <c r="F146" s="222"/>
      <c r="G146" s="222"/>
      <c r="H146" s="221"/>
      <c r="I146" s="32"/>
      <c r="J146" s="220">
        <v>1062</v>
      </c>
      <c r="K146" s="209" t="s">
        <v>1525</v>
      </c>
      <c r="L146" s="287">
        <f t="shared" si="15"/>
        <v>0</v>
      </c>
      <c r="M146"/>
      <c r="P146" s="194"/>
      <c r="Q146" s="277"/>
      <c r="X146" s="549"/>
      <c r="Y146" s="284"/>
      <c r="AB146" s="284"/>
    </row>
    <row r="147" spans="1:28" s="384" customFormat="1" ht="99.6" customHeight="1" x14ac:dyDescent="0.3">
      <c r="A147" s="210">
        <f>'Unit Data from Audit Worksheet'!A171</f>
        <v>1063</v>
      </c>
      <c r="B147" s="223">
        <f>'Unit Data from Audit Worksheet'!C171</f>
        <v>0</v>
      </c>
      <c r="C147" s="209" t="str">
        <f>'Unit Data from Audit Worksheet'!D171</f>
        <v>Are the American Rescue Plan Act (ARPA) of 2021-Coronavrius State &amp; Local Fiscal Recovery Funds on target to be completely expended by December 31, 2026? (Yes = 1 or No = 2 or N/A = 3 if unit did not receive funds)</v>
      </c>
      <c r="D147" s="228"/>
      <c r="E147" s="229">
        <f>'Unit Data from Audit Worksheet'!F171</f>
        <v>0</v>
      </c>
      <c r="F147" s="222"/>
      <c r="G147" s="224"/>
      <c r="H147" s="221"/>
      <c r="I147" s="32"/>
      <c r="J147" s="220">
        <v>1063</v>
      </c>
      <c r="K147" s="209" t="s">
        <v>1527</v>
      </c>
      <c r="L147" s="287">
        <f t="shared" si="15"/>
        <v>0</v>
      </c>
      <c r="M147"/>
      <c r="P147" s="194"/>
      <c r="Q147" s="277"/>
      <c r="X147" s="549"/>
      <c r="Y147" s="284"/>
      <c r="AB147" s="284"/>
    </row>
    <row r="148" spans="1:28" ht="71.25" customHeight="1" x14ac:dyDescent="0.3">
      <c r="A148" s="210">
        <f>'Unit Data from Audit Worksheet'!A173</f>
        <v>512</v>
      </c>
      <c r="B148" s="223" t="str">
        <f>'Unit Data from Audit Worksheet'!C173</f>
        <v>Fiduciary Statements</v>
      </c>
      <c r="C148" s="209" t="str">
        <f>'Unit Data from Audit Worksheet'!D173</f>
        <v>Cash and investments.  
Include:  unrestricted and restricted.  
                   cash and investments held 
                   by a third party</v>
      </c>
      <c r="D148" s="228"/>
      <c r="E148" s="229">
        <f>'Unit Data from Audit Worksheet'!F173</f>
        <v>0</v>
      </c>
      <c r="F148" s="222">
        <f>IF(L148&lt;0,"Error: Number is normally positive.",)</f>
        <v>0</v>
      </c>
      <c r="G148" s="224"/>
      <c r="H148" s="221"/>
      <c r="I148" s="32"/>
      <c r="J148" s="220">
        <v>512</v>
      </c>
      <c r="K148" s="219" t="s">
        <v>243</v>
      </c>
      <c r="L148" s="287">
        <f t="shared" si="15"/>
        <v>0</v>
      </c>
      <c r="P148" s="194"/>
      <c r="X148" s="549">
        <v>512</v>
      </c>
      <c r="Y148" s="284">
        <v>512</v>
      </c>
      <c r="AA148" s="384">
        <f t="shared" si="16"/>
        <v>0</v>
      </c>
      <c r="AB148" s="284">
        <f t="shared" si="17"/>
        <v>0</v>
      </c>
    </row>
    <row r="149" spans="1:28" ht="62.25" customHeight="1" x14ac:dyDescent="0.3">
      <c r="A149" s="210">
        <f>'Unit Data from Audit Worksheet'!A175</f>
        <v>656</v>
      </c>
      <c r="B149" s="223">
        <f>'Unit Data from Audit Worksheet'!C175</f>
        <v>0</v>
      </c>
      <c r="C149" s="209" t="str">
        <f>'Unit Data from Audit Worksheet'!D175</f>
        <v>Do you use prepared food/occupancy tax revenue stream to support debt?  Select "1" for Yes and "2" for No from drop down list.</v>
      </c>
      <c r="D149" s="129"/>
      <c r="E149" s="229">
        <f>'Unit Data from Audit Worksheet'!F175</f>
        <v>0</v>
      </c>
      <c r="F149" s="222"/>
      <c r="G149" s="224"/>
      <c r="H149" s="221"/>
      <c r="I149" s="32"/>
      <c r="J149" s="220">
        <v>656</v>
      </c>
      <c r="K149" s="226" t="s">
        <v>419</v>
      </c>
      <c r="L149" s="311">
        <f>E149</f>
        <v>0</v>
      </c>
      <c r="N149" s="18"/>
      <c r="O149" s="18"/>
      <c r="P149" s="194"/>
      <c r="X149" s="549">
        <v>656</v>
      </c>
      <c r="Y149" s="284">
        <v>656</v>
      </c>
      <c r="AA149" s="384">
        <f t="shared" si="16"/>
        <v>0</v>
      </c>
      <c r="AB149" s="284">
        <f t="shared" si="17"/>
        <v>0</v>
      </c>
    </row>
    <row r="150" spans="1:28" s="18" customFormat="1" ht="102.75" customHeight="1" x14ac:dyDescent="0.3">
      <c r="A150" s="210">
        <f>'Unit Data from Audit Worksheet'!A177</f>
        <v>535</v>
      </c>
      <c r="B150" s="223" t="str">
        <f>'Unit Data from Audit Worksheet'!C177</f>
        <v>Cash and Investment Note</v>
      </c>
      <c r="C150" s="209" t="str">
        <f>'Unit Data from Audit Worksheet'!D177</f>
        <v>Cash and Investment - Please list the book value of any unspent debt proceeds (bonds, installment, etc.) in any funds as of June 30.  This information may be on the face of your statements or in the notes</v>
      </c>
      <c r="D150" s="228"/>
      <c r="E150" s="229">
        <f>'Unit Data from Audit Worksheet'!F177</f>
        <v>0</v>
      </c>
      <c r="F150" s="80" t="str">
        <f>IF(L150&gt;1,,"Reminder: Please make sure you have entered all cash and investments from bond proceeds, if applicable")</f>
        <v>Reminder: Please make sure you have entered all cash and investments from bond proceeds, if applicable</v>
      </c>
      <c r="G150" s="224"/>
      <c r="H150" s="221"/>
      <c r="I150" s="32"/>
      <c r="J150" s="220">
        <v>535</v>
      </c>
      <c r="K150" s="55" t="s">
        <v>244</v>
      </c>
      <c r="L150" s="287">
        <f t="shared" si="15"/>
        <v>0</v>
      </c>
      <c r="M150"/>
      <c r="P150" s="194"/>
      <c r="Q150" s="277"/>
      <c r="R150" s="3"/>
      <c r="S150" s="3"/>
      <c r="T150" s="3"/>
      <c r="U150" s="3"/>
      <c r="V150" s="3"/>
      <c r="W150" s="3"/>
      <c r="X150" s="549">
        <v>535</v>
      </c>
      <c r="Y150" s="284">
        <v>535</v>
      </c>
      <c r="Z150" s="3"/>
      <c r="AA150" s="384">
        <f t="shared" si="16"/>
        <v>0</v>
      </c>
      <c r="AB150" s="284">
        <f t="shared" si="17"/>
        <v>0</v>
      </c>
    </row>
    <row r="151" spans="1:28" ht="45.75" customHeight="1" x14ac:dyDescent="0.3">
      <c r="A151" s="210">
        <f>'Unit Data from Audit Worksheet'!A181</f>
        <v>334</v>
      </c>
      <c r="B151" s="223" t="str">
        <f>'Unit Data from Audit Worksheet'!C181</f>
        <v>Gov.-Capital Assets Schedule in the Notes</v>
      </c>
      <c r="C151" s="209" t="str">
        <f>'Unit Data from Audit Worksheet'!D181</f>
        <v>Gross value.  
Exclude non-depreciable.</v>
      </c>
      <c r="D151" s="228"/>
      <c r="E151" s="229">
        <f>'Unit Data from Audit Worksheet'!F181</f>
        <v>0</v>
      </c>
      <c r="F151" s="80"/>
      <c r="G151" s="224"/>
      <c r="H151" s="221"/>
      <c r="I151" s="32"/>
      <c r="J151" s="220">
        <v>334</v>
      </c>
      <c r="K151" s="55" t="s">
        <v>261</v>
      </c>
      <c r="L151" s="287">
        <f t="shared" si="15"/>
        <v>0</v>
      </c>
      <c r="P151" s="194"/>
      <c r="X151" s="549">
        <v>334</v>
      </c>
      <c r="Y151" s="284">
        <v>334</v>
      </c>
      <c r="AA151" s="384">
        <f t="shared" si="16"/>
        <v>0</v>
      </c>
      <c r="AB151" s="284">
        <f t="shared" si="17"/>
        <v>0</v>
      </c>
    </row>
    <row r="152" spans="1:28" ht="57" customHeight="1" x14ac:dyDescent="0.3">
      <c r="A152" s="210">
        <f>'Unit Data from Audit Worksheet'!A182</f>
        <v>373</v>
      </c>
      <c r="B152" s="223" t="str">
        <f>'Unit Data from Audit Worksheet'!C182</f>
        <v>Gov.-Capital Assets Schedule in the Notes</v>
      </c>
      <c r="C152" s="209" t="str">
        <f>'Unit Data from Audit Worksheet'!D182</f>
        <v>Accumulated depreciation</v>
      </c>
      <c r="D152" s="228"/>
      <c r="E152" s="229">
        <f>'Unit Data from Audit Worksheet'!F182</f>
        <v>0</v>
      </c>
      <c r="F152" s="80"/>
      <c r="G152" s="224"/>
      <c r="H152" s="221"/>
      <c r="I152" s="32"/>
      <c r="J152" s="220">
        <v>373</v>
      </c>
      <c r="K152" s="52" t="s">
        <v>302</v>
      </c>
      <c r="L152" s="287">
        <f t="shared" si="15"/>
        <v>0</v>
      </c>
      <c r="P152" s="194"/>
      <c r="X152" s="549">
        <v>373</v>
      </c>
      <c r="Y152" s="284">
        <v>373</v>
      </c>
      <c r="AA152" s="384">
        <f t="shared" si="16"/>
        <v>0</v>
      </c>
      <c r="AB152" s="284">
        <f t="shared" si="17"/>
        <v>0</v>
      </c>
    </row>
    <row r="153" spans="1:28" ht="102.75" customHeight="1" x14ac:dyDescent="0.3">
      <c r="A153" s="210">
        <f>'Unit Data from Audit Worksheet'!A183</f>
        <v>987</v>
      </c>
      <c r="B153" s="223">
        <f>'Unit Data from Audit Worksheet'!C183</f>
        <v>0</v>
      </c>
      <c r="C153" s="209" t="str">
        <f>'Unit Data from Audit Worksheet'!D183</f>
        <v xml:space="preserve">Estimated cost not yet budgeted of any mandate placed on unit by DEQ, a court order or some similar requirement (that has no realistic appeal path). </v>
      </c>
      <c r="D153" s="228"/>
      <c r="E153" s="229">
        <f>'Unit Data from Audit Worksheet'!F183</f>
        <v>0</v>
      </c>
      <c r="F153" s="80"/>
      <c r="G153" s="224"/>
      <c r="H153" s="221"/>
      <c r="I153" s="32"/>
      <c r="J153" s="220">
        <v>987</v>
      </c>
      <c r="K153" s="52" t="s">
        <v>634</v>
      </c>
      <c r="L153" s="293">
        <f t="shared" si="15"/>
        <v>0</v>
      </c>
      <c r="P153" s="194"/>
      <c r="X153" s="549">
        <v>987</v>
      </c>
      <c r="Y153" s="284">
        <v>987</v>
      </c>
      <c r="AA153" s="384">
        <f t="shared" si="16"/>
        <v>0</v>
      </c>
      <c r="AB153" s="284">
        <f t="shared" si="17"/>
        <v>0</v>
      </c>
    </row>
    <row r="154" spans="1:28" ht="69" customHeight="1" x14ac:dyDescent="0.3">
      <c r="A154" s="210">
        <f>'Unit Data from Audit Worksheet'!A184</f>
        <v>988</v>
      </c>
      <c r="B154" s="223">
        <f>'Unit Data from Audit Worksheet'!C184</f>
        <v>0</v>
      </c>
      <c r="C154" s="209" t="str">
        <f>'Unit Data from Audit Worksheet'!D184</f>
        <v>Do you operate a landfill that will be closing  or have a significant portion closing within the next 5 years?  Select "1" for Yes and "2" for No</v>
      </c>
      <c r="D154" s="228"/>
      <c r="E154" s="229">
        <f>'Unit Data from Audit Worksheet'!F184</f>
        <v>0</v>
      </c>
      <c r="F154" s="80"/>
      <c r="G154" s="224"/>
      <c r="H154" s="221"/>
      <c r="I154" s="32"/>
      <c r="J154" s="220">
        <v>988</v>
      </c>
      <c r="K154" s="52" t="s">
        <v>858</v>
      </c>
      <c r="L154" s="293">
        <f t="shared" si="15"/>
        <v>0</v>
      </c>
      <c r="P154" s="194"/>
      <c r="X154" s="549">
        <v>988</v>
      </c>
      <c r="Y154" s="284">
        <v>988</v>
      </c>
      <c r="AA154" s="384">
        <f t="shared" si="16"/>
        <v>0</v>
      </c>
      <c r="AB154" s="284">
        <f t="shared" si="17"/>
        <v>0</v>
      </c>
    </row>
    <row r="155" spans="1:28" ht="95.25" customHeight="1" x14ac:dyDescent="0.3">
      <c r="A155" s="210">
        <f>'Unit Data from Audit Worksheet'!A185</f>
        <v>989</v>
      </c>
      <c r="B155" s="223">
        <f>'Unit Data from Audit Worksheet'!C185</f>
        <v>0</v>
      </c>
      <c r="C155" s="209" t="str">
        <f>'Unit Data from Audit Worksheet'!D185</f>
        <v>If you answered "yes" to question #988 above, will you have the closure/postclosure cost fully funded by the date of closure?  Select "1" for Yes,  "2" for No, or "3" for N/A.</v>
      </c>
      <c r="D155" s="228"/>
      <c r="E155" s="229">
        <f>'Unit Data from Audit Worksheet'!F185</f>
        <v>0</v>
      </c>
      <c r="F155" s="80"/>
      <c r="G155" s="224"/>
      <c r="H155" s="221"/>
      <c r="I155" s="32"/>
      <c r="J155" s="220">
        <v>989</v>
      </c>
      <c r="K155" s="52" t="s">
        <v>794</v>
      </c>
      <c r="L155" s="293">
        <f t="shared" si="15"/>
        <v>0</v>
      </c>
      <c r="P155" s="194"/>
      <c r="X155" s="549">
        <v>989</v>
      </c>
      <c r="Y155" s="284">
        <v>989</v>
      </c>
      <c r="AA155" s="384">
        <f t="shared" si="16"/>
        <v>0</v>
      </c>
      <c r="AB155" s="284">
        <f t="shared" si="17"/>
        <v>0</v>
      </c>
    </row>
    <row r="156" spans="1:28" ht="57" customHeight="1" x14ac:dyDescent="0.3">
      <c r="A156" s="210">
        <f>'Unit Data from Audit Worksheet'!A189</f>
        <v>327</v>
      </c>
      <c r="B156" s="223" t="str">
        <f>'Unit Data from Audit Worksheet'!C189</f>
        <v>WS-Capital Assets Schedule in the Notes</v>
      </c>
      <c r="C156" s="209" t="str">
        <f>'Unit Data from Audit Worksheet'!D189</f>
        <v>Land and all other non depreciable capital assets 
Exclude construction in progress</v>
      </c>
      <c r="D156" s="228"/>
      <c r="E156" s="229">
        <f>'Unit Data from Audit Worksheet'!F189</f>
        <v>0</v>
      </c>
      <c r="F156" s="80"/>
      <c r="G156" s="224"/>
      <c r="H156" s="221"/>
      <c r="I156" s="32"/>
      <c r="J156" s="220">
        <v>327</v>
      </c>
      <c r="K156" s="52" t="s">
        <v>303</v>
      </c>
      <c r="L156" s="287">
        <f t="shared" si="15"/>
        <v>0</v>
      </c>
      <c r="P156" s="194"/>
      <c r="X156" s="549">
        <v>327</v>
      </c>
      <c r="Y156" s="284">
        <v>327</v>
      </c>
      <c r="AA156" s="384">
        <f t="shared" si="16"/>
        <v>0</v>
      </c>
      <c r="AB156" s="284">
        <f t="shared" si="17"/>
        <v>0</v>
      </c>
    </row>
    <row r="157" spans="1:28" ht="57" customHeight="1" x14ac:dyDescent="0.3">
      <c r="A157" s="210">
        <f>'Unit Data from Audit Worksheet'!A190</f>
        <v>328</v>
      </c>
      <c r="B157" s="223" t="str">
        <f>'Unit Data from Audit Worksheet'!C190</f>
        <v>WS-Capital Assets Schedule in the Notes</v>
      </c>
      <c r="C157" s="209" t="str">
        <f>'Unit Data from Audit Worksheet'!D190</f>
        <v>Construction in progress</v>
      </c>
      <c r="D157" s="228"/>
      <c r="E157" s="229">
        <f>'Unit Data from Audit Worksheet'!F190</f>
        <v>0</v>
      </c>
      <c r="F157" s="80"/>
      <c r="G157" s="224"/>
      <c r="H157" s="221"/>
      <c r="I157" s="32"/>
      <c r="J157" s="220">
        <v>328</v>
      </c>
      <c r="K157" s="52" t="s">
        <v>304</v>
      </c>
      <c r="L157" s="287">
        <f t="shared" si="15"/>
        <v>0</v>
      </c>
      <c r="P157" s="194"/>
      <c r="X157" s="549">
        <v>328</v>
      </c>
      <c r="Y157" s="284">
        <v>328</v>
      </c>
      <c r="AA157" s="384">
        <f t="shared" si="16"/>
        <v>0</v>
      </c>
      <c r="AB157" s="284">
        <f t="shared" si="17"/>
        <v>0</v>
      </c>
    </row>
    <row r="158" spans="1:28" ht="46.5" customHeight="1" x14ac:dyDescent="0.3">
      <c r="A158" s="210">
        <f>'Unit Data from Audit Worksheet'!A194</f>
        <v>515</v>
      </c>
      <c r="B158" s="223" t="str">
        <f>'Unit Data from Audit Worksheet'!C194</f>
        <v>WS Capital Assets Schedule-Gross Value</v>
      </c>
      <c r="C158" s="209" t="str">
        <f>'Unit Data from Audit Worksheet'!D194</f>
        <v>Buildings</v>
      </c>
      <c r="D158" s="228"/>
      <c r="E158" s="229">
        <f>'Unit Data from Audit Worksheet'!F194</f>
        <v>0</v>
      </c>
      <c r="F158" s="80"/>
      <c r="G158" s="224"/>
      <c r="H158" s="221"/>
      <c r="I158" s="32"/>
      <c r="J158" s="220">
        <v>515</v>
      </c>
      <c r="K158" s="52" t="s">
        <v>262</v>
      </c>
      <c r="L158" s="287">
        <f t="shared" si="15"/>
        <v>0</v>
      </c>
      <c r="P158" s="194"/>
      <c r="X158" s="549">
        <v>515</v>
      </c>
      <c r="Y158" s="284">
        <v>515</v>
      </c>
      <c r="AA158" s="384">
        <f t="shared" si="16"/>
        <v>0</v>
      </c>
      <c r="AB158" s="284">
        <f t="shared" si="17"/>
        <v>0</v>
      </c>
    </row>
    <row r="159" spans="1:28" ht="46.5" customHeight="1" x14ac:dyDescent="0.3">
      <c r="A159" s="210">
        <f>'Unit Data from Audit Worksheet'!A195</f>
        <v>516</v>
      </c>
      <c r="B159" s="223" t="str">
        <f>'Unit Data from Audit Worksheet'!C195</f>
        <v>WS Capital Assets Schedule-Gross Value</v>
      </c>
      <c r="C159" s="209" t="str">
        <f>'Unit Data from Audit Worksheet'!D195</f>
        <v>Plant / distributions systems / water lines</v>
      </c>
      <c r="D159" s="228"/>
      <c r="E159" s="229">
        <f>'Unit Data from Audit Worksheet'!F195</f>
        <v>0</v>
      </c>
      <c r="F159" s="80"/>
      <c r="G159" s="224"/>
      <c r="H159" s="221"/>
      <c r="I159" s="32"/>
      <c r="J159" s="220">
        <v>516</v>
      </c>
      <c r="K159" s="52" t="s">
        <v>263</v>
      </c>
      <c r="L159" s="287">
        <f t="shared" si="15"/>
        <v>0</v>
      </c>
      <c r="P159" s="194"/>
      <c r="X159" s="549">
        <v>516</v>
      </c>
      <c r="Y159" s="284">
        <v>516</v>
      </c>
      <c r="AA159" s="384">
        <f t="shared" si="16"/>
        <v>0</v>
      </c>
      <c r="AB159" s="284">
        <f t="shared" si="17"/>
        <v>0</v>
      </c>
    </row>
    <row r="160" spans="1:28" ht="46.5" customHeight="1" x14ac:dyDescent="0.3">
      <c r="A160" s="210">
        <f>'Unit Data from Audit Worksheet'!A196</f>
        <v>517</v>
      </c>
      <c r="B160" s="223" t="str">
        <f>'Unit Data from Audit Worksheet'!C196</f>
        <v>WS Capital Assets Schedule-Gross Value</v>
      </c>
      <c r="C160" s="209" t="str">
        <f>'Unit Data from Audit Worksheet'!D196</f>
        <v>Infrastructure(other infrastructure)</v>
      </c>
      <c r="D160" s="228"/>
      <c r="E160" s="229">
        <f>'Unit Data from Audit Worksheet'!F196</f>
        <v>0</v>
      </c>
      <c r="F160" s="80"/>
      <c r="G160" s="224"/>
      <c r="H160" s="221"/>
      <c r="I160" s="32"/>
      <c r="J160" s="220">
        <v>517</v>
      </c>
      <c r="K160" s="312" t="s">
        <v>264</v>
      </c>
      <c r="L160" s="287">
        <f t="shared" si="15"/>
        <v>0</v>
      </c>
      <c r="P160" s="194"/>
      <c r="X160" s="549">
        <v>517</v>
      </c>
      <c r="Y160" s="284">
        <v>517</v>
      </c>
      <c r="AA160" s="384">
        <f t="shared" si="16"/>
        <v>0</v>
      </c>
      <c r="AB160" s="284">
        <f t="shared" si="17"/>
        <v>0</v>
      </c>
    </row>
    <row r="161" spans="1:28" ht="46.5" customHeight="1" x14ac:dyDescent="0.3">
      <c r="A161" s="210">
        <f>'Unit Data from Audit Worksheet'!A197</f>
        <v>518</v>
      </c>
      <c r="B161" s="223" t="str">
        <f>'Unit Data from Audit Worksheet'!C197</f>
        <v>WS Capital Assets Schedule-Gross Value</v>
      </c>
      <c r="C161" s="209" t="str">
        <f>'Unit Data from Audit Worksheet'!D197</f>
        <v>All other depreciable capital assets</v>
      </c>
      <c r="D161" s="228"/>
      <c r="E161" s="229">
        <f>'Unit Data from Audit Worksheet'!F197</f>
        <v>0</v>
      </c>
      <c r="F161" s="80"/>
      <c r="G161" s="224"/>
      <c r="H161" s="221"/>
      <c r="I161" s="32"/>
      <c r="J161" s="220">
        <v>518</v>
      </c>
      <c r="K161" s="312" t="s">
        <v>265</v>
      </c>
      <c r="L161" s="287">
        <f t="shared" si="15"/>
        <v>0</v>
      </c>
      <c r="P161" s="194"/>
      <c r="X161" s="549">
        <v>518</v>
      </c>
      <c r="Y161" s="284">
        <v>518</v>
      </c>
      <c r="AA161" s="384">
        <f t="shared" si="16"/>
        <v>0</v>
      </c>
      <c r="AB161" s="284">
        <f t="shared" si="17"/>
        <v>0</v>
      </c>
    </row>
    <row r="162" spans="1:28" ht="52.5" customHeight="1" x14ac:dyDescent="0.3">
      <c r="A162" s="210">
        <f>'Unit Data from Audit Worksheet'!A200</f>
        <v>519</v>
      </c>
      <c r="B162" s="223" t="str">
        <f>'Unit Data from Audit Worksheet'!C200</f>
        <v>WS Capital Assets Schedule-Annual Depreciation</v>
      </c>
      <c r="C162" s="209" t="str">
        <f>'Unit Data from Audit Worksheet'!D200</f>
        <v>Buildings annual depreciation</v>
      </c>
      <c r="D162" s="228"/>
      <c r="E162" s="229">
        <f>'Unit Data from Audit Worksheet'!F200</f>
        <v>0</v>
      </c>
      <c r="F162" s="80"/>
      <c r="G162" s="224"/>
      <c r="H162" s="221"/>
      <c r="I162" s="32"/>
      <c r="J162" s="220">
        <v>519</v>
      </c>
      <c r="K162" s="312" t="s">
        <v>266</v>
      </c>
      <c r="L162" s="287">
        <f t="shared" si="15"/>
        <v>0</v>
      </c>
      <c r="P162" s="315"/>
      <c r="X162" s="549">
        <v>519</v>
      </c>
      <c r="Y162" s="284">
        <v>519</v>
      </c>
      <c r="AA162" s="384">
        <f t="shared" si="16"/>
        <v>0</v>
      </c>
      <c r="AB162" s="284">
        <f t="shared" si="17"/>
        <v>0</v>
      </c>
    </row>
    <row r="163" spans="1:28" ht="52.5" customHeight="1" x14ac:dyDescent="0.3">
      <c r="A163" s="210">
        <f>'Unit Data from Audit Worksheet'!A201</f>
        <v>520</v>
      </c>
      <c r="B163" s="223" t="str">
        <f>'Unit Data from Audit Worksheet'!C201</f>
        <v>WS Capital Assets Schedule-Annual Depreciation</v>
      </c>
      <c r="C163" s="209" t="str">
        <f>'Unit Data from Audit Worksheet'!D201</f>
        <v>Plant / distributions systems / water lines annual depreciation</v>
      </c>
      <c r="D163" s="228"/>
      <c r="E163" s="229">
        <f>'Unit Data from Audit Worksheet'!F201</f>
        <v>0</v>
      </c>
      <c r="F163" s="80"/>
      <c r="G163" s="224"/>
      <c r="H163" s="221"/>
      <c r="I163" s="32"/>
      <c r="J163" s="220">
        <v>520</v>
      </c>
      <c r="K163" s="312" t="s">
        <v>267</v>
      </c>
      <c r="L163" s="287">
        <f t="shared" si="15"/>
        <v>0</v>
      </c>
      <c r="P163" s="318"/>
      <c r="Q163" s="316"/>
      <c r="X163" s="549">
        <v>520</v>
      </c>
      <c r="Y163" s="284">
        <v>520</v>
      </c>
      <c r="AA163" s="384">
        <f t="shared" si="16"/>
        <v>0</v>
      </c>
      <c r="AB163" s="284">
        <f t="shared" si="17"/>
        <v>0</v>
      </c>
    </row>
    <row r="164" spans="1:28" ht="52.5" customHeight="1" x14ac:dyDescent="0.3">
      <c r="A164" s="210">
        <f>'Unit Data from Audit Worksheet'!A202</f>
        <v>521</v>
      </c>
      <c r="B164" s="223" t="str">
        <f>'Unit Data from Audit Worksheet'!C202</f>
        <v>WS Capital Assets Schedule-Annual Depreciation</v>
      </c>
      <c r="C164" s="209" t="str">
        <f>'Unit Data from Audit Worksheet'!D202</f>
        <v>Infrastructure(other infrastructure) annual depreciation</v>
      </c>
      <c r="D164" s="228"/>
      <c r="E164" s="229">
        <f>'Unit Data from Audit Worksheet'!F202</f>
        <v>0</v>
      </c>
      <c r="F164" s="80"/>
      <c r="G164" s="224"/>
      <c r="H164" s="221"/>
      <c r="I164" s="32"/>
      <c r="J164" s="220">
        <v>521</v>
      </c>
      <c r="K164" s="52" t="s">
        <v>268</v>
      </c>
      <c r="L164" s="287">
        <f t="shared" si="15"/>
        <v>0</v>
      </c>
      <c r="P164" s="194"/>
      <c r="Q164" s="186"/>
      <c r="X164" s="549">
        <v>521</v>
      </c>
      <c r="Y164" s="284">
        <v>521</v>
      </c>
      <c r="AA164" s="384">
        <f t="shared" si="16"/>
        <v>0</v>
      </c>
      <c r="AB164" s="284">
        <f t="shared" si="17"/>
        <v>0</v>
      </c>
    </row>
    <row r="165" spans="1:28" ht="42.75" customHeight="1" x14ac:dyDescent="0.3">
      <c r="A165" s="210">
        <f>'Unit Data from Audit Worksheet'!A203</f>
        <v>522</v>
      </c>
      <c r="B165" s="223" t="str">
        <f>'Unit Data from Audit Worksheet'!C203</f>
        <v>WS Capital Assets Schedule-Annual Depreciation</v>
      </c>
      <c r="C165" s="209" t="str">
        <f>'Unit Data from Audit Worksheet'!D203</f>
        <v>All other depreciable capital assets annual depreciation</v>
      </c>
      <c r="D165" s="228"/>
      <c r="E165" s="229">
        <f>'Unit Data from Audit Worksheet'!F203</f>
        <v>0</v>
      </c>
      <c r="F165" s="80"/>
      <c r="G165" s="224"/>
      <c r="H165" s="221"/>
      <c r="I165" s="32"/>
      <c r="J165" s="220">
        <v>522</v>
      </c>
      <c r="K165" s="52" t="s">
        <v>269</v>
      </c>
      <c r="L165" s="287">
        <f t="shared" si="15"/>
        <v>0</v>
      </c>
      <c r="P165" s="315"/>
      <c r="S165" s="18"/>
      <c r="T165" s="18"/>
      <c r="U165" s="18"/>
      <c r="V165" s="18"/>
      <c r="X165" s="549">
        <v>522</v>
      </c>
      <c r="Y165" s="284">
        <v>522</v>
      </c>
      <c r="Z165" s="18"/>
      <c r="AA165" s="384">
        <f t="shared" si="16"/>
        <v>0</v>
      </c>
      <c r="AB165" s="284">
        <f t="shared" si="17"/>
        <v>0</v>
      </c>
    </row>
    <row r="166" spans="1:28" ht="42.75" customHeight="1" x14ac:dyDescent="0.3">
      <c r="A166" s="210">
        <f>'Unit Data from Audit Worksheet'!A206</f>
        <v>523</v>
      </c>
      <c r="B166" s="223" t="str">
        <f>'Unit Data from Audit Worksheet'!C206</f>
        <v>WS Capital Assets Schedule-Accumulated Depreciation</v>
      </c>
      <c r="C166" s="209" t="str">
        <f>'Unit Data from Audit Worksheet'!D206</f>
        <v>Building accumulated depreciation</v>
      </c>
      <c r="D166" s="228"/>
      <c r="E166" s="229">
        <f>'Unit Data from Audit Worksheet'!F206</f>
        <v>0</v>
      </c>
      <c r="F166" s="80"/>
      <c r="G166" s="224"/>
      <c r="H166" s="221"/>
      <c r="I166" s="32"/>
      <c r="J166" s="220">
        <v>523</v>
      </c>
      <c r="K166" s="52" t="s">
        <v>270</v>
      </c>
      <c r="L166" s="287">
        <f t="shared" si="15"/>
        <v>0</v>
      </c>
      <c r="P166" s="315"/>
      <c r="S166" s="18"/>
      <c r="T166" s="18"/>
      <c r="U166" s="18"/>
      <c r="V166" s="18"/>
      <c r="X166" s="549">
        <v>523</v>
      </c>
      <c r="Y166" s="284">
        <v>523</v>
      </c>
      <c r="Z166" s="18"/>
      <c r="AA166" s="384">
        <f t="shared" si="16"/>
        <v>0</v>
      </c>
      <c r="AB166" s="284">
        <f t="shared" si="17"/>
        <v>0</v>
      </c>
    </row>
    <row r="167" spans="1:28" ht="51" customHeight="1" x14ac:dyDescent="0.3">
      <c r="A167" s="210">
        <f>'Unit Data from Audit Worksheet'!A207</f>
        <v>524</v>
      </c>
      <c r="B167" s="223" t="str">
        <f>'Unit Data from Audit Worksheet'!C207</f>
        <v>WS Capital Assets Schedule-Accumulated Depreciation</v>
      </c>
      <c r="C167" s="209" t="str">
        <f>'Unit Data from Audit Worksheet'!D207</f>
        <v>Plant / distributions systems / water lines accumulated depreciation</v>
      </c>
      <c r="D167" s="228"/>
      <c r="E167" s="229">
        <f>'Unit Data from Audit Worksheet'!F207</f>
        <v>0</v>
      </c>
      <c r="F167" s="80"/>
      <c r="G167" s="224"/>
      <c r="H167" s="221"/>
      <c r="I167" s="32"/>
      <c r="J167" s="220">
        <v>524</v>
      </c>
      <c r="K167" s="52" t="s">
        <v>271</v>
      </c>
      <c r="L167" s="287">
        <f t="shared" si="15"/>
        <v>0</v>
      </c>
      <c r="P167" s="315"/>
      <c r="S167" s="18"/>
      <c r="T167" s="18"/>
      <c r="U167" s="18"/>
      <c r="V167" s="18"/>
      <c r="X167" s="549">
        <v>524</v>
      </c>
      <c r="Y167" s="284">
        <v>524</v>
      </c>
      <c r="Z167" s="18"/>
      <c r="AA167" s="384">
        <f t="shared" si="16"/>
        <v>0</v>
      </c>
      <c r="AB167" s="284">
        <f t="shared" si="17"/>
        <v>0</v>
      </c>
    </row>
    <row r="168" spans="1:28" ht="57.75" customHeight="1" x14ac:dyDescent="0.3">
      <c r="A168" s="210">
        <f>'Unit Data from Audit Worksheet'!A208</f>
        <v>525</v>
      </c>
      <c r="B168" s="223" t="str">
        <f>'Unit Data from Audit Worksheet'!C208</f>
        <v>WS Capital Assets Schedule-Accumulated Depreciation</v>
      </c>
      <c r="C168" s="209" t="str">
        <f>'Unit Data from Audit Worksheet'!D208</f>
        <v>Infrastructure(other infrastructure) accumulated depreciation</v>
      </c>
      <c r="D168" s="228"/>
      <c r="E168" s="229">
        <f>'Unit Data from Audit Worksheet'!F208</f>
        <v>0</v>
      </c>
      <c r="F168" s="80"/>
      <c r="G168" s="224"/>
      <c r="H168" s="221"/>
      <c r="I168" s="32"/>
      <c r="J168" s="220">
        <v>525</v>
      </c>
      <c r="K168" s="52" t="s">
        <v>272</v>
      </c>
      <c r="L168" s="287">
        <f t="shared" si="15"/>
        <v>0</v>
      </c>
      <c r="P168" s="200"/>
      <c r="Q168" s="316"/>
      <c r="X168" s="549">
        <v>525</v>
      </c>
      <c r="Y168" s="284">
        <v>525</v>
      </c>
      <c r="AA168" s="384">
        <f t="shared" si="16"/>
        <v>0</v>
      </c>
      <c r="AB168" s="284">
        <f t="shared" si="17"/>
        <v>0</v>
      </c>
    </row>
    <row r="169" spans="1:28" ht="48" customHeight="1" x14ac:dyDescent="0.3">
      <c r="A169" s="210">
        <f>'Unit Data from Audit Worksheet'!A209</f>
        <v>526</v>
      </c>
      <c r="B169" s="223" t="str">
        <f>'Unit Data from Audit Worksheet'!C209</f>
        <v>WS Capital Assets Schedule-Accumulated Depreciation</v>
      </c>
      <c r="C169" s="209" t="str">
        <f>'Unit Data from Audit Worksheet'!D209</f>
        <v>All other depreciable capital assets accumulated depreciation</v>
      </c>
      <c r="D169" s="228"/>
      <c r="E169" s="229">
        <f>'Unit Data from Audit Worksheet'!F209</f>
        <v>0</v>
      </c>
      <c r="F169" s="80"/>
      <c r="G169" s="224"/>
      <c r="H169" s="221"/>
      <c r="I169" s="32"/>
      <c r="J169" s="220">
        <v>526</v>
      </c>
      <c r="K169" s="52" t="s">
        <v>273</v>
      </c>
      <c r="L169" s="287">
        <f t="shared" si="15"/>
        <v>0</v>
      </c>
      <c r="P169" s="194"/>
      <c r="Q169" s="3"/>
      <c r="X169" s="549">
        <v>526</v>
      </c>
      <c r="Y169" s="284">
        <v>526</v>
      </c>
      <c r="AA169" s="384">
        <f t="shared" si="16"/>
        <v>0</v>
      </c>
      <c r="AB169" s="284">
        <f t="shared" si="17"/>
        <v>0</v>
      </c>
    </row>
    <row r="170" spans="1:28" ht="50.25" customHeight="1" x14ac:dyDescent="0.3">
      <c r="A170" s="210">
        <f>'Unit Data from Audit Worksheet'!A214</f>
        <v>527</v>
      </c>
      <c r="B170" s="223" t="str">
        <f>'Unit Data from Audit Worksheet'!C214</f>
        <v>Electric Assets</v>
      </c>
      <c r="C170" s="209" t="str">
        <f>'Unit Data from Audit Worksheet'!D214</f>
        <v>Total Assets Gross value not being depreciated for Electric Fund</v>
      </c>
      <c r="D170" s="228"/>
      <c r="E170" s="229">
        <f>'Unit Data from Audit Worksheet'!F214</f>
        <v>0</v>
      </c>
      <c r="F170" s="80"/>
      <c r="G170" s="224"/>
      <c r="H170" s="221"/>
      <c r="I170" s="32"/>
      <c r="J170" s="220">
        <v>527</v>
      </c>
      <c r="K170" s="52" t="s">
        <v>274</v>
      </c>
      <c r="L170" s="287">
        <f t="shared" si="15"/>
        <v>0</v>
      </c>
      <c r="P170" s="194"/>
      <c r="X170" s="549">
        <v>527</v>
      </c>
      <c r="Y170" s="284">
        <v>527</v>
      </c>
      <c r="AA170" s="384">
        <f t="shared" si="16"/>
        <v>0</v>
      </c>
      <c r="AB170" s="284">
        <f t="shared" si="17"/>
        <v>0</v>
      </c>
    </row>
    <row r="171" spans="1:28" ht="54.75" customHeight="1" x14ac:dyDescent="0.3">
      <c r="A171" s="210">
        <f>'Unit Data from Audit Worksheet'!A215</f>
        <v>356</v>
      </c>
      <c r="B171" s="223" t="str">
        <f>'Unit Data from Audit Worksheet'!C215</f>
        <v>Electric Assets</v>
      </c>
      <c r="C171" s="209" t="str">
        <f>'Unit Data from Audit Worksheet'!D215</f>
        <v>Total Assets Gross value of assets being depreciated for Electric Fund</v>
      </c>
      <c r="D171" s="228"/>
      <c r="E171" s="229">
        <f>'Unit Data from Audit Worksheet'!F215</f>
        <v>0</v>
      </c>
      <c r="F171" s="80"/>
      <c r="G171" s="224"/>
      <c r="H171" s="221"/>
      <c r="I171" s="32"/>
      <c r="J171" s="220">
        <v>356</v>
      </c>
      <c r="K171" s="52" t="s">
        <v>305</v>
      </c>
      <c r="L171" s="287">
        <f t="shared" si="15"/>
        <v>0</v>
      </c>
      <c r="P171" s="194"/>
      <c r="X171" s="549">
        <v>356</v>
      </c>
      <c r="Y171" s="284">
        <v>356</v>
      </c>
      <c r="AA171" s="384">
        <f t="shared" si="16"/>
        <v>0</v>
      </c>
      <c r="AB171" s="284">
        <f t="shared" si="17"/>
        <v>0</v>
      </c>
    </row>
    <row r="172" spans="1:28" ht="54.75" customHeight="1" x14ac:dyDescent="0.3">
      <c r="A172" s="210">
        <f>'Unit Data from Audit Worksheet'!A216</f>
        <v>357</v>
      </c>
      <c r="B172" s="223" t="str">
        <f>'Unit Data from Audit Worksheet'!C216</f>
        <v>Electric Accumulated Depreciation</v>
      </c>
      <c r="C172" s="209" t="str">
        <f>'Unit Data from Audit Worksheet'!D216</f>
        <v>Total accumulated depreciation for Electric Fund assets</v>
      </c>
      <c r="D172" s="228"/>
      <c r="E172" s="229">
        <f>'Unit Data from Audit Worksheet'!F216</f>
        <v>0</v>
      </c>
      <c r="F172" s="80"/>
      <c r="G172" s="224"/>
      <c r="H172" s="221"/>
      <c r="I172" s="32"/>
      <c r="J172" s="220">
        <v>357</v>
      </c>
      <c r="K172" s="52" t="s">
        <v>306</v>
      </c>
      <c r="L172" s="287">
        <f t="shared" si="15"/>
        <v>0</v>
      </c>
      <c r="P172" s="194"/>
      <c r="X172" s="549">
        <v>357</v>
      </c>
      <c r="Y172" s="284">
        <v>357</v>
      </c>
      <c r="AA172" s="384">
        <f t="shared" si="16"/>
        <v>0</v>
      </c>
      <c r="AB172" s="284">
        <f t="shared" si="17"/>
        <v>0</v>
      </c>
    </row>
    <row r="173" spans="1:28" ht="191.25" customHeight="1" x14ac:dyDescent="0.3">
      <c r="A173" s="210">
        <f>'Unit Data from Audit Worksheet'!A218</f>
        <v>337</v>
      </c>
      <c r="B173" s="223" t="str">
        <f>'Unit Data from Audit Worksheet'!C218</f>
        <v>Long-Term Liability Note - Governmental Activities</v>
      </c>
      <c r="C173" s="223" t="str">
        <f>'Unit Data from Audit Worksheet'!D218</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3" s="228"/>
      <c r="E173" s="229">
        <f>'Unit Data from Audit Worksheet'!F218</f>
        <v>0</v>
      </c>
      <c r="F173" s="222">
        <f>IF(L173&lt;0,"Error: Enter as a positive.",)</f>
        <v>0</v>
      </c>
      <c r="G173" s="224"/>
      <c r="H173" s="221"/>
      <c r="I173" s="32"/>
      <c r="J173" s="220">
        <v>337</v>
      </c>
      <c r="K173" s="219" t="s">
        <v>245</v>
      </c>
      <c r="L173" s="287">
        <f t="shared" si="15"/>
        <v>0</v>
      </c>
      <c r="P173" s="194"/>
      <c r="X173" s="549">
        <v>337</v>
      </c>
      <c r="Y173" s="284">
        <v>337</v>
      </c>
      <c r="AA173" s="384">
        <f t="shared" si="16"/>
        <v>0</v>
      </c>
      <c r="AB173" s="284">
        <f t="shared" si="17"/>
        <v>0</v>
      </c>
    </row>
    <row r="174" spans="1:28" ht="76.5" customHeight="1" x14ac:dyDescent="0.3">
      <c r="A174" s="210">
        <f>'Unit Data from Audit Worksheet'!A219</f>
        <v>343</v>
      </c>
      <c r="B174" s="223" t="str">
        <f>'Unit Data from Audit Worksheet'!C219</f>
        <v>Long-Term Liability Note - Governmental Activities</v>
      </c>
      <c r="C174" s="209" t="str">
        <f>'Unit Data from Audit Worksheet'!D219</f>
        <v>Decreases made (principal paid) on Long-Term Debt in current fiscal year.  Reduce for debt refunding.</v>
      </c>
      <c r="D174" s="228"/>
      <c r="E174" s="229">
        <f>'Unit Data from Audit Worksheet'!F219</f>
        <v>0</v>
      </c>
      <c r="F174" s="222">
        <f>IF(L174&lt;0,"Error: Enter as a positive.",)</f>
        <v>0</v>
      </c>
      <c r="G174" s="224"/>
      <c r="H174" s="221"/>
      <c r="I174" s="32"/>
      <c r="J174" s="220">
        <v>343</v>
      </c>
      <c r="K174" s="219" t="s">
        <v>246</v>
      </c>
      <c r="L174" s="287">
        <f t="shared" si="15"/>
        <v>0</v>
      </c>
      <c r="P174" s="194"/>
      <c r="X174" s="549">
        <v>343</v>
      </c>
      <c r="Y174" s="292">
        <v>343</v>
      </c>
      <c r="AA174" s="384">
        <f t="shared" si="16"/>
        <v>0</v>
      </c>
      <c r="AB174" s="284">
        <f t="shared" si="17"/>
        <v>0</v>
      </c>
    </row>
    <row r="175" spans="1:28" ht="193.5" customHeight="1" x14ac:dyDescent="0.3">
      <c r="A175" s="210">
        <f>'Unit Data from Audit Worksheet'!A220</f>
        <v>82</v>
      </c>
      <c r="B175" s="223" t="str">
        <f>'Unit Data from Audit Worksheet'!C220</f>
        <v>Long-Term Liability Note - Water Sewer Activities</v>
      </c>
      <c r="C175" s="223" t="str">
        <f>'Unit Data from Audit Worksheet'!D220</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5" s="228"/>
      <c r="E175" s="229">
        <f>'Unit Data from Audit Worksheet'!F220</f>
        <v>0</v>
      </c>
      <c r="F175" s="222">
        <f>IF(L175&lt;0,"Error: Enter as a positive.",)</f>
        <v>0</v>
      </c>
      <c r="G175" s="224"/>
      <c r="H175" s="221"/>
      <c r="I175" s="32"/>
      <c r="J175" s="220">
        <v>82</v>
      </c>
      <c r="K175" s="62" t="s">
        <v>307</v>
      </c>
      <c r="L175" s="287">
        <f t="shared" si="15"/>
        <v>0</v>
      </c>
      <c r="P175" s="194"/>
      <c r="X175" s="549">
        <v>82</v>
      </c>
      <c r="Y175" s="284">
        <v>82</v>
      </c>
      <c r="AA175" s="384">
        <f t="shared" si="16"/>
        <v>0</v>
      </c>
      <c r="AB175" s="284">
        <f t="shared" si="17"/>
        <v>0</v>
      </c>
    </row>
    <row r="176" spans="1:28" ht="206.25" customHeight="1" x14ac:dyDescent="0.3">
      <c r="A176" s="210">
        <f>'Unit Data from Audit Worksheet'!A221</f>
        <v>359</v>
      </c>
      <c r="B176" s="223" t="str">
        <f>'Unit Data from Audit Worksheet'!C221</f>
        <v>Long-Term Liability Note - Electric Activities</v>
      </c>
      <c r="C176" s="223" t="str">
        <f>'Unit Data from Audit Worksheet'!D221</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6" s="228"/>
      <c r="E176" s="229">
        <f>'Unit Data from Audit Worksheet'!F221</f>
        <v>0</v>
      </c>
      <c r="F176" s="222">
        <f>IF(L176&lt;0,"Error: Enter as a positive.",)</f>
        <v>0</v>
      </c>
      <c r="G176" s="224"/>
      <c r="H176" s="221"/>
      <c r="I176" s="32"/>
      <c r="J176" s="220">
        <v>359</v>
      </c>
      <c r="K176" s="219" t="s">
        <v>247</v>
      </c>
      <c r="L176" s="287">
        <f t="shared" si="15"/>
        <v>0</v>
      </c>
      <c r="P176" s="194"/>
      <c r="X176" s="549">
        <v>359</v>
      </c>
      <c r="Y176" s="284">
        <v>359</v>
      </c>
      <c r="AA176" s="384">
        <f t="shared" si="16"/>
        <v>0</v>
      </c>
      <c r="AB176" s="284">
        <f t="shared" si="17"/>
        <v>0</v>
      </c>
    </row>
    <row r="177" spans="1:28" ht="87.6" customHeight="1" x14ac:dyDescent="0.3">
      <c r="A177" s="210">
        <f>'Unit Data from Audit Worksheet'!A223</f>
        <v>622</v>
      </c>
      <c r="B177" s="223" t="str">
        <f>'Unit Data from Audit Worksheet'!C223</f>
        <v>FS., Pension note or RSI</v>
      </c>
      <c r="C177" s="223" t="str">
        <f>'Unit Data from Audit Worksheet'!D223</f>
        <v xml:space="preserve">Unit's Share of Net Pension Liability ($s)
- unit of government is a participating employer in the State's TSERS (Teachers' and State Employees' Retirement System) or the LGERS (Local Governmental Employees' Retirement System).  </v>
      </c>
      <c r="D177" s="228"/>
      <c r="E177" s="229">
        <f>'Unit Data from Audit Worksheet'!F223</f>
        <v>0</v>
      </c>
      <c r="F177" s="222"/>
      <c r="G177" s="224"/>
      <c r="H177" s="221"/>
      <c r="I177" s="32"/>
      <c r="J177" s="220">
        <v>622</v>
      </c>
      <c r="K177" s="226" t="s">
        <v>357</v>
      </c>
      <c r="L177" s="287">
        <f t="shared" si="15"/>
        <v>0</v>
      </c>
      <c r="P177" s="194"/>
      <c r="S177" s="18"/>
      <c r="T177" s="18"/>
      <c r="U177" s="18"/>
      <c r="V177" s="18"/>
      <c r="X177" s="549">
        <v>622</v>
      </c>
      <c r="Y177" s="284">
        <v>622</v>
      </c>
      <c r="Z177" s="18"/>
      <c r="AA177" s="384">
        <f t="shared" si="16"/>
        <v>0</v>
      </c>
      <c r="AB177" s="284">
        <f t="shared" si="17"/>
        <v>0</v>
      </c>
    </row>
    <row r="178" spans="1:28" ht="138.75" customHeight="1" x14ac:dyDescent="0.3">
      <c r="A178" s="210">
        <f>'Unit Data from Audit Worksheet'!A224</f>
        <v>577</v>
      </c>
      <c r="B178" s="223" t="str">
        <f>'Unit Data from Audit Worksheet'!C224</f>
        <v>Pension Notes</v>
      </c>
      <c r="C178" s="223" t="str">
        <f>'Unit Data from Audit Worksheet'!D224</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v>
      </c>
      <c r="D178" s="228"/>
      <c r="E178" s="229">
        <f>'Unit Data from Audit Worksheet'!F224</f>
        <v>0</v>
      </c>
      <c r="F178" s="222"/>
      <c r="G178" s="224"/>
      <c r="H178" s="221"/>
      <c r="I178" s="32"/>
      <c r="J178" s="220">
        <v>577</v>
      </c>
      <c r="K178" s="226" t="s">
        <v>329</v>
      </c>
      <c r="L178" s="287">
        <f t="shared" si="15"/>
        <v>0</v>
      </c>
      <c r="P178" s="194"/>
      <c r="S178" s="18"/>
      <c r="T178" s="18"/>
      <c r="U178" s="18"/>
      <c r="V178" s="18"/>
      <c r="X178" s="549">
        <v>577</v>
      </c>
      <c r="Y178" s="284">
        <v>577</v>
      </c>
      <c r="Z178" s="18"/>
      <c r="AA178" s="384">
        <f t="shared" si="16"/>
        <v>0</v>
      </c>
      <c r="AB178" s="284">
        <f t="shared" si="17"/>
        <v>0</v>
      </c>
    </row>
    <row r="179" spans="1:28" ht="115.5" customHeight="1" x14ac:dyDescent="0.3">
      <c r="A179" s="313">
        <f>'Unit Data from Audit Worksheet'!A226</f>
        <v>598</v>
      </c>
      <c r="B179" s="223" t="str">
        <f>'Unit Data from Audit Worksheet'!C226</f>
        <v>LEO Note</v>
      </c>
      <c r="C179" s="209" t="str">
        <f>'Unit Data from Audit Worksheet'!D226</f>
        <v>Amount the unit paid out in benefits under LEO special separation allowance to retired law enforcement officers this fiscal year if you report under GASB 68 or GASB 73.</v>
      </c>
      <c r="D179" s="228"/>
      <c r="E179" s="229">
        <f>'Unit Data from Audit Worksheet'!F226</f>
        <v>0</v>
      </c>
      <c r="F179" s="222">
        <f>IF(L179&lt;0,"Error: Enter as a positive.",)</f>
        <v>0</v>
      </c>
      <c r="G179" s="224"/>
      <c r="H179" s="221"/>
      <c r="I179" s="32"/>
      <c r="J179" s="220">
        <v>598</v>
      </c>
      <c r="K179" s="87" t="s">
        <v>341</v>
      </c>
      <c r="L179" s="287">
        <f t="shared" si="15"/>
        <v>0</v>
      </c>
      <c r="P179" s="194"/>
      <c r="S179" s="18"/>
      <c r="T179" s="18"/>
      <c r="U179" s="18"/>
      <c r="V179" s="18"/>
      <c r="X179" s="549">
        <v>598</v>
      </c>
      <c r="Y179" s="284">
        <v>598</v>
      </c>
      <c r="Z179" s="18"/>
      <c r="AA179" s="384">
        <f t="shared" si="16"/>
        <v>0</v>
      </c>
      <c r="AB179" s="284">
        <f t="shared" si="17"/>
        <v>0</v>
      </c>
    </row>
    <row r="180" spans="1:28" ht="84" customHeight="1" x14ac:dyDescent="0.3">
      <c r="A180" s="210">
        <f>'Unit Data from Audit Worksheet'!A227</f>
        <v>599</v>
      </c>
      <c r="B180" s="223" t="str">
        <f>'Unit Data from Audit Worksheet'!C227</f>
        <v>LEO Note</v>
      </c>
      <c r="C180" s="209" t="str">
        <f>'Unit Data from Audit Worksheet'!D227</f>
        <v>The total LEO pension liability if you report under GASB 68 or GASB 73.</v>
      </c>
      <c r="D180" s="228"/>
      <c r="E180" s="229">
        <f>'Unit Data from Audit Worksheet'!F227</f>
        <v>0</v>
      </c>
      <c r="F180" s="222">
        <f>IF(L180&lt;0,"Error: Enter as a positive.",)</f>
        <v>0</v>
      </c>
      <c r="G180" s="224"/>
      <c r="H180" s="221"/>
      <c r="I180" s="32"/>
      <c r="J180" s="220">
        <v>599</v>
      </c>
      <c r="K180" s="86" t="s">
        <v>340</v>
      </c>
      <c r="L180" s="287">
        <f t="shared" si="15"/>
        <v>0</v>
      </c>
      <c r="P180" s="194"/>
      <c r="X180" s="549">
        <v>599</v>
      </c>
      <c r="Y180" s="284">
        <v>599</v>
      </c>
      <c r="AA180" s="384">
        <f t="shared" si="16"/>
        <v>0</v>
      </c>
      <c r="AB180" s="284">
        <f t="shared" si="17"/>
        <v>0</v>
      </c>
    </row>
    <row r="181" spans="1:28" ht="102.75" customHeight="1" x14ac:dyDescent="0.3">
      <c r="A181" s="210">
        <f>'Unit Data from Audit Worksheet'!A228</f>
        <v>602</v>
      </c>
      <c r="B181" s="223" t="str">
        <f>'Unit Data from Audit Worksheet'!C228</f>
        <v>LEO Note</v>
      </c>
      <c r="C181" s="209" t="str">
        <f>'Unit Data from Audit Worksheet'!D228</f>
        <v>If you have LEO pension assets and are reporting under GASB 68 please enter "Plan Fiduciary Net Position" which can be found on your RSI schedules and the Notes.</v>
      </c>
      <c r="D181" s="228"/>
      <c r="E181" s="229">
        <f>'Unit Data from Audit Worksheet'!F228</f>
        <v>0</v>
      </c>
      <c r="F181" s="222">
        <f>IF(L181&lt;0,"Error: Enter as a positive.",)</f>
        <v>0</v>
      </c>
      <c r="G181" s="224"/>
      <c r="H181" s="221"/>
      <c r="I181" s="32"/>
      <c r="J181" s="220">
        <v>602</v>
      </c>
      <c r="K181" s="23" t="s">
        <v>342</v>
      </c>
      <c r="L181" s="287">
        <f t="shared" si="15"/>
        <v>0</v>
      </c>
      <c r="P181" s="194"/>
      <c r="X181" s="549">
        <v>602</v>
      </c>
      <c r="Y181" s="284">
        <v>602</v>
      </c>
      <c r="AA181" s="384">
        <f t="shared" si="16"/>
        <v>0</v>
      </c>
      <c r="AB181" s="284">
        <f t="shared" si="17"/>
        <v>0</v>
      </c>
    </row>
    <row r="182" spans="1:28" ht="123" customHeight="1" x14ac:dyDescent="0.3">
      <c r="A182" s="210">
        <f>'Unit Data from Audit Worksheet'!A229</f>
        <v>619</v>
      </c>
      <c r="B182" s="223" t="str">
        <f>'Unit Data from Audit Worksheet'!C229</f>
        <v>LEO
RSI</v>
      </c>
      <c r="C182" s="87" t="str">
        <f>'Unit Data from Audit Worksheet'!D229</f>
        <v>LEOSSA – What is the plan’s fiduciary net position as a percentage of the total pension liability?  Please enter as percentage value; for example, 83.5% should be entered as 83.5.  If assets have not been set aside in a trust, please enter 0.0</v>
      </c>
      <c r="D182" s="88"/>
      <c r="E182" s="140">
        <f>'Unit Data from Audit Worksheet'!F229</f>
        <v>0</v>
      </c>
      <c r="F182" s="222" t="str">
        <f>IF(H182=L182,"","Column L does not equal Column H")</f>
        <v/>
      </c>
      <c r="G182" s="224"/>
      <c r="H182" s="95">
        <f>ROUND(IFERROR((L181/L180)*100,0),1)</f>
        <v>0</v>
      </c>
      <c r="I182" s="32"/>
      <c r="J182" s="212">
        <v>619</v>
      </c>
      <c r="K182" s="94" t="s">
        <v>446</v>
      </c>
      <c r="L182" s="721">
        <f t="shared" si="15"/>
        <v>0</v>
      </c>
      <c r="P182" s="194"/>
      <c r="X182" s="549">
        <v>619</v>
      </c>
      <c r="Y182" s="284">
        <v>619</v>
      </c>
      <c r="AA182" s="384">
        <f t="shared" si="16"/>
        <v>0</v>
      </c>
      <c r="AB182" s="284">
        <f t="shared" si="17"/>
        <v>0</v>
      </c>
    </row>
    <row r="183" spans="1:28" ht="113.25" customHeight="1" x14ac:dyDescent="0.3">
      <c r="A183" s="210">
        <v>621</v>
      </c>
      <c r="B183" s="51" t="s">
        <v>351</v>
      </c>
      <c r="C183" s="317" t="str">
        <f>'Unit Data from Audit Worksheet'!D231</f>
        <v xml:space="preserve">Unit's share of Retirement Health Benefit Fund Net OPEB Liability ($s)
- unit of government is a participating employer in the State's RHBF </v>
      </c>
      <c r="D183" s="88"/>
      <c r="E183" s="229">
        <f>'Unit Data from Audit Worksheet'!F231</f>
        <v>0</v>
      </c>
      <c r="F183" s="222">
        <f>IF(L183&lt;0,"Error: Enter as a positive.",)</f>
        <v>0</v>
      </c>
      <c r="G183" s="120"/>
      <c r="H183" s="221"/>
      <c r="I183" s="32"/>
      <c r="J183" s="318">
        <v>621</v>
      </c>
      <c r="K183" s="121" t="s">
        <v>450</v>
      </c>
      <c r="L183" s="287">
        <f t="shared" si="15"/>
        <v>0</v>
      </c>
      <c r="P183" s="195"/>
      <c r="X183" s="549">
        <v>621</v>
      </c>
      <c r="Y183" s="284">
        <v>621</v>
      </c>
      <c r="AA183" s="384">
        <f t="shared" si="16"/>
        <v>0</v>
      </c>
      <c r="AB183" s="284">
        <f t="shared" si="17"/>
        <v>0</v>
      </c>
    </row>
    <row r="184" spans="1:28" s="18" customFormat="1" ht="127.5" customHeight="1" x14ac:dyDescent="0.3">
      <c r="A184" s="313">
        <f>'Unit Data from Audit Worksheet'!A232</f>
        <v>547</v>
      </c>
      <c r="B184" s="223" t="str">
        <f>'Unit Data from Audit Worksheet'!C232</f>
        <v>OPEB Note</v>
      </c>
      <c r="C184" s="223" t="str">
        <f>'Unit Data from Audit Worksheet'!D232</f>
        <v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drop down list.
</v>
      </c>
      <c r="D184" s="228"/>
      <c r="E184" s="229">
        <f>'Unit Data from Audit Worksheet'!F232</f>
        <v>0</v>
      </c>
      <c r="F184" s="222" t="str">
        <f>IF(L187&lt;1,"Please answer this question","")</f>
        <v>Please answer this question</v>
      </c>
      <c r="G184" s="224"/>
      <c r="H184" s="221"/>
      <c r="I184" s="32"/>
      <c r="J184" s="220">
        <v>547</v>
      </c>
      <c r="K184" s="319" t="s">
        <v>295</v>
      </c>
      <c r="L184" s="287">
        <f t="shared" si="15"/>
        <v>0</v>
      </c>
      <c r="M184"/>
      <c r="P184" s="195"/>
      <c r="Q184" s="277"/>
      <c r="R184" s="3"/>
      <c r="S184" s="3"/>
      <c r="T184" s="3"/>
      <c r="U184" s="3"/>
      <c r="V184" s="3"/>
      <c r="W184" s="3"/>
      <c r="X184" s="549">
        <v>547</v>
      </c>
      <c r="Y184" s="284">
        <v>547</v>
      </c>
      <c r="Z184" s="3"/>
      <c r="AA184" s="384">
        <f t="shared" si="16"/>
        <v>0</v>
      </c>
      <c r="AB184" s="284">
        <f t="shared" si="17"/>
        <v>0</v>
      </c>
    </row>
    <row r="185" spans="1:28" s="18" customFormat="1" ht="99" customHeight="1" x14ac:dyDescent="0.3">
      <c r="A185" s="210">
        <f>'Unit Data from Audit Worksheet'!A233</f>
        <v>659</v>
      </c>
      <c r="B185" s="223" t="str">
        <f>'Unit Data from Audit Worksheet'!C233</f>
        <v>OPEB
 Note or RSI</v>
      </c>
      <c r="C185" s="209" t="str">
        <f>'Unit Data from Audit Worksheet'!D233</f>
        <v>Total OPEB benefits - total OPEB liability
If you do not provide benefit, please enter 0</v>
      </c>
      <c r="D185" s="228"/>
      <c r="E185" s="229">
        <f>'Unit Data from Audit Worksheet'!F233</f>
        <v>0</v>
      </c>
      <c r="F185" s="222">
        <f>IF(L185&lt;0,"Error: Enter as a positive.",)</f>
        <v>0</v>
      </c>
      <c r="G185" s="320" t="s">
        <v>1487</v>
      </c>
      <c r="H185" s="221"/>
      <c r="I185" s="32"/>
      <c r="J185" s="212">
        <v>659</v>
      </c>
      <c r="K185" s="211" t="s">
        <v>415</v>
      </c>
      <c r="L185" s="300">
        <f t="shared" si="15"/>
        <v>0</v>
      </c>
      <c r="M185"/>
      <c r="P185" s="195"/>
      <c r="Q185" s="277"/>
      <c r="R185" s="3"/>
      <c r="S185" s="3"/>
      <c r="T185" s="3"/>
      <c r="U185" s="3"/>
      <c r="V185" s="3"/>
      <c r="W185" s="3"/>
      <c r="X185" s="549">
        <v>659</v>
      </c>
      <c r="Y185" s="284">
        <v>659</v>
      </c>
      <c r="Z185" s="3"/>
      <c r="AA185" s="384">
        <f t="shared" si="16"/>
        <v>0</v>
      </c>
      <c r="AB185" s="284">
        <f t="shared" si="17"/>
        <v>0</v>
      </c>
    </row>
    <row r="186" spans="1:28" s="18" customFormat="1" ht="131.25" customHeight="1" x14ac:dyDescent="0.3">
      <c r="A186" s="210">
        <f>'Unit Data from Audit Worksheet'!A234</f>
        <v>660</v>
      </c>
      <c r="B186" s="223" t="str">
        <f>'Unit Data from Audit Worksheet'!C234</f>
        <v>OPEB
 Note or RSI</v>
      </c>
      <c r="C186" s="209" t="str">
        <f>'Unit Data from Audit Worksheet'!D234</f>
        <v>Total OPEB benefits- OPEB plan fiduciary net position
If no fiduciary net position, enter 0</v>
      </c>
      <c r="D186" s="228"/>
      <c r="E186" s="229">
        <f>'Unit Data from Audit Worksheet'!F234</f>
        <v>0</v>
      </c>
      <c r="F186" s="218">
        <f>IF(L186&lt;0,"Note: Number is normally positive.",)</f>
        <v>0</v>
      </c>
      <c r="G186" s="320" t="s">
        <v>1487</v>
      </c>
      <c r="H186" s="221"/>
      <c r="I186" s="32"/>
      <c r="J186" s="212">
        <v>660</v>
      </c>
      <c r="K186" s="211" t="s">
        <v>416</v>
      </c>
      <c r="L186" s="300">
        <f t="shared" si="15"/>
        <v>0</v>
      </c>
      <c r="M186"/>
      <c r="P186" s="195"/>
      <c r="Q186" s="277"/>
      <c r="R186" s="3"/>
      <c r="S186" s="3"/>
      <c r="T186" s="3"/>
      <c r="U186" s="3"/>
      <c r="V186" s="3"/>
      <c r="W186" s="3"/>
      <c r="X186" s="549">
        <v>660</v>
      </c>
      <c r="Y186" s="284">
        <v>660</v>
      </c>
      <c r="Z186" s="3"/>
      <c r="AA186" s="384">
        <f t="shared" si="16"/>
        <v>0</v>
      </c>
      <c r="AB186" s="284">
        <f t="shared" si="17"/>
        <v>0</v>
      </c>
    </row>
    <row r="187" spans="1:28" ht="134.25" customHeight="1" x14ac:dyDescent="0.3">
      <c r="A187" s="210">
        <f>'Unit Data from Audit Worksheet'!A235</f>
        <v>661</v>
      </c>
      <c r="B187" s="223" t="str">
        <f>'Unit Data from Audit Worksheet'!C235</f>
        <v>OPEB
RSI</v>
      </c>
      <c r="C187" s="209" t="str">
        <f>'Unit Data from Audit Worksheet'!D235</f>
        <v>Total OPEB benefits - What is the plan’s fiduciary net position as a percentage of the total OPEB liability?  Please enter as percentage value; for example, 83.5% should be entered as 83.5.  If assets have not been set aside in a trust, please enter 0.0</v>
      </c>
      <c r="D187" s="88"/>
      <c r="E187" s="208">
        <f>'Unit Data from Audit Worksheet'!F235</f>
        <v>0</v>
      </c>
      <c r="F187" s="222" t="str">
        <f>IF(H187=L187,"","Column L does not equal Column H")</f>
        <v/>
      </c>
      <c r="G187" s="320" t="s">
        <v>1487</v>
      </c>
      <c r="H187" s="160">
        <f>ROUND(IFERROR((L186/L185)*100,0),1)</f>
        <v>0</v>
      </c>
      <c r="I187" s="32"/>
      <c r="J187" s="212">
        <v>661</v>
      </c>
      <c r="K187" s="226" t="s">
        <v>418</v>
      </c>
      <c r="L187" s="722">
        <f>IF(D187="",E187,D187)</f>
        <v>0</v>
      </c>
      <c r="P187" s="195"/>
      <c r="X187" s="549">
        <v>661</v>
      </c>
      <c r="Y187" s="3">
        <v>661</v>
      </c>
      <c r="AA187" s="384">
        <f t="shared" si="16"/>
        <v>0</v>
      </c>
      <c r="AB187" s="284">
        <f t="shared" si="17"/>
        <v>0</v>
      </c>
    </row>
    <row r="188" spans="1:28" ht="65.25" customHeight="1" x14ac:dyDescent="0.3">
      <c r="A188" s="210">
        <f>'Unit Data from Audit Worksheet'!A238</f>
        <v>371</v>
      </c>
      <c r="B188" s="223" t="str">
        <f>'Unit Data from Audit Worksheet'!C238</f>
        <v>Transfer Note</v>
      </c>
      <c r="C188" s="209" t="str">
        <f>'Unit Data from Audit Worksheet'!D238</f>
        <v>Amount of Transfers from the General Fund to the Debt Service Fund (Enter as positive)</v>
      </c>
      <c r="D188" s="228"/>
      <c r="E188" s="229">
        <f>'Unit Data from Audit Worksheet'!F238</f>
        <v>0</v>
      </c>
      <c r="F188" s="222">
        <f>IF(L188&lt;0,"Error: Enter as a positive.",)</f>
        <v>0</v>
      </c>
      <c r="G188" s="224"/>
      <c r="H188" s="221"/>
      <c r="I188" s="32"/>
      <c r="J188" s="33">
        <v>371</v>
      </c>
      <c r="K188" s="219" t="s">
        <v>248</v>
      </c>
      <c r="L188" s="287">
        <f t="shared" si="15"/>
        <v>0</v>
      </c>
      <c r="P188" s="197"/>
      <c r="X188" s="549">
        <v>371</v>
      </c>
      <c r="Y188" s="3">
        <v>371</v>
      </c>
      <c r="AA188" s="384">
        <f t="shared" si="16"/>
        <v>0</v>
      </c>
      <c r="AB188" s="284">
        <f t="shared" si="17"/>
        <v>0</v>
      </c>
    </row>
    <row r="189" spans="1:28" s="384" customFormat="1" ht="65.25" customHeight="1" x14ac:dyDescent="0.3">
      <c r="A189" s="302">
        <f>'Unit Data from Audit Worksheet'!A239</f>
        <v>1075</v>
      </c>
      <c r="B189" s="227" t="str">
        <f>'Unit Data from Audit Worksheet'!C239</f>
        <v>Transfer Note</v>
      </c>
      <c r="C189" s="303" t="str">
        <f>'Unit Data from Audit Worksheet'!D239</f>
        <v>Transfers from General Fund to Water and Sewer Fund.  (Enter as positive)</v>
      </c>
      <c r="D189" s="228"/>
      <c r="E189" s="230">
        <f>'Unit Data from Audit Worksheet'!F239</f>
        <v>0</v>
      </c>
      <c r="F189" s="222"/>
      <c r="G189" s="224"/>
      <c r="H189" s="221"/>
      <c r="I189" s="32"/>
      <c r="J189" s="784">
        <v>1075</v>
      </c>
      <c r="K189" s="118" t="s">
        <v>1579</v>
      </c>
      <c r="L189" s="304">
        <f t="shared" si="15"/>
        <v>0</v>
      </c>
      <c r="M189" s="180"/>
      <c r="P189" s="197"/>
      <c r="Q189" s="277"/>
      <c r="X189" s="549"/>
      <c r="AB189" s="284"/>
    </row>
    <row r="190" spans="1:28" s="384" customFormat="1" ht="65.25" customHeight="1" x14ac:dyDescent="0.3">
      <c r="A190" s="302">
        <f>'Unit Data from Audit Worksheet'!A240</f>
        <v>1076</v>
      </c>
      <c r="B190" s="227" t="str">
        <f>'Unit Data from Audit Worksheet'!C240</f>
        <v>Transfer Note</v>
      </c>
      <c r="C190" s="303" t="str">
        <f>'Unit Data from Audit Worksheet'!D240</f>
        <v>Transfers from Water and Sewer to General Fund.  (Enter as positive)</v>
      </c>
      <c r="D190" s="228"/>
      <c r="E190" s="230">
        <f>'Unit Data from Audit Worksheet'!F240</f>
        <v>0</v>
      </c>
      <c r="F190" s="222"/>
      <c r="G190" s="224"/>
      <c r="H190" s="221"/>
      <c r="I190" s="32"/>
      <c r="J190" s="784">
        <v>1076</v>
      </c>
      <c r="K190" s="118" t="s">
        <v>1580</v>
      </c>
      <c r="L190" s="304">
        <f t="shared" si="15"/>
        <v>0</v>
      </c>
      <c r="M190" s="180"/>
      <c r="P190" s="197"/>
      <c r="Q190" s="277"/>
      <c r="X190" s="549"/>
      <c r="AB190" s="284"/>
    </row>
    <row r="191" spans="1:28" s="384" customFormat="1" ht="65.25" customHeight="1" x14ac:dyDescent="0.3">
      <c r="A191" s="302">
        <f>'Unit Data from Audit Worksheet'!A241</f>
        <v>1077</v>
      </c>
      <c r="B191" s="227" t="str">
        <f>'Unit Data from Audit Worksheet'!C241</f>
        <v>Water and Sewer - Fund Revenue, Expenses &amp; Changes in Fund Net Position or Notes to Financial Statements</v>
      </c>
      <c r="C191" s="303" t="str">
        <f>'Unit Data from Audit Worksheet'!D241</f>
        <v>Amount transferred from the Water and Sewer Fund to  Water and Sewer Capital Project Funds</v>
      </c>
      <c r="D191" s="228"/>
      <c r="E191" s="230">
        <f>'Unit Data from Audit Worksheet'!F241</f>
        <v>0</v>
      </c>
      <c r="F191" s="222"/>
      <c r="G191" s="224"/>
      <c r="H191" s="221"/>
      <c r="I191" s="32"/>
      <c r="J191" s="784">
        <v>1077</v>
      </c>
      <c r="K191" s="118" t="s">
        <v>1946</v>
      </c>
      <c r="L191" s="304">
        <f t="shared" si="15"/>
        <v>0</v>
      </c>
      <c r="M191" s="180"/>
      <c r="P191" s="197"/>
      <c r="Q191" s="277"/>
      <c r="X191" s="549"/>
      <c r="AB191" s="284"/>
    </row>
    <row r="192" spans="1:28" ht="63" customHeight="1" x14ac:dyDescent="0.3">
      <c r="A192" s="210">
        <f>'Unit Data from Audit Worksheet'!A242</f>
        <v>513</v>
      </c>
      <c r="B192" s="223" t="str">
        <f>'Unit Data from Audit Worksheet'!C242</f>
        <v>Transfer Note</v>
      </c>
      <c r="C192" s="209" t="str">
        <f>'Unit Data from Audit Worksheet'!D242</f>
        <v>Amount of Transfers from the General Fund to the Electric Fund  (Enter as positive)</v>
      </c>
      <c r="D192" s="228"/>
      <c r="E192" s="229">
        <f>'Unit Data from Audit Worksheet'!F242</f>
        <v>0</v>
      </c>
      <c r="F192" s="222">
        <f>IF(L192&lt;0,"Error: Enter as a positive.",)</f>
        <v>0</v>
      </c>
      <c r="G192" s="224"/>
      <c r="H192" s="221"/>
      <c r="I192" s="32"/>
      <c r="J192" s="220">
        <v>513</v>
      </c>
      <c r="K192" s="219" t="s">
        <v>249</v>
      </c>
      <c r="L192" s="287">
        <f t="shared" si="15"/>
        <v>0</v>
      </c>
      <c r="P192" s="197"/>
      <c r="X192" s="549">
        <v>513</v>
      </c>
      <c r="Y192" s="3">
        <v>513</v>
      </c>
      <c r="AA192" s="384">
        <f t="shared" si="16"/>
        <v>0</v>
      </c>
      <c r="AB192" s="284">
        <f t="shared" si="17"/>
        <v>0</v>
      </c>
    </row>
    <row r="193" spans="1:28" ht="89.25" customHeight="1" x14ac:dyDescent="0.3">
      <c r="A193" s="210">
        <f>'Unit Data from Audit Worksheet'!A243</f>
        <v>514</v>
      </c>
      <c r="B193" s="223" t="str">
        <f>'Unit Data from Audit Worksheet'!C243</f>
        <v>Transfer Note</v>
      </c>
      <c r="C193" s="209" t="str">
        <f>'Unit Data from Audit Worksheet'!D243</f>
        <v>Amount of Transfers from the Electric Fund to the General Fund  (Enter as positive)
Include:  Payment in Lieu of Taxes (PILOT)</v>
      </c>
      <c r="D193" s="228"/>
      <c r="E193" s="229">
        <f>'Unit Data from Audit Worksheet'!F243</f>
        <v>0</v>
      </c>
      <c r="F193" s="222">
        <f>IF(L193&lt;0,"Error: Enter as a positive.",)</f>
        <v>0</v>
      </c>
      <c r="G193" s="224"/>
      <c r="H193" s="221"/>
      <c r="I193" s="32"/>
      <c r="J193" s="220">
        <v>514</v>
      </c>
      <c r="K193" s="219" t="s">
        <v>250</v>
      </c>
      <c r="L193" s="287">
        <f t="shared" si="15"/>
        <v>0</v>
      </c>
      <c r="P193" s="197"/>
      <c r="X193" s="549">
        <v>514</v>
      </c>
      <c r="Y193" s="3">
        <v>514</v>
      </c>
      <c r="AA193" s="384">
        <f t="shared" si="16"/>
        <v>0</v>
      </c>
      <c r="AB193" s="284">
        <f t="shared" si="17"/>
        <v>0</v>
      </c>
    </row>
    <row r="194" spans="1:28" ht="89.25" customHeight="1" x14ac:dyDescent="0.3">
      <c r="A194" s="210">
        <f>'Unit Data from Audit Worksheet'!A244</f>
        <v>990</v>
      </c>
      <c r="B194" s="223" t="str">
        <f>'Unit Data from Audit Worksheet'!C244</f>
        <v>Transfer Note</v>
      </c>
      <c r="C194" s="209" t="str">
        <f>'Unit Data from Audit Worksheet'!D244</f>
        <v>Amount of transfer out of the Electric to the General Fund that is for Payment in Lieu of Taxes (PILOT)</v>
      </c>
      <c r="D194" s="228"/>
      <c r="E194" s="229">
        <f>'Unit Data from Audit Worksheet'!F244</f>
        <v>0</v>
      </c>
      <c r="F194" s="222"/>
      <c r="G194" s="224"/>
      <c r="H194" s="221"/>
      <c r="I194" s="32"/>
      <c r="J194" s="220">
        <v>990</v>
      </c>
      <c r="K194" s="219" t="s">
        <v>575</v>
      </c>
      <c r="L194" s="287">
        <f t="shared" si="15"/>
        <v>0</v>
      </c>
      <c r="P194" s="197"/>
      <c r="X194" s="549">
        <v>990</v>
      </c>
      <c r="Y194" s="3">
        <v>990</v>
      </c>
      <c r="AA194" s="384">
        <f t="shared" si="16"/>
        <v>0</v>
      </c>
      <c r="AB194" s="284">
        <f t="shared" si="17"/>
        <v>0</v>
      </c>
    </row>
    <row r="195" spans="1:28" s="384" customFormat="1" ht="89.25" customHeight="1" x14ac:dyDescent="0.3">
      <c r="A195" s="210">
        <f>'Unit Data from Audit Worksheet'!A245</f>
        <v>1051</v>
      </c>
      <c r="B195" s="223" t="str">
        <f>'Unit Data from Audit Worksheet'!C245</f>
        <v>Electric Fund Revenue, Expenses &amp; Changes in Fund Net Position or Notes to Financial Statements</v>
      </c>
      <c r="C195" s="209" t="str">
        <f>'Unit Data from Audit Worksheet'!D245</f>
        <v>Transfers to Electric Capital Projects</v>
      </c>
      <c r="D195" s="228"/>
      <c r="E195" s="229">
        <f>'Unit Data from Audit Worksheet'!F245</f>
        <v>0</v>
      </c>
      <c r="F195" s="222"/>
      <c r="G195" s="224"/>
      <c r="H195" s="221"/>
      <c r="I195" s="32"/>
      <c r="J195" s="220">
        <v>1051</v>
      </c>
      <c r="K195" s="219" t="s">
        <v>1430</v>
      </c>
      <c r="L195" s="293">
        <f t="shared" si="15"/>
        <v>0</v>
      </c>
      <c r="M195"/>
      <c r="P195" s="197"/>
      <c r="Q195" s="277"/>
      <c r="X195" s="549"/>
      <c r="AB195" s="284"/>
    </row>
    <row r="196" spans="1:28" ht="84.75" customHeight="1" x14ac:dyDescent="0.3">
      <c r="A196" s="321">
        <f>'Unit Data from Audit Worksheet'!A247</f>
        <v>6</v>
      </c>
      <c r="B196" s="47" t="str">
        <f>'Unit Data from Audit Worksheet'!C247</f>
        <v>Fund Balance Note</v>
      </c>
      <c r="C196" s="296" t="str">
        <f>'Unit Data from Audit Worksheet'!D247</f>
        <v>General Fund -  Total Encumbrances.  You will probably have to refer to the note disclosure where the amount of encumbrances is listed.</v>
      </c>
      <c r="D196" s="228"/>
      <c r="E196" s="144">
        <f>'Unit Data from Audit Worksheet'!F247</f>
        <v>0</v>
      </c>
      <c r="F196" s="31">
        <f>IF(L196&lt;0,"Error: Enter as a positive.",)</f>
        <v>0</v>
      </c>
      <c r="G196" s="66"/>
      <c r="H196" s="221"/>
      <c r="I196" s="32"/>
      <c r="J196" s="35">
        <v>6</v>
      </c>
      <c r="K196" s="125" t="s">
        <v>251</v>
      </c>
      <c r="L196" s="287">
        <f t="shared" si="15"/>
        <v>0</v>
      </c>
      <c r="P196" s="197"/>
      <c r="X196" s="549">
        <v>6</v>
      </c>
      <c r="Y196" s="3">
        <v>6</v>
      </c>
      <c r="AA196" s="384">
        <f t="shared" si="16"/>
        <v>0</v>
      </c>
      <c r="AB196" s="284">
        <f t="shared" si="17"/>
        <v>0</v>
      </c>
    </row>
    <row r="197" spans="1:28" ht="117.75" customHeight="1" x14ac:dyDescent="0.3">
      <c r="A197" s="210">
        <f>'Unit Data from Audit Worksheet'!A249</f>
        <v>541</v>
      </c>
      <c r="B197" s="223" t="str">
        <f>'Unit Data from Audit Worksheet'!C249</f>
        <v>Water Sewer - Budget Actual Statement</v>
      </c>
      <c r="C197" s="223" t="str">
        <f>'Unit Data from Audit Worksheet'!D249</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197" s="228"/>
      <c r="E197" s="229">
        <f>'Unit Data from Audit Worksheet'!F249</f>
        <v>0</v>
      </c>
      <c r="F197" s="222"/>
      <c r="G197" s="224"/>
      <c r="H197" s="221"/>
      <c r="I197" s="32"/>
      <c r="J197" s="220">
        <v>541</v>
      </c>
      <c r="K197" s="81" t="s">
        <v>308</v>
      </c>
      <c r="L197" s="287">
        <f t="shared" si="15"/>
        <v>0</v>
      </c>
      <c r="P197" s="197"/>
      <c r="X197" s="549">
        <v>541</v>
      </c>
      <c r="Y197" s="3">
        <v>541</v>
      </c>
      <c r="AA197" s="384">
        <f t="shared" si="16"/>
        <v>0</v>
      </c>
      <c r="AB197" s="284">
        <f t="shared" si="17"/>
        <v>0</v>
      </c>
    </row>
    <row r="198" spans="1:28" ht="94.5" customHeight="1" x14ac:dyDescent="0.3">
      <c r="A198" s="210">
        <f>'Unit Data from Audit Worksheet'!A251</f>
        <v>542</v>
      </c>
      <c r="B198" s="223" t="str">
        <f>'Unit Data from Audit Worksheet'!C251</f>
        <v>Water Sewer - Disclosed in the Notes or in the recently approved Budget for next year.</v>
      </c>
      <c r="C198" s="209" t="str">
        <f>'Unit Data from Audit Worksheet'!D251</f>
        <v>Amount of the Water Sewer Fund Balance appropriated in next year's budget?</v>
      </c>
      <c r="D198" s="228"/>
      <c r="E198" s="229">
        <f>'Unit Data from Audit Worksheet'!F251</f>
        <v>0</v>
      </c>
      <c r="F198" s="222"/>
      <c r="G198" s="224"/>
      <c r="H198" s="221"/>
      <c r="I198" s="32"/>
      <c r="J198" s="220">
        <v>542</v>
      </c>
      <c r="K198" s="219" t="s">
        <v>252</v>
      </c>
      <c r="L198" s="287">
        <f t="shared" si="15"/>
        <v>0</v>
      </c>
      <c r="N198" s="54" t="s">
        <v>299</v>
      </c>
      <c r="P198" s="197"/>
      <c r="X198" s="549">
        <v>542</v>
      </c>
      <c r="Y198" s="3">
        <v>542</v>
      </c>
      <c r="AA198" s="384">
        <f t="shared" si="16"/>
        <v>0</v>
      </c>
      <c r="AB198" s="284">
        <f t="shared" si="17"/>
        <v>0</v>
      </c>
    </row>
    <row r="199" spans="1:28" ht="93.75" customHeight="1" x14ac:dyDescent="0.3">
      <c r="A199" s="210">
        <f>'Unit Data from Audit Worksheet'!A254</f>
        <v>528</v>
      </c>
      <c r="B199" s="223" t="str">
        <f>'Unit Data from Audit Worksheet'!C254</f>
        <v>Analysis of Current Tax Levy Schedule</v>
      </c>
      <c r="C199" s="209" t="str">
        <f>'Unit Data from Audit Worksheet'!D254</f>
        <v>Please enter the Net Current year's levy for property excluding registered motor vehicles-- (after adjusting for discoveries and abatements) - 
Exclude Supplemental Taxes</v>
      </c>
      <c r="D199" s="228"/>
      <c r="E199" s="229">
        <f>'Unit Data from Audit Worksheet'!F254</f>
        <v>0</v>
      </c>
      <c r="F199" s="75" t="str">
        <f>IF(L199=0,"Must be completed if unit levys taxes","")</f>
        <v>Must be completed if unit levys taxes</v>
      </c>
      <c r="G199" s="224"/>
      <c r="H199" s="221"/>
      <c r="I199" s="32"/>
      <c r="J199" s="220">
        <v>528</v>
      </c>
      <c r="K199" s="322" t="s">
        <v>257</v>
      </c>
      <c r="L199" s="287">
        <f t="shared" si="15"/>
        <v>0</v>
      </c>
      <c r="N199" s="76"/>
      <c r="P199" s="197"/>
      <c r="X199" s="549">
        <v>528</v>
      </c>
      <c r="Y199" s="3">
        <v>528</v>
      </c>
      <c r="AA199" s="384">
        <f t="shared" si="16"/>
        <v>0</v>
      </c>
      <c r="AB199" s="284">
        <f t="shared" si="17"/>
        <v>0</v>
      </c>
    </row>
    <row r="200" spans="1:28" s="18" customFormat="1" ht="79.5" customHeight="1" x14ac:dyDescent="0.3">
      <c r="A200" s="210">
        <f>'Unit Data from Audit Worksheet'!A255</f>
        <v>529</v>
      </c>
      <c r="B200" s="223" t="str">
        <f>'Unit Data from Audit Worksheet'!C255</f>
        <v>Analysis of Current Tax Levy Schedule</v>
      </c>
      <c r="C200" s="209" t="str">
        <f>'Unit Data from Audit Worksheet'!D255</f>
        <v>Please enter the Net Current year's levy -- Motor vehicles (only) (after adjusting for discoveries and abatements)
Exclude supplemental taxes</v>
      </c>
      <c r="D200" s="228"/>
      <c r="E200" s="229">
        <f>'Unit Data from Audit Worksheet'!F255</f>
        <v>0</v>
      </c>
      <c r="F200" s="75" t="str">
        <f>IF(L200=0,"Must be completed if unit levys taxes","")</f>
        <v>Must be completed if unit levys taxes</v>
      </c>
      <c r="G200" s="224"/>
      <c r="H200" s="221"/>
      <c r="I200" s="32"/>
      <c r="J200" s="220">
        <v>529</v>
      </c>
      <c r="K200" s="322" t="s">
        <v>258</v>
      </c>
      <c r="L200" s="287">
        <f t="shared" si="15"/>
        <v>0</v>
      </c>
      <c r="M200"/>
      <c r="N200" s="76"/>
      <c r="P200" s="197"/>
      <c r="Q200" s="277"/>
      <c r="R200" s="3"/>
      <c r="S200" s="3"/>
      <c r="T200" s="3"/>
      <c r="U200" s="3"/>
      <c r="V200" s="3"/>
      <c r="W200" s="3"/>
      <c r="X200" s="549">
        <v>529</v>
      </c>
      <c r="Y200" s="3">
        <v>529</v>
      </c>
      <c r="Z200" s="3"/>
      <c r="AA200" s="384">
        <f t="shared" si="16"/>
        <v>0</v>
      </c>
      <c r="AB200" s="284">
        <f t="shared" si="17"/>
        <v>0</v>
      </c>
    </row>
    <row r="201" spans="1:28" s="18" customFormat="1" ht="75" customHeight="1" x14ac:dyDescent="0.3">
      <c r="A201" s="210">
        <f>'Unit Data from Audit Worksheet'!A256</f>
        <v>530</v>
      </c>
      <c r="B201" s="223" t="str">
        <f>'Unit Data from Audit Worksheet'!C256</f>
        <v>Analysis of Current Tax Levy Schedule</v>
      </c>
      <c r="C201" s="209" t="str">
        <f>'Unit Data from Audit Worksheet'!D256</f>
        <v>Uncollected Taxes - Curr Year's Levy Exclude Motor Vehicles
Exclude supplemental taxes</v>
      </c>
      <c r="D201" s="228"/>
      <c r="E201" s="229">
        <f>'Unit Data from Audit Worksheet'!F256</f>
        <v>0</v>
      </c>
      <c r="F201" s="75" t="str">
        <f>IF(L201=0,"Must be completed if unit levys taxes","")</f>
        <v>Must be completed if unit levys taxes</v>
      </c>
      <c r="G201" s="224"/>
      <c r="H201" s="221"/>
      <c r="I201" s="32"/>
      <c r="J201" s="220">
        <v>530</v>
      </c>
      <c r="K201" s="322" t="s">
        <v>259</v>
      </c>
      <c r="L201" s="287">
        <f t="shared" ref="L201:L207" si="18">IF(D201="",E201,D201)</f>
        <v>0</v>
      </c>
      <c r="M201"/>
      <c r="N201" s="76"/>
      <c r="P201" s="197"/>
      <c r="Q201" s="277"/>
      <c r="R201" s="3"/>
      <c r="S201" s="3"/>
      <c r="T201" s="3"/>
      <c r="U201" s="3"/>
      <c r="V201" s="3"/>
      <c r="W201" s="3"/>
      <c r="X201" s="549">
        <v>530</v>
      </c>
      <c r="Y201" s="3">
        <v>530</v>
      </c>
      <c r="Z201" s="3"/>
      <c r="AA201" s="384">
        <f t="shared" si="16"/>
        <v>0</v>
      </c>
      <c r="AB201" s="284">
        <f t="shared" si="17"/>
        <v>0</v>
      </c>
    </row>
    <row r="202" spans="1:28" s="18" customFormat="1" ht="68.25" customHeight="1" x14ac:dyDescent="0.3">
      <c r="A202" s="210">
        <f>'Unit Data from Audit Worksheet'!A257</f>
        <v>531</v>
      </c>
      <c r="B202" s="223" t="str">
        <f>'Unit Data from Audit Worksheet'!C257</f>
        <v>Analysis of Current Tax Levy Schedule</v>
      </c>
      <c r="C202" s="209" t="str">
        <f>'Unit Data from Audit Worksheet'!D257</f>
        <v>Uncollected Taxes - Curr Year's Levy Motor Vehicles
Exclude supplemental taxes</v>
      </c>
      <c r="D202" s="228"/>
      <c r="E202" s="229">
        <f>'Unit Data from Audit Worksheet'!F257</f>
        <v>0</v>
      </c>
      <c r="F202" s="75"/>
      <c r="G202" s="224"/>
      <c r="H202" s="221"/>
      <c r="I202" s="32"/>
      <c r="J202" s="220">
        <v>531</v>
      </c>
      <c r="K202" s="322" t="s">
        <v>260</v>
      </c>
      <c r="L202" s="287">
        <f t="shared" si="18"/>
        <v>0</v>
      </c>
      <c r="M202"/>
      <c r="N202" s="76" t="str">
        <f>IF(T183=0,"Must be completed if unit levys taxes, zero acceptable if Motor Vehicle collection rate is 100%","")</f>
        <v>Must be completed if unit levys taxes, zero acceptable if Motor Vehicle collection rate is 100%</v>
      </c>
      <c r="P202" s="197"/>
      <c r="Q202" s="277"/>
      <c r="R202" s="3"/>
      <c r="S202" s="3"/>
      <c r="T202" s="3"/>
      <c r="U202" s="3"/>
      <c r="V202" s="3"/>
      <c r="W202" s="3"/>
      <c r="X202" s="549">
        <v>531</v>
      </c>
      <c r="Y202" s="3">
        <v>531</v>
      </c>
      <c r="Z202" s="3"/>
      <c r="AA202" s="384">
        <f t="shared" si="16"/>
        <v>0</v>
      </c>
      <c r="AB202" s="284">
        <f t="shared" si="17"/>
        <v>0</v>
      </c>
    </row>
    <row r="203" spans="1:28" ht="90.75" customHeight="1" x14ac:dyDescent="0.3">
      <c r="A203" s="210">
        <f>'Unit Data from Audit Worksheet'!A258</f>
        <v>61</v>
      </c>
      <c r="B203" s="223" t="str">
        <f>'Unit Data from Audit Worksheet'!C258</f>
        <v>Analysis of Current Tax Levy Schedule</v>
      </c>
      <c r="C203" s="209" t="str">
        <f>'Unit Data from Audit Worksheet'!D258</f>
        <v>Tax collection rate- Total Levy UNIT-WIDE
Exclude supplemental taxes
(Enter as a percentage with two decimal places)</v>
      </c>
      <c r="D203" s="82"/>
      <c r="E203" s="141">
        <f>'Unit Data from Audit Worksheet'!F258</f>
        <v>0</v>
      </c>
      <c r="F203" s="80" t="str">
        <f>IF(L203=H203,"","Column H calculates the percentage using accounts 528, 529, 530, 531, please enter the correct amounts from the audit schedule for these cells")</f>
        <v/>
      </c>
      <c r="G203" s="224" t="str">
        <f>IF(Q180=1," Included in error count"," ")</f>
        <v xml:space="preserve"> </v>
      </c>
      <c r="H203" s="224">
        <f>ROUND(IFERROR(((L199+L200)-(L201+L202))/(L199+L200)*100,0),2)</f>
        <v>0</v>
      </c>
      <c r="I203" s="32"/>
      <c r="J203" s="220">
        <v>61</v>
      </c>
      <c r="K203" s="52" t="s">
        <v>254</v>
      </c>
      <c r="L203" s="723">
        <f t="shared" si="18"/>
        <v>0</v>
      </c>
      <c r="N203" s="76"/>
      <c r="P203" s="197"/>
      <c r="X203" s="549">
        <v>61</v>
      </c>
      <c r="Y203" s="3">
        <v>61</v>
      </c>
      <c r="AA203" s="384">
        <f t="shared" si="16"/>
        <v>0</v>
      </c>
      <c r="AB203" s="284">
        <f t="shared" si="17"/>
        <v>0</v>
      </c>
    </row>
    <row r="204" spans="1:28" ht="89.25" customHeight="1" x14ac:dyDescent="0.3">
      <c r="A204" s="210">
        <f>'Unit Data from Audit Worksheet'!A259</f>
        <v>102</v>
      </c>
      <c r="B204" s="223" t="str">
        <f>'Unit Data from Audit Worksheet'!C259</f>
        <v>Analysis of Current Tax Levy Schedule</v>
      </c>
      <c r="C204" s="209" t="str">
        <f>'Unit Data from Audit Worksheet'!D259</f>
        <v>Tax collection rate - Excluding Registered motor vehicles
Exclude supplemental taxes
(Enter as a percentage with two decimal places)</v>
      </c>
      <c r="D204" s="82"/>
      <c r="E204" s="141">
        <f>'Unit Data from Audit Worksheet'!F259</f>
        <v>0</v>
      </c>
      <c r="F204" s="80" t="str">
        <f>IF(L204=H204,"","Column H calculates the percentage using accounts 528 and 530,  please enter the correct amounts from the audit schedule for these cells")</f>
        <v/>
      </c>
      <c r="G204" s="224" t="str">
        <f>IF(Q181=1," Included in error count"," ")</f>
        <v xml:space="preserve"> </v>
      </c>
      <c r="H204" s="224">
        <f>ROUND(IFERROR(((L199)-(L201))/(L199)*100,0),2)</f>
        <v>0</v>
      </c>
      <c r="I204" s="32"/>
      <c r="J204" s="220">
        <v>102</v>
      </c>
      <c r="K204" s="52" t="s">
        <v>255</v>
      </c>
      <c r="L204" s="723">
        <f t="shared" si="18"/>
        <v>0</v>
      </c>
      <c r="N204" s="76"/>
      <c r="P204" s="197"/>
      <c r="X204" s="549">
        <v>102</v>
      </c>
      <c r="Y204" s="3">
        <v>102</v>
      </c>
      <c r="AA204" s="384">
        <f t="shared" si="16"/>
        <v>0</v>
      </c>
      <c r="AB204" s="284">
        <f t="shared" si="17"/>
        <v>0</v>
      </c>
    </row>
    <row r="205" spans="1:28" ht="87.75" customHeight="1" x14ac:dyDescent="0.3">
      <c r="A205" s="210">
        <f>'Unit Data from Audit Worksheet'!A260</f>
        <v>103</v>
      </c>
      <c r="B205" s="223" t="str">
        <f>'Unit Data from Audit Worksheet'!C260</f>
        <v>Analysis of Current Tax Levy Schedule</v>
      </c>
      <c r="C205" s="209" t="str">
        <f>'Unit Data from Audit Worksheet'!D260</f>
        <v>Tax collection rate - Registered motor vehicles
Exclude supplemental taxes
(Enter as a percentage with two decimal places)</v>
      </c>
      <c r="D205" s="82"/>
      <c r="E205" s="141">
        <f>'Unit Data from Audit Worksheet'!F260</f>
        <v>0</v>
      </c>
      <c r="F205" s="80" t="str">
        <f>IF(L205=H205,"","Column H calculates the percentage using accounts 529 and 531, please enter the correct amounts from the audit schedule for these cells")</f>
        <v/>
      </c>
      <c r="G205" s="224" t="str">
        <f>IF(Q182=1," Included in error count"," ")</f>
        <v xml:space="preserve"> </v>
      </c>
      <c r="H205" s="224">
        <f>ROUND(IFERROR(((L200)-(L202))/(L200)*100,0),2)</f>
        <v>0</v>
      </c>
      <c r="I205" s="32"/>
      <c r="J205" s="220">
        <v>103</v>
      </c>
      <c r="K205" s="52" t="s">
        <v>256</v>
      </c>
      <c r="L205" s="723">
        <f t="shared" si="18"/>
        <v>0</v>
      </c>
      <c r="N205" s="76"/>
      <c r="P205" s="197"/>
      <c r="X205" s="549">
        <v>103</v>
      </c>
      <c r="Y205" s="3">
        <v>103</v>
      </c>
      <c r="AA205" s="384">
        <f t="shared" si="16"/>
        <v>0</v>
      </c>
      <c r="AB205" s="284">
        <f t="shared" si="17"/>
        <v>0</v>
      </c>
    </row>
    <row r="206" spans="1:28" ht="86.25" customHeight="1" x14ac:dyDescent="0.3">
      <c r="A206" s="210">
        <f>'Unit Data from Audit Worksheet'!A261</f>
        <v>544</v>
      </c>
      <c r="B206" s="223" t="str">
        <f>'Unit Data from Audit Worksheet'!C261</f>
        <v>Analysis of Current Tax Levy Schedule</v>
      </c>
      <c r="C206" s="209" t="str">
        <f>'Unit Data from Audit Worksheet'!D261</f>
        <v>Property Tax Increase for Year Audited- enter amount of  increase in cents per $100 - leave blank if no increase 
Exclude supplemental taxes</v>
      </c>
      <c r="D206" s="228"/>
      <c r="E206" s="138">
        <f>'Unit Data from Audit Worksheet'!F261</f>
        <v>0</v>
      </c>
      <c r="F206" s="96"/>
      <c r="G206" s="224"/>
      <c r="H206" s="221">
        <f>'Unit Data from Audit Worksheet'!I261</f>
        <v>0</v>
      </c>
      <c r="I206" s="32"/>
      <c r="J206" s="220">
        <v>544</v>
      </c>
      <c r="K206" s="52" t="s">
        <v>52</v>
      </c>
      <c r="L206" s="323">
        <f t="shared" si="18"/>
        <v>0</v>
      </c>
      <c r="N206" s="54" t="s">
        <v>299</v>
      </c>
      <c r="P206" s="197"/>
      <c r="X206" s="549">
        <v>544</v>
      </c>
      <c r="Y206" s="3">
        <v>544</v>
      </c>
      <c r="AA206" s="384">
        <f t="shared" si="16"/>
        <v>0</v>
      </c>
      <c r="AB206" s="284">
        <f t="shared" si="17"/>
        <v>0</v>
      </c>
    </row>
    <row r="207" spans="1:28" ht="93.75" customHeight="1" x14ac:dyDescent="0.3">
      <c r="A207" s="210">
        <f>'Unit Data from Audit Worksheet'!A262</f>
        <v>545</v>
      </c>
      <c r="B207" s="223" t="str">
        <f>'Unit Data from Audit Worksheet'!C262</f>
        <v>Analysis of Current Tax Levy Schedule</v>
      </c>
      <c r="C207" s="209" t="str">
        <f>'Unit Data from Audit Worksheet'!D262</f>
        <v>Property Tax Increase for budget year after fiscal year being reported - enter amount of increase in cents per $100- leave blank if no increase
Exclude supplemental taxes</v>
      </c>
      <c r="D207" s="228"/>
      <c r="E207" s="138">
        <f>'Unit Data from Audit Worksheet'!F262</f>
        <v>0</v>
      </c>
      <c r="F207" s="222"/>
      <c r="G207" s="224"/>
      <c r="H207" s="221">
        <f>'Unit Data from Audit Worksheet'!I262</f>
        <v>0</v>
      </c>
      <c r="I207" s="32"/>
      <c r="J207" s="97">
        <v>545</v>
      </c>
      <c r="K207" s="52" t="s">
        <v>53</v>
      </c>
      <c r="L207" s="323">
        <f t="shared" si="18"/>
        <v>0</v>
      </c>
      <c r="N207" s="54" t="s">
        <v>299</v>
      </c>
      <c r="O207" s="295"/>
      <c r="P207" s="197"/>
      <c r="X207" s="549">
        <v>545</v>
      </c>
      <c r="Y207" s="3">
        <v>545</v>
      </c>
      <c r="AA207" s="384">
        <f t="shared" si="16"/>
        <v>0</v>
      </c>
      <c r="AB207" s="284">
        <f t="shared" si="17"/>
        <v>0</v>
      </c>
    </row>
    <row r="208" spans="1:28" ht="72.75" customHeight="1" x14ac:dyDescent="0.3">
      <c r="A208" s="210">
        <f>'Unit Data from Audit Worksheet'!A263</f>
        <v>624</v>
      </c>
      <c r="B208" s="223"/>
      <c r="C208" s="209" t="str">
        <f>'Unit Data from Audit Worksheet'!D263</f>
        <v>Does the County collect real estate property taxes on your behalf? Select "1" for "yes and "2" for "No"</v>
      </c>
      <c r="D208" s="228"/>
      <c r="E208" s="146">
        <f>'Unit Data from Audit Worksheet'!F263</f>
        <v>0</v>
      </c>
      <c r="F208" s="222"/>
      <c r="G208" s="224"/>
      <c r="H208" s="221"/>
      <c r="I208" s="32"/>
      <c r="J208" s="97">
        <v>624</v>
      </c>
      <c r="K208" s="52" t="s">
        <v>356</v>
      </c>
      <c r="L208" s="287">
        <f t="shared" ref="L208:L226" si="19">IF(D208="",E208,D208)</f>
        <v>0</v>
      </c>
      <c r="P208" s="197"/>
      <c r="X208" s="549">
        <v>624</v>
      </c>
      <c r="Y208" s="3">
        <v>624</v>
      </c>
      <c r="AA208" s="384">
        <f t="shared" si="16"/>
        <v>0</v>
      </c>
      <c r="AB208" s="284">
        <f t="shared" si="17"/>
        <v>0</v>
      </c>
    </row>
    <row r="209" spans="1:28" ht="72.75" customHeight="1" x14ac:dyDescent="0.3">
      <c r="A209" s="210">
        <f>'Unit Data from Audit Worksheet'!A264</f>
        <v>648</v>
      </c>
      <c r="B209" s="223"/>
      <c r="C209" s="209" t="str">
        <f>'Unit Data from Audit Worksheet'!D264</f>
        <v>Please enter your tax rate for ad valorem in effect for fiscal year audited.  Example 60 cents per 100 would be entered as .60</v>
      </c>
      <c r="D209" s="228"/>
      <c r="E209" s="138">
        <f>'Unit Data from Audit Worksheet'!F264</f>
        <v>0</v>
      </c>
      <c r="F209" s="222"/>
      <c r="G209" s="224"/>
      <c r="H209" s="221"/>
      <c r="I209" s="32"/>
      <c r="J209" s="97">
        <v>648</v>
      </c>
      <c r="K209" s="324" t="s">
        <v>597</v>
      </c>
      <c r="L209" s="724">
        <f t="shared" si="19"/>
        <v>0</v>
      </c>
      <c r="P209" s="197"/>
      <c r="X209" s="549">
        <v>648</v>
      </c>
      <c r="Y209" s="3">
        <v>648</v>
      </c>
      <c r="AA209" s="384">
        <f t="shared" si="16"/>
        <v>0</v>
      </c>
      <c r="AB209" s="284">
        <f t="shared" si="17"/>
        <v>0</v>
      </c>
    </row>
    <row r="210" spans="1:28" ht="161.25" customHeight="1" x14ac:dyDescent="0.3">
      <c r="A210" s="210">
        <f>'Unit Data from Audit Worksheet'!A265</f>
        <v>991</v>
      </c>
      <c r="B210" s="223"/>
      <c r="C210" s="209" t="str">
        <f>'Unit Data from Audit Worksheet'!D265</f>
        <v>The Counties listed in cell H260 and municipalities within these counties are scheduled to revalue property listing by 1/1/2025 according to the Dept. of Revenue records.  Please indicate if you expect your revaluation to: 
Enter  "20" for increase, 
            "21" for decrease, 
            "22" for no change,
            "23" if this question is not applicable
Select from drop list.</v>
      </c>
      <c r="D210" s="228"/>
      <c r="E210" s="146">
        <f>'Unit Data from Audit Worksheet'!F265</f>
        <v>0</v>
      </c>
      <c r="F210" s="222"/>
      <c r="G210" s="224"/>
      <c r="H210" s="221" t="str">
        <f>'Unit Data from Audit Worksheet'!H265</f>
        <v xml:space="preserve">Beaufort, Buncombe, Caldwell, Carteret, Chatham, Cleveland, Cumberland, Dare, Davie, Duplin, Durham, Forsyth, Gates, Haywood, Jackson, Johnston, Lenoir, Martin, New Hanover, Orange, Person, Polk, Stanly, Stokes, Surry, Transylvania, Tyrrell, Union, Warren, Wayne, Wilkes </v>
      </c>
      <c r="I210" s="32"/>
      <c r="J210" s="97">
        <v>991</v>
      </c>
      <c r="K210" s="52" t="s">
        <v>856</v>
      </c>
      <c r="L210" s="287">
        <f t="shared" si="19"/>
        <v>0</v>
      </c>
      <c r="P210" s="197"/>
      <c r="X210" s="549">
        <v>991</v>
      </c>
      <c r="Y210" s="3">
        <v>991</v>
      </c>
      <c r="AA210" s="384">
        <f t="shared" ref="AA210:AA260" si="20">A210-J210</f>
        <v>0</v>
      </c>
      <c r="AB210" s="284">
        <f t="shared" ref="AB210:AB246" si="21">E210-L210</f>
        <v>0</v>
      </c>
    </row>
    <row r="211" spans="1:28" ht="87.75" customHeight="1" x14ac:dyDescent="0.3">
      <c r="A211" s="210">
        <f>'Unit Data from Audit Worksheet'!A267</f>
        <v>620</v>
      </c>
      <c r="B211" s="223"/>
      <c r="C211" s="209" t="str">
        <f>'Unit Data from Audit Worksheet'!D267</f>
        <v>Do you expect to issue debt requiring LGC approval within 12 months from the date that the audit is submitted - select "1" for yes and "2" for no</v>
      </c>
      <c r="D211" s="228"/>
      <c r="E211" s="146">
        <f>'Unit Data from Audit Worksheet'!F267</f>
        <v>0</v>
      </c>
      <c r="F211" s="222"/>
      <c r="G211" s="224"/>
      <c r="H211" s="221">
        <f>'Unit Data from Audit Worksheet'!I267</f>
        <v>0</v>
      </c>
      <c r="I211" s="32"/>
      <c r="J211" s="97">
        <v>620</v>
      </c>
      <c r="K211" s="52" t="s">
        <v>593</v>
      </c>
      <c r="L211" s="287">
        <f t="shared" si="19"/>
        <v>0</v>
      </c>
      <c r="N211" s="128"/>
      <c r="P211" s="197"/>
      <c r="X211" s="549">
        <v>620</v>
      </c>
      <c r="Y211" s="3">
        <v>620</v>
      </c>
      <c r="AA211" s="384">
        <f t="shared" si="20"/>
        <v>0</v>
      </c>
      <c r="AB211" s="284">
        <f t="shared" si="21"/>
        <v>0</v>
      </c>
    </row>
    <row r="212" spans="1:28" ht="87.75" customHeight="1" x14ac:dyDescent="0.3">
      <c r="A212" s="210">
        <f>'TD Info Completed by Auditor'!A11</f>
        <v>906</v>
      </c>
      <c r="B212" s="124" t="s">
        <v>590</v>
      </c>
      <c r="C212" s="210" t="str">
        <f>'TD Info Completed by Auditor'!B11</f>
        <v>Is the Independent Auditor's Report Opinion Unmodified?</v>
      </c>
      <c r="D212" s="228"/>
      <c r="E212" s="212">
        <f>IF(+'TD Info Completed by Auditor'!C11="Yes",1,IF(+'TD Info Completed by Auditor'!C11="No",2,IF(+'TD Info Completed by Auditor'!C11="N/A",3,0)))</f>
        <v>0</v>
      </c>
      <c r="F212" s="222"/>
      <c r="G212" s="224"/>
      <c r="H212" s="221"/>
      <c r="I212" s="32"/>
      <c r="J212" s="182">
        <v>906</v>
      </c>
      <c r="K212" s="52" t="s">
        <v>467</v>
      </c>
      <c r="L212" s="293">
        <f t="shared" si="19"/>
        <v>0</v>
      </c>
      <c r="N212" s="244" t="s">
        <v>644</v>
      </c>
      <c r="P212" s="193"/>
      <c r="X212" s="284" t="e">
        <v>#N/A</v>
      </c>
      <c r="AA212" s="384">
        <f t="shared" si="20"/>
        <v>0</v>
      </c>
      <c r="AB212" s="284">
        <f t="shared" si="21"/>
        <v>0</v>
      </c>
    </row>
    <row r="213" spans="1:28" ht="87.75" customHeight="1" x14ac:dyDescent="0.3">
      <c r="A213" s="210">
        <f>'TD Info Completed by Auditor'!A12</f>
        <v>907</v>
      </c>
      <c r="B213" s="124" t="s">
        <v>590</v>
      </c>
      <c r="C213" s="210" t="str">
        <f>'TD Info Completed by Auditor'!B12</f>
        <v xml:space="preserve">Is there a finding for lack of segregation of duties at this unit? </v>
      </c>
      <c r="D213" s="228"/>
      <c r="E213" s="212">
        <f>IF(+'TD Info Completed by Auditor'!C12="Yes",1,IF(+'TD Info Completed by Auditor'!C12="No",2,IF(+'TD Info Completed by Auditor'!C12="N/A",3,0)))</f>
        <v>0</v>
      </c>
      <c r="F213" s="222"/>
      <c r="G213" s="224"/>
      <c r="H213" s="221"/>
      <c r="I213" s="32"/>
      <c r="J213" s="182">
        <v>907</v>
      </c>
      <c r="K213" s="52" t="s">
        <v>468</v>
      </c>
      <c r="L213" s="293">
        <f t="shared" si="19"/>
        <v>0</v>
      </c>
      <c r="N213" s="244" t="s">
        <v>644</v>
      </c>
      <c r="P213" s="194"/>
      <c r="X213" s="284" t="e">
        <v>#N/A</v>
      </c>
      <c r="Y213" s="384"/>
      <c r="AA213" s="384">
        <f t="shared" si="20"/>
        <v>0</v>
      </c>
      <c r="AB213" s="284">
        <f t="shared" si="21"/>
        <v>0</v>
      </c>
    </row>
    <row r="214" spans="1:28" s="384" customFormat="1" ht="87.75" customHeight="1" x14ac:dyDescent="0.3">
      <c r="A214" s="210">
        <f>'TD Info Completed by Auditor'!A13</f>
        <v>1055</v>
      </c>
      <c r="B214" s="124"/>
      <c r="C214" s="210" t="str">
        <f>'TD Info Completed by Auditor'!B13</f>
        <v xml:space="preserve"> Did your audit disclose bank reconciliations or subsidiary ledger reconciliations not performed timely? (Yes or No)</v>
      </c>
      <c r="D214" s="228"/>
      <c r="E214" s="212">
        <f>IF(+'TD Info Completed by Auditor'!C13="Yes",1,IF(+'TD Info Completed by Auditor'!C13="No",2,IF(+'TD Info Completed by Auditor'!C13="N/A",3,0)))</f>
        <v>0</v>
      </c>
      <c r="F214" s="222"/>
      <c r="G214" s="224"/>
      <c r="H214" s="221"/>
      <c r="I214" s="32"/>
      <c r="J214" s="182">
        <v>1055</v>
      </c>
      <c r="K214" s="210" t="s">
        <v>1528</v>
      </c>
      <c r="L214" s="293">
        <f t="shared" si="19"/>
        <v>0</v>
      </c>
      <c r="M214"/>
      <c r="N214" s="244" t="s">
        <v>644</v>
      </c>
      <c r="P214" s="195"/>
      <c r="Q214" s="277"/>
      <c r="X214" s="284"/>
      <c r="AA214" s="384">
        <f t="shared" si="20"/>
        <v>0</v>
      </c>
      <c r="AB214" s="284"/>
    </row>
    <row r="215" spans="1:28" s="384" customFormat="1" ht="87.75" customHeight="1" x14ac:dyDescent="0.3">
      <c r="A215" s="210">
        <f>'TD Info Completed by Auditor'!A14</f>
        <v>1056</v>
      </c>
      <c r="B215" s="124"/>
      <c r="C215" s="210" t="str">
        <f>'TD Info Completed by Auditor'!B14</f>
        <v>Did your audit disclose as a finding that the unit’s records were not completed by the agreed upon time? (Yes or No)</v>
      </c>
      <c r="D215" s="228"/>
      <c r="E215" s="212">
        <f>IF(+'TD Info Completed by Auditor'!C14="Yes",1,IF(+'TD Info Completed by Auditor'!C14="No",2,IF(+'TD Info Completed by Auditor'!C14="N/A",3,0)))</f>
        <v>0</v>
      </c>
      <c r="F215" s="222"/>
      <c r="G215" s="224"/>
      <c r="H215" s="221"/>
      <c r="I215" s="32"/>
      <c r="J215" s="182">
        <v>1056</v>
      </c>
      <c r="K215" s="210" t="s">
        <v>1529</v>
      </c>
      <c r="L215" s="293">
        <f t="shared" si="19"/>
        <v>0</v>
      </c>
      <c r="M215"/>
      <c r="N215" s="244" t="s">
        <v>644</v>
      </c>
      <c r="P215" s="195"/>
      <c r="Q215" s="277"/>
      <c r="X215" s="284"/>
      <c r="AA215" s="384">
        <f t="shared" si="20"/>
        <v>0</v>
      </c>
      <c r="AB215" s="284"/>
    </row>
    <row r="216" spans="1:28" s="384" customFormat="1" ht="87.75" customHeight="1" x14ac:dyDescent="0.3">
      <c r="A216" s="210">
        <f>'TD Info Completed by Auditor'!A15</f>
        <v>1057</v>
      </c>
      <c r="B216" s="124"/>
      <c r="C216" s="210" t="str">
        <f>'TD Info Completed by Auditor'!B15</f>
        <v>Did your audit disclose any budget violations at the adopted ordinance level? (Yes or No)</v>
      </c>
      <c r="D216" s="228"/>
      <c r="E216" s="212">
        <f>IF(+'TD Info Completed by Auditor'!C15="Yes",1,IF(+'TD Info Completed by Auditor'!C15="No",2,IF(+'TD Info Completed by Auditor'!C15="N/A",3,0)))</f>
        <v>0</v>
      </c>
      <c r="F216" s="222"/>
      <c r="G216" s="224"/>
      <c r="H216" s="221"/>
      <c r="I216" s="32"/>
      <c r="J216" s="182">
        <v>1057</v>
      </c>
      <c r="K216" s="767" t="s">
        <v>1928</v>
      </c>
      <c r="L216" s="293">
        <f t="shared" si="19"/>
        <v>0</v>
      </c>
      <c r="M216"/>
      <c r="N216" s="244" t="s">
        <v>644</v>
      </c>
      <c r="P216" s="195"/>
      <c r="Q216" s="277"/>
      <c r="X216" s="284"/>
      <c r="AA216" s="384">
        <f t="shared" si="20"/>
        <v>0</v>
      </c>
      <c r="AB216" s="284"/>
    </row>
    <row r="217" spans="1:28" s="384" customFormat="1" ht="87.75" customHeight="1" x14ac:dyDescent="0.3">
      <c r="A217" s="210">
        <f>'TD Info Completed by Auditor'!A16</f>
        <v>1058</v>
      </c>
      <c r="B217" s="124"/>
      <c r="C217" s="210" t="str">
        <f>'TD Info Completed by Auditor'!B16</f>
        <v>Did your audit disclose as a finding any statutory violations? (not including budget violations) (Yes or No) If the answer  is "Yes", review whether this needs to be disclosed in the Stewardship, Compliance and Accountability Note</v>
      </c>
      <c r="D217" s="228"/>
      <c r="E217" s="212">
        <f>IF(+'TD Info Completed by Auditor'!C16="Yes",1,IF(+'TD Info Completed by Auditor'!C16="No",2,IF(+'TD Info Completed by Auditor'!C16="N/A",3,0)))</f>
        <v>0</v>
      </c>
      <c r="F217" s="222"/>
      <c r="G217" s="224"/>
      <c r="H217" s="221"/>
      <c r="I217" s="32"/>
      <c r="J217" s="182">
        <v>1058</v>
      </c>
      <c r="K217" s="179" t="s">
        <v>1530</v>
      </c>
      <c r="L217" s="293">
        <f t="shared" si="19"/>
        <v>0</v>
      </c>
      <c r="M217"/>
      <c r="N217" s="244" t="s">
        <v>644</v>
      </c>
      <c r="P217" s="195"/>
      <c r="Q217" s="277"/>
      <c r="X217" s="284"/>
      <c r="AA217" s="384">
        <f t="shared" si="20"/>
        <v>0</v>
      </c>
      <c r="AB217" s="284"/>
    </row>
    <row r="218" spans="1:28" s="384" customFormat="1" ht="159" customHeight="1" x14ac:dyDescent="0.3">
      <c r="A218" s="210">
        <f>'TD Info Completed by Auditor'!A17</f>
        <v>1059</v>
      </c>
      <c r="B218" s="124"/>
      <c r="C218" s="302" t="str">
        <f>'TD Info Completed by Auditor'!B17</f>
        <v xml:space="preserve"> Did the unit have a board-appointed finance officer or board-appointed interim finance officer the entire fiscal year as required by G.S. 159-24 which provides that "each local government and public authority shall, at all times, have a finance officer appointed by the local government, public authority, or designated official to hold office at the pleasure of the appointing board or official?" (Yes or No)</v>
      </c>
      <c r="D218" s="228"/>
      <c r="E218" s="212">
        <f>IF(+'TD Info Completed by Auditor'!C17="Yes",1,IF(+'TD Info Completed by Auditor'!C17="No",2,IF(+'TD Info Completed by Auditor'!C17="N/A",3,0)))</f>
        <v>0</v>
      </c>
      <c r="F218" s="222"/>
      <c r="G218" s="224"/>
      <c r="H218" s="221"/>
      <c r="I218" s="32"/>
      <c r="J218" s="182">
        <v>1059</v>
      </c>
      <c r="K218" s="767" t="s">
        <v>1566</v>
      </c>
      <c r="L218" s="293">
        <f t="shared" si="19"/>
        <v>0</v>
      </c>
      <c r="M218"/>
      <c r="N218" s="244" t="s">
        <v>644</v>
      </c>
      <c r="P218" s="195"/>
      <c r="Q218" s="277"/>
      <c r="X218" s="284"/>
      <c r="AA218" s="384">
        <f t="shared" si="20"/>
        <v>0</v>
      </c>
      <c r="AB218" s="284"/>
    </row>
    <row r="219" spans="1:28" s="384" customFormat="1" ht="159" customHeight="1" x14ac:dyDescent="0.3">
      <c r="A219" s="302">
        <v>1078</v>
      </c>
      <c r="B219" s="207"/>
      <c r="C219" s="302" t="str">
        <f>'TD Info Completed by Auditor'!B18</f>
        <v>If the answer to 1059 is "No," was the unit without a board-appointed interim or permanent finance officer for more than 2 weeks at any time in the fiscal year? (Note:  Please include a noncompliance finding related to GS 159-24, GS 159-25(a)(2) or GS 159-25( c) in the audit and/or include disclosure in  the Stewardship, Compliance, and Accountability section of the financial statement notes)</v>
      </c>
      <c r="D219" s="228"/>
      <c r="E219" s="983">
        <f>IF(+'TD Info Completed by Auditor'!C18="Yes",1,IF(+'TD Info Completed by Auditor'!C18="No",2,IF(+'TD Info Completed by Auditor'!C18="N/A",3,0)))</f>
        <v>0</v>
      </c>
      <c r="F219" s="225"/>
      <c r="G219" s="224"/>
      <c r="H219" s="221"/>
      <c r="I219" s="32"/>
      <c r="J219" s="119">
        <v>1078</v>
      </c>
      <c r="K219" s="302" t="s">
        <v>1926</v>
      </c>
      <c r="L219" s="984">
        <f t="shared" si="19"/>
        <v>0</v>
      </c>
      <c r="M219" s="180"/>
      <c r="N219" s="244"/>
      <c r="P219" s="195"/>
      <c r="Q219" s="277"/>
      <c r="X219" s="284"/>
      <c r="AB219" s="284"/>
    </row>
    <row r="220" spans="1:28" s="384" customFormat="1" ht="133.19999999999999" customHeight="1" x14ac:dyDescent="0.3">
      <c r="A220" s="302">
        <v>1067</v>
      </c>
      <c r="B220" s="207"/>
      <c r="C220" s="302" t="str">
        <f>'TD Info Completed by Auditor'!B19</f>
        <v>Was the finance officer or interim finance officer bonded pursuant to G.S. 159-29 which requires that the finance officer give a true accounting and faithful performance bond in an amount not less than the greater of (1) $50,000 or (2) an amount equal to 10% of the unit's annually budgeted funds, up to $1,000,000? (Yes or No)</v>
      </c>
      <c r="D220" s="228"/>
      <c r="E220" s="212">
        <f>IF(+'TD Info Completed by Auditor'!C19="Yes",1,IF(+'TD Info Completed by Auditor'!C19="No",2,IF(+'TD Info Completed by Auditor'!C19="N/A",3,0)))</f>
        <v>0</v>
      </c>
      <c r="G220" s="222"/>
      <c r="H220" s="221"/>
      <c r="I220" s="32"/>
      <c r="J220" s="119">
        <v>1067</v>
      </c>
      <c r="K220" s="302" t="s">
        <v>1922</v>
      </c>
      <c r="L220" s="304">
        <f t="shared" si="19"/>
        <v>0</v>
      </c>
      <c r="M220" s="180"/>
      <c r="N220" s="244" t="s">
        <v>644</v>
      </c>
      <c r="P220" s="195"/>
      <c r="Q220" s="277"/>
      <c r="X220" s="284"/>
      <c r="AB220" s="284"/>
    </row>
    <row r="221" spans="1:28" s="384" customFormat="1" ht="87.75" customHeight="1" x14ac:dyDescent="0.3">
      <c r="A221" s="210">
        <f>'TD Info Completed by Auditor'!A20</f>
        <v>951</v>
      </c>
      <c r="B221" s="124" t="s">
        <v>590</v>
      </c>
      <c r="C221" s="210" t="str">
        <f>'TD Info Completed by Auditor'!B20</f>
        <v>Is there a finding for lack of technical skills, knowledge and experience (SKE) at this unit?</v>
      </c>
      <c r="D221" s="228"/>
      <c r="E221" s="212">
        <f>IF(+'TD Info Completed by Auditor'!C20="Yes",1,IF(+'TD Info Completed by Auditor'!C20="No",2,IF(+'TD Info Completed by Auditor'!C20="N/A",3,0)))</f>
        <v>0</v>
      </c>
      <c r="F221" s="222"/>
      <c r="G221" s="224"/>
      <c r="H221" s="221"/>
      <c r="I221" s="32"/>
      <c r="J221" s="182">
        <v>951</v>
      </c>
      <c r="K221" s="52" t="s">
        <v>469</v>
      </c>
      <c r="L221" s="293">
        <f>IF(D221="",E221,D221)</f>
        <v>0</v>
      </c>
      <c r="M221"/>
      <c r="N221" s="244" t="s">
        <v>644</v>
      </c>
      <c r="P221" s="195"/>
      <c r="Q221" s="277"/>
      <c r="X221" s="284"/>
      <c r="AB221" s="284"/>
    </row>
    <row r="222" spans="1:28" ht="87.75" customHeight="1" x14ac:dyDescent="0.3">
      <c r="A222" s="210">
        <f>'TD Info Completed by Auditor'!A21</f>
        <v>953</v>
      </c>
      <c r="B222" s="124" t="s">
        <v>590</v>
      </c>
      <c r="C222" s="210" t="str">
        <f>'TD Info Completed by Auditor'!B21</f>
        <v xml:space="preserve">Is there is a going concern noted in the audit report? </v>
      </c>
      <c r="D222" s="228"/>
      <c r="E222" s="212">
        <f>IF(+'TD Info Completed by Auditor'!C21="Yes",1,IF(+'TD Info Completed by Auditor'!C21="No",2,IF(+'TD Info Completed by Auditor'!C21="N/A",3,0)))</f>
        <v>0</v>
      </c>
      <c r="F222" s="222"/>
      <c r="G222" s="224"/>
      <c r="H222" s="221"/>
      <c r="I222" s="32"/>
      <c r="J222" s="182">
        <v>953</v>
      </c>
      <c r="K222" s="982" t="s">
        <v>1927</v>
      </c>
      <c r="L222" s="293">
        <f t="shared" si="19"/>
        <v>0</v>
      </c>
      <c r="N222" s="244" t="s">
        <v>644</v>
      </c>
      <c r="P222" s="195"/>
      <c r="X222" s="284" t="e">
        <v>#N/A</v>
      </c>
      <c r="Y222" s="384"/>
      <c r="AA222" s="384">
        <f t="shared" si="20"/>
        <v>0</v>
      </c>
      <c r="AB222" s="284">
        <f t="shared" si="21"/>
        <v>0</v>
      </c>
    </row>
    <row r="223" spans="1:28" ht="87.75" customHeight="1" x14ac:dyDescent="0.3">
      <c r="A223" s="210">
        <f>'TD Info Completed by Auditor'!A22</f>
        <v>955</v>
      </c>
      <c r="B223" s="124" t="s">
        <v>590</v>
      </c>
      <c r="C223" s="210" t="str">
        <f>'TD Info Completed by Auditor'!B22</f>
        <v>Number of significant deficiency findings (financial statement findings only)
Exclude findings reported in questions  907, 951</v>
      </c>
      <c r="D223" s="228"/>
      <c r="E223" s="212">
        <f>'TD Info Completed by Auditor'!C22</f>
        <v>0</v>
      </c>
      <c r="F223" s="222"/>
      <c r="G223" s="224"/>
      <c r="H223" s="221"/>
      <c r="I223" s="32"/>
      <c r="J223" s="182">
        <v>955</v>
      </c>
      <c r="K223" s="52" t="s">
        <v>594</v>
      </c>
      <c r="L223" s="293">
        <f t="shared" si="19"/>
        <v>0</v>
      </c>
      <c r="N223" s="244" t="s">
        <v>644</v>
      </c>
      <c r="P223" s="195"/>
      <c r="X223" s="284" t="e">
        <v>#N/A</v>
      </c>
      <c r="Y223" s="384"/>
      <c r="AA223" s="384">
        <f t="shared" si="20"/>
        <v>0</v>
      </c>
      <c r="AB223" s="284">
        <f t="shared" si="21"/>
        <v>0</v>
      </c>
    </row>
    <row r="224" spans="1:28" ht="87.75" customHeight="1" x14ac:dyDescent="0.3">
      <c r="A224" s="210">
        <f>'TD Info Completed by Auditor'!A23</f>
        <v>957</v>
      </c>
      <c r="B224" s="124" t="s">
        <v>590</v>
      </c>
      <c r="C224" s="210" t="str">
        <f>'TD Info Completed by Auditor'!B23</f>
        <v>Number of material weakness findings (financial statement findings only)
Exclude findings reported in questions  907, 951</v>
      </c>
      <c r="D224" s="228"/>
      <c r="E224" s="212">
        <f>'TD Info Completed by Auditor'!C23</f>
        <v>0</v>
      </c>
      <c r="F224" s="222"/>
      <c r="G224" s="224"/>
      <c r="H224" s="221"/>
      <c r="I224" s="32"/>
      <c r="J224" s="182">
        <v>957</v>
      </c>
      <c r="K224" s="52" t="s">
        <v>595</v>
      </c>
      <c r="L224" s="293">
        <f t="shared" si="19"/>
        <v>0</v>
      </c>
      <c r="N224" s="244" t="s">
        <v>644</v>
      </c>
      <c r="P224" s="195"/>
      <c r="X224" s="284" t="e">
        <v>#N/A</v>
      </c>
      <c r="Y224" s="384"/>
      <c r="AA224" s="384">
        <f t="shared" si="20"/>
        <v>0</v>
      </c>
      <c r="AB224" s="284">
        <f t="shared" si="21"/>
        <v>0</v>
      </c>
    </row>
    <row r="225" spans="1:28" ht="289.2" customHeight="1" x14ac:dyDescent="0.3">
      <c r="A225" s="210">
        <f>'TD Info Completed by Auditor'!A24</f>
        <v>973</v>
      </c>
      <c r="B225" s="124" t="s">
        <v>590</v>
      </c>
      <c r="C225" s="210" t="str">
        <f>'TD Info Completed by Auditor'!B24</f>
        <v>The above questions account for significant and material findings.  Were there any issues or other matters presented to the Governing Board regarding internal controls (not already listed as a material weakness or significant deficiency? If “Yes”, please indicate the number of other issues presented to the Governing Board.  This question is intended to include issues that would have a substantial negative impact on the unit financially or on internal controls. This includes matters the auditor presented to the board such as excessive employee turnover or loss of a big taxpayer.</v>
      </c>
      <c r="D225" s="228"/>
      <c r="E225" s="212">
        <f>IF(+'TD Info Completed by Auditor'!C24&gt;0,1,IF(+'TD Info Completed by Auditor'!C24&gt;0,2,IF(+'TD Info Completed by Auditor'!C24&gt;0,3,0)))</f>
        <v>0</v>
      </c>
      <c r="F225" s="222"/>
      <c r="G225" s="224"/>
      <c r="H225" s="221"/>
      <c r="I225" s="32"/>
      <c r="J225" s="182">
        <v>973</v>
      </c>
      <c r="K225" s="52" t="s">
        <v>1490</v>
      </c>
      <c r="L225" s="293">
        <f>IF(D225="",E225,D225)</f>
        <v>0</v>
      </c>
      <c r="N225" s="244" t="s">
        <v>644</v>
      </c>
      <c r="P225" s="201"/>
      <c r="X225" s="284" t="e">
        <v>#N/A</v>
      </c>
      <c r="Y225" s="384"/>
      <c r="AA225" s="384">
        <f>A225-J225</f>
        <v>0</v>
      </c>
      <c r="AB225" s="284">
        <f>E225-L225</f>
        <v>0</v>
      </c>
    </row>
    <row r="226" spans="1:28" ht="87.75" customHeight="1" x14ac:dyDescent="0.3">
      <c r="A226" s="210">
        <f>'TD Info Completed by Auditor'!A25</f>
        <v>959</v>
      </c>
      <c r="B226" s="124" t="s">
        <v>590</v>
      </c>
      <c r="C226" s="210" t="str">
        <f>'TD Info Completed by Auditor'!B25</f>
        <v>Did the Unit have debt service payments deferred or restructured in this fiscal year? (does not include refinancings designed to take advantage of lower interest rates)  Select Yes, No, or NA</v>
      </c>
      <c r="D226" s="228"/>
      <c r="E226" s="212">
        <f>IF(+'TD Info Completed by Auditor'!C25="Yes",1,IF(+'TD Info Completed by Auditor'!C25="No",2,IF(+'TD Info Completed by Auditor'!C25="N/A",3,0)))</f>
        <v>0</v>
      </c>
      <c r="F226" s="222"/>
      <c r="G226" s="224"/>
      <c r="H226" s="221"/>
      <c r="I226" s="32"/>
      <c r="J226" s="182">
        <v>959</v>
      </c>
      <c r="K226" s="52" t="s">
        <v>646</v>
      </c>
      <c r="L226" s="293">
        <f t="shared" si="19"/>
        <v>0</v>
      </c>
      <c r="N226" s="244" t="s">
        <v>644</v>
      </c>
      <c r="P226" s="195"/>
      <c r="X226" s="284" t="e">
        <v>#N/A</v>
      </c>
      <c r="Y226" s="384"/>
      <c r="AA226" s="384">
        <f t="shared" si="20"/>
        <v>0</v>
      </c>
      <c r="AB226" s="284">
        <f t="shared" si="21"/>
        <v>0</v>
      </c>
    </row>
    <row r="227" spans="1:28" s="384" customFormat="1" ht="177.75" customHeight="1" x14ac:dyDescent="0.3">
      <c r="A227" s="210">
        <f>'TD Info Completed by Auditor'!A26</f>
        <v>974</v>
      </c>
      <c r="B227" s="124" t="s">
        <v>590</v>
      </c>
      <c r="C227" s="210" t="str">
        <f>'TD Info Completed by Auditor'!B26</f>
        <v>Did the Unit have any of the following occur:
1.  Bond covenants were not met
2.  Debt service payments made late?  Deferred payments authorized by LGC or other state
     agencies should not be counted as late for purposes of this question.</v>
      </c>
      <c r="D227" s="228"/>
      <c r="E227" s="212">
        <f>IF(+'TD Info Completed by Auditor'!C26="Yes",1,IF(+'TD Info Completed by Auditor'!C26="No",2,IF(+'TD Info Completed by Auditor'!C26="N/A",3,0)))</f>
        <v>0</v>
      </c>
      <c r="F227" s="222"/>
      <c r="G227" s="224"/>
      <c r="H227" s="221"/>
      <c r="I227" s="32"/>
      <c r="J227" s="182">
        <v>974</v>
      </c>
      <c r="K227" s="52" t="s">
        <v>793</v>
      </c>
      <c r="L227" s="293">
        <f t="shared" ref="L227" si="22">IF(D227="",E227,D227)</f>
        <v>0</v>
      </c>
      <c r="M227"/>
      <c r="N227" s="244" t="s">
        <v>644</v>
      </c>
      <c r="P227" s="201"/>
      <c r="Q227" s="277"/>
      <c r="X227" s="284"/>
      <c r="AB227" s="284"/>
    </row>
    <row r="228" spans="1:28" ht="87.75" customHeight="1" x14ac:dyDescent="0.3">
      <c r="A228" s="210">
        <f>'TD Info Completed by Auditor'!A33</f>
        <v>975</v>
      </c>
      <c r="B228" s="124" t="s">
        <v>590</v>
      </c>
      <c r="C228" s="209" t="str">
        <f>'TD Info Completed by Auditor'!B33</f>
        <v>Does the Performance Indicator Print worksheet in this workbook have a red shaded cell?</v>
      </c>
      <c r="D228" s="228"/>
      <c r="E228" s="212">
        <f>IF(+'TD Info Completed by Auditor'!C33="Yes",1,IF(+'TD Info Completed by Auditor'!C33="No",2,IF(+'TD Info Completed by Auditor'!C33="N/A",3,0)))</f>
        <v>0</v>
      </c>
      <c r="F228" s="222"/>
      <c r="G228" s="224"/>
      <c r="H228" s="221"/>
      <c r="I228" s="32"/>
      <c r="J228" s="182">
        <v>975</v>
      </c>
      <c r="K228" s="982" t="s">
        <v>1929</v>
      </c>
      <c r="L228" s="293">
        <f>IF(D228="",E228,D228)</f>
        <v>0</v>
      </c>
      <c r="N228" s="244" t="s">
        <v>644</v>
      </c>
      <c r="P228" s="201"/>
      <c r="Q228" s="316"/>
      <c r="X228" s="284" t="e">
        <v>#N/A</v>
      </c>
      <c r="Y228" s="384"/>
      <c r="AA228" s="384">
        <f t="shared" si="20"/>
        <v>0</v>
      </c>
      <c r="AB228" s="284">
        <f t="shared" si="21"/>
        <v>0</v>
      </c>
    </row>
    <row r="229" spans="1:28" s="384" customFormat="1" ht="87.75" customHeight="1" x14ac:dyDescent="0.3">
      <c r="A229" s="302">
        <v>1068</v>
      </c>
      <c r="B229" s="302" t="s">
        <v>590</v>
      </c>
      <c r="C229" s="302" t="str">
        <f>'TD Info Completed by Auditor'!B35</f>
        <v xml:space="preserve">Does the unit have a self-insurance fund? </v>
      </c>
      <c r="D229" s="228"/>
      <c r="E229" s="768">
        <f>IF(+'TD Info Completed by Auditor'!C35="Yes",1,IF(+'TD Info Completed by Auditor'!C35="No",2,IF(+'TD Info Completed by Auditor'!C35="N/A",3,0)))</f>
        <v>0</v>
      </c>
      <c r="F229" s="769"/>
      <c r="G229" s="770"/>
      <c r="H229" s="771"/>
      <c r="I229" s="32"/>
      <c r="J229" s="772">
        <v>1068</v>
      </c>
      <c r="K229" s="302" t="s">
        <v>1571</v>
      </c>
      <c r="L229" s="985">
        <f t="shared" ref="L229:L232" si="23">IF(D229="",E229,D229)</f>
        <v>0</v>
      </c>
      <c r="M229" s="180"/>
      <c r="N229" s="244" t="s">
        <v>644</v>
      </c>
      <c r="P229" s="201"/>
      <c r="Q229" s="316"/>
      <c r="X229" s="284"/>
      <c r="AB229" s="284"/>
    </row>
    <row r="230" spans="1:28" s="384" customFormat="1" ht="87.75" customHeight="1" x14ac:dyDescent="0.3">
      <c r="A230" s="302">
        <v>1069</v>
      </c>
      <c r="B230" s="302" t="s">
        <v>590</v>
      </c>
      <c r="C230" s="623" t="str">
        <f>'TD Info Completed by Auditor'!B36</f>
        <v>If the unit is self-insured for employee health care, does the unit use a qualified consultant to establish rates and appropriate reserve levels?</v>
      </c>
      <c r="D230" s="228"/>
      <c r="E230" s="768">
        <f>IF(+'TD Info Completed by Auditor'!C36="Yes",1,IF(+'TD Info Completed by Auditor'!C36="No",2,IF(+'TD Info Completed by Auditor'!C36="N/A",3,0)))</f>
        <v>0</v>
      </c>
      <c r="F230" s="769"/>
      <c r="G230" s="770"/>
      <c r="H230" s="771"/>
      <c r="I230" s="32"/>
      <c r="J230" s="772">
        <v>1069</v>
      </c>
      <c r="K230" s="623" t="s">
        <v>1577</v>
      </c>
      <c r="L230" s="985">
        <f t="shared" si="23"/>
        <v>0</v>
      </c>
      <c r="M230" s="180"/>
      <c r="N230" s="244" t="s">
        <v>644</v>
      </c>
      <c r="P230" s="201"/>
      <c r="Q230" s="316"/>
      <c r="X230" s="284"/>
      <c r="AB230" s="284"/>
    </row>
    <row r="231" spans="1:28" s="384" customFormat="1" ht="96" customHeight="1" x14ac:dyDescent="0.3">
      <c r="A231" s="302">
        <v>1070</v>
      </c>
      <c r="B231" s="302" t="s">
        <v>590</v>
      </c>
      <c r="C231" s="302" t="str">
        <f>'TD Info Completed by Auditor'!B37</f>
        <v>Does the Unit have a non-state administered pension plan?
(Note - OPEB is not a pension plan.)</v>
      </c>
      <c r="D231" s="228"/>
      <c r="E231" s="768">
        <f>IF(+'TD Info Completed by Auditor'!C37="Yes",1,IF(+'TD Info Completed by Auditor'!C37="No",2,IF(+'TD Info Completed by Auditor'!C37="N/A",3,0)))</f>
        <v>0</v>
      </c>
      <c r="F231" s="769"/>
      <c r="G231" s="770"/>
      <c r="H231" s="771"/>
      <c r="I231" s="32"/>
      <c r="J231" s="772">
        <v>1070</v>
      </c>
      <c r="K231" s="302" t="s">
        <v>1947</v>
      </c>
      <c r="L231" s="986">
        <f t="shared" si="23"/>
        <v>0</v>
      </c>
      <c r="M231" s="180"/>
      <c r="N231" s="244" t="s">
        <v>644</v>
      </c>
      <c r="P231" s="201"/>
      <c r="Q231" s="316"/>
      <c r="X231" s="284"/>
      <c r="AB231" s="284"/>
    </row>
    <row r="232" spans="1:28" s="384" customFormat="1" ht="87.75" customHeight="1" x14ac:dyDescent="0.3">
      <c r="A232" s="302">
        <v>1071</v>
      </c>
      <c r="B232" s="302" t="s">
        <v>590</v>
      </c>
      <c r="C232" s="302" t="str">
        <f>'TD Info Completed by Auditor'!B38</f>
        <v>Please list the amount of ARPA funds expended in total this fiscal year for non-capital purposes.  Enter "0" if no ARPA funds expended for this fiscal year for non-capital purposes.</v>
      </c>
      <c r="D232" s="228"/>
      <c r="E232" s="774">
        <f>'TD Info Completed by Auditor'!C38</f>
        <v>0</v>
      </c>
      <c r="F232" s="769"/>
      <c r="G232" s="770"/>
      <c r="H232" s="771"/>
      <c r="I232" s="32"/>
      <c r="J232" s="772">
        <v>1071</v>
      </c>
      <c r="K232" s="302" t="s">
        <v>1923</v>
      </c>
      <c r="L232" s="985">
        <f t="shared" si="23"/>
        <v>0</v>
      </c>
      <c r="M232" s="180"/>
      <c r="N232" s="244" t="s">
        <v>644</v>
      </c>
      <c r="P232" s="201"/>
      <c r="Q232" s="316"/>
      <c r="X232" s="284"/>
      <c r="AB232" s="284"/>
    </row>
    <row r="233" spans="1:28" ht="121.2" customHeight="1" x14ac:dyDescent="0.3">
      <c r="A233" s="325">
        <v>336</v>
      </c>
      <c r="B233" s="235"/>
      <c r="C233" s="326" t="s">
        <v>654</v>
      </c>
      <c r="D233" s="327" t="s">
        <v>622</v>
      </c>
      <c r="E233" s="328" t="s">
        <v>623</v>
      </c>
      <c r="F233" s="236" t="s">
        <v>1060</v>
      </c>
      <c r="G233" s="224"/>
      <c r="H233" s="221"/>
      <c r="I233" s="32"/>
      <c r="J233" s="237">
        <v>336</v>
      </c>
      <c r="K233" s="329" t="s">
        <v>626</v>
      </c>
      <c r="L233" s="330">
        <f>L10-L11-L12-L13-L14-L15-L16</f>
        <v>0</v>
      </c>
      <c r="N233" s="245" t="s">
        <v>624</v>
      </c>
      <c r="P233" s="201"/>
      <c r="Q233" s="316"/>
      <c r="X233" s="284" t="e">
        <v>#N/A</v>
      </c>
      <c r="Y233" s="384"/>
      <c r="AA233" s="384">
        <f t="shared" si="20"/>
        <v>0</v>
      </c>
      <c r="AB233" s="284" t="e">
        <f t="shared" si="21"/>
        <v>#VALUE!</v>
      </c>
    </row>
    <row r="234" spans="1:28" ht="129" customHeight="1" x14ac:dyDescent="0.3">
      <c r="A234" s="325">
        <v>44</v>
      </c>
      <c r="B234" s="235"/>
      <c r="C234" s="236" t="s">
        <v>655</v>
      </c>
      <c r="D234" s="327" t="s">
        <v>614</v>
      </c>
      <c r="E234" s="331" t="s">
        <v>615</v>
      </c>
      <c r="F234" s="236" t="s">
        <v>1061</v>
      </c>
      <c r="G234" s="224"/>
      <c r="H234" s="221"/>
      <c r="I234" s="32"/>
      <c r="J234" s="237">
        <v>44</v>
      </c>
      <c r="K234" s="329" t="s">
        <v>627</v>
      </c>
      <c r="L234" s="330">
        <f>L76-L77-L74</f>
        <v>0</v>
      </c>
      <c r="N234" s="245" t="s">
        <v>625</v>
      </c>
      <c r="P234" s="201"/>
      <c r="Q234" s="316"/>
      <c r="X234" s="284" t="e">
        <v>#N/A</v>
      </c>
      <c r="Y234" s="384"/>
      <c r="AA234" s="384">
        <f t="shared" si="20"/>
        <v>0</v>
      </c>
      <c r="AB234" s="284" t="e">
        <f t="shared" si="21"/>
        <v>#VALUE!</v>
      </c>
    </row>
    <row r="235" spans="1:28" ht="169.5" customHeight="1" x14ac:dyDescent="0.3">
      <c r="A235" s="325">
        <v>45</v>
      </c>
      <c r="B235" s="235"/>
      <c r="C235" s="236" t="s">
        <v>656</v>
      </c>
      <c r="D235" s="327" t="s">
        <v>616</v>
      </c>
      <c r="E235" s="328" t="s">
        <v>617</v>
      </c>
      <c r="F235" s="236" t="s">
        <v>1060</v>
      </c>
      <c r="G235" s="224"/>
      <c r="H235" s="221"/>
      <c r="I235" s="32"/>
      <c r="J235" s="237">
        <v>45</v>
      </c>
      <c r="K235" s="329" t="s">
        <v>628</v>
      </c>
      <c r="L235" s="330">
        <f>L80-L81-L82-L83-L84-L85-L79</f>
        <v>0</v>
      </c>
      <c r="N235" s="245" t="s">
        <v>636</v>
      </c>
      <c r="P235" s="201"/>
      <c r="Q235" s="316"/>
      <c r="X235" s="284" t="e">
        <v>#N/A</v>
      </c>
      <c r="Y235" s="384"/>
      <c r="AA235" s="384">
        <f t="shared" si="20"/>
        <v>0</v>
      </c>
      <c r="AB235" s="284" t="e">
        <f t="shared" si="21"/>
        <v>#VALUE!</v>
      </c>
    </row>
    <row r="236" spans="1:28" ht="87.75" customHeight="1" x14ac:dyDescent="0.3">
      <c r="A236" s="325">
        <v>47</v>
      </c>
      <c r="B236" s="235"/>
      <c r="C236" s="236" t="s">
        <v>630</v>
      </c>
      <c r="D236" s="327" t="s">
        <v>618</v>
      </c>
      <c r="E236" s="328" t="s">
        <v>620</v>
      </c>
      <c r="F236" s="236" t="s">
        <v>1060</v>
      </c>
      <c r="G236" s="224"/>
      <c r="H236" s="221"/>
      <c r="I236" s="32"/>
      <c r="J236" s="237">
        <v>47</v>
      </c>
      <c r="K236" s="329" t="s">
        <v>629</v>
      </c>
      <c r="L236" s="330">
        <f>L94-L95-L92</f>
        <v>0</v>
      </c>
      <c r="N236" s="245" t="s">
        <v>637</v>
      </c>
      <c r="P236" s="201"/>
      <c r="Q236" s="316"/>
      <c r="X236" s="284" t="e">
        <v>#N/A</v>
      </c>
      <c r="Y236" s="384"/>
      <c r="AA236" s="384">
        <f t="shared" si="20"/>
        <v>0</v>
      </c>
      <c r="AB236" s="284" t="e">
        <f t="shared" si="21"/>
        <v>#VALUE!</v>
      </c>
    </row>
    <row r="237" spans="1:28" ht="152.25" customHeight="1" x14ac:dyDescent="0.3">
      <c r="A237" s="325">
        <v>48</v>
      </c>
      <c r="B237" s="235"/>
      <c r="C237" s="236" t="s">
        <v>631</v>
      </c>
      <c r="D237" s="327" t="s">
        <v>619</v>
      </c>
      <c r="E237" s="328" t="s">
        <v>621</v>
      </c>
      <c r="F237" s="236" t="s">
        <v>1060</v>
      </c>
      <c r="G237" s="224"/>
      <c r="H237" s="221"/>
      <c r="I237" s="32"/>
      <c r="J237" s="237">
        <v>48</v>
      </c>
      <c r="K237" s="329" t="s">
        <v>115</v>
      </c>
      <c r="L237" s="330">
        <f>L99-L100-L101-L102-L103-L104-L98</f>
        <v>0</v>
      </c>
      <c r="N237" s="245" t="s">
        <v>638</v>
      </c>
      <c r="P237" s="201"/>
      <c r="Q237" s="316"/>
      <c r="X237" s="284" t="e">
        <v>#N/A</v>
      </c>
      <c r="Y237" s="384"/>
      <c r="AA237" s="384">
        <f t="shared" si="20"/>
        <v>0</v>
      </c>
      <c r="AB237" s="284" t="e">
        <f t="shared" si="21"/>
        <v>#VALUE!</v>
      </c>
    </row>
    <row r="238" spans="1:28" ht="113.4" customHeight="1" x14ac:dyDescent="0.3">
      <c r="A238" s="332"/>
      <c r="B238" s="90"/>
      <c r="C238" s="333"/>
      <c r="D238" s="129"/>
      <c r="E238" s="137"/>
      <c r="F238" s="59"/>
      <c r="G238" s="131"/>
      <c r="H238" s="132"/>
      <c r="I238" s="32"/>
      <c r="J238" s="238">
        <v>998</v>
      </c>
      <c r="K238" s="239" t="s">
        <v>277</v>
      </c>
      <c r="L238" s="334" t="e">
        <f>VLOOKUP('Unit Data from Audit Worksheet'!D2,'Unit Names(H)'!$A$2:$C$95,3,FALSE)</f>
        <v>#N/A</v>
      </c>
      <c r="N238" s="245" t="s">
        <v>632</v>
      </c>
      <c r="P238" s="201"/>
      <c r="Q238" s="316"/>
      <c r="X238" s="284" t="e">
        <v>#N/A</v>
      </c>
      <c r="Y238" s="384"/>
      <c r="AA238" s="384">
        <f t="shared" si="20"/>
        <v>-998</v>
      </c>
      <c r="AB238" s="284" t="e">
        <f t="shared" si="21"/>
        <v>#N/A</v>
      </c>
    </row>
    <row r="239" spans="1:28" ht="119.4" customHeight="1" x14ac:dyDescent="0.3">
      <c r="A239" s="332"/>
      <c r="B239" s="90"/>
      <c r="C239" s="333"/>
      <c r="D239" s="335"/>
      <c r="E239" s="336"/>
      <c r="F239" s="337"/>
      <c r="G239" s="338"/>
      <c r="H239" s="339"/>
      <c r="I239" s="32"/>
      <c r="J239" s="240">
        <v>995</v>
      </c>
      <c r="K239" s="241" t="s">
        <v>275</v>
      </c>
      <c r="L239" s="725" t="e">
        <f>INDEX('PY1 Data(H)'!$A$1:$CZ$279,MATCH('PY1 Data(H)'!$A230,'PY1 Data(H)'!$A$1:$A$279,0),MATCH('Unit Data from Audit Worksheet'!$D$2,'PY1 Data(H)'!$A$1:$CZ$1,0))</f>
        <v>#N/A</v>
      </c>
      <c r="N239" s="245" t="s">
        <v>639</v>
      </c>
      <c r="P239" s="201"/>
      <c r="Q239" s="316"/>
      <c r="X239" s="284" t="e">
        <v>#N/A</v>
      </c>
      <c r="Y239" s="384"/>
      <c r="AA239" s="384">
        <f t="shared" si="20"/>
        <v>-995</v>
      </c>
      <c r="AB239" s="573" t="e">
        <f t="shared" si="21"/>
        <v>#N/A</v>
      </c>
    </row>
    <row r="240" spans="1:28" ht="104.4" customHeight="1" x14ac:dyDescent="0.3">
      <c r="A240" s="332"/>
      <c r="B240" s="90"/>
      <c r="C240" s="333"/>
      <c r="D240" s="335"/>
      <c r="E240" s="336"/>
      <c r="F240" s="337"/>
      <c r="G240" s="338"/>
      <c r="H240" s="339"/>
      <c r="I240" s="32"/>
      <c r="J240" s="240">
        <v>996</v>
      </c>
      <c r="K240" s="241" t="s">
        <v>276</v>
      </c>
      <c r="L240" s="725" t="e">
        <f>INDEX('PY1 Data(H)'!$A$1:$CZ$279,MATCH('PY1 Data(H)'!$A231,'PY1 Data(H)'!$A$1:$A$279,0),MATCH('Unit Data from Audit Worksheet'!$D$2,'PY1 Data(H)'!$A$1:$CZ$1,0))</f>
        <v>#N/A</v>
      </c>
      <c r="N240" s="245" t="s">
        <v>640</v>
      </c>
      <c r="P240" s="201"/>
      <c r="Q240" s="316"/>
      <c r="X240" s="284" t="e">
        <v>#N/A</v>
      </c>
      <c r="Y240" s="384"/>
      <c r="AA240" s="384">
        <f t="shared" si="20"/>
        <v>-996</v>
      </c>
      <c r="AB240" s="573" t="e">
        <f t="shared" si="21"/>
        <v>#N/A</v>
      </c>
    </row>
    <row r="241" spans="1:28" ht="43.2" x14ac:dyDescent="0.3">
      <c r="A241" s="332"/>
      <c r="B241" s="90"/>
      <c r="C241" s="333"/>
      <c r="D241" s="335"/>
      <c r="E241" s="336"/>
      <c r="F241" s="337"/>
      <c r="G241" s="338"/>
      <c r="H241" s="340"/>
      <c r="I241" s="32"/>
      <c r="J241" s="158">
        <v>554</v>
      </c>
      <c r="K241" s="341" t="s">
        <v>318</v>
      </c>
      <c r="L241" s="311"/>
      <c r="N241" s="342"/>
      <c r="P241" s="201"/>
      <c r="Q241" s="316"/>
      <c r="X241" s="284" t="e">
        <v>#N/A</v>
      </c>
      <c r="Y241" s="384"/>
      <c r="AA241" s="384">
        <f t="shared" si="20"/>
        <v>-554</v>
      </c>
      <c r="AB241" s="284">
        <f t="shared" si="21"/>
        <v>0</v>
      </c>
    </row>
    <row r="242" spans="1:28" ht="43.2" x14ac:dyDescent="0.3">
      <c r="A242" s="332"/>
      <c r="B242" s="90"/>
      <c r="C242" s="333"/>
      <c r="D242" s="335"/>
      <c r="E242" s="336"/>
      <c r="F242" s="337"/>
      <c r="G242" s="338"/>
      <c r="H242" s="340"/>
      <c r="I242" s="32"/>
      <c r="J242" s="158">
        <v>555</v>
      </c>
      <c r="K242" s="341" t="s">
        <v>319</v>
      </c>
      <c r="L242" s="311"/>
      <c r="N242" s="342"/>
      <c r="P242" s="201"/>
      <c r="Q242" s="316"/>
      <c r="X242" s="284" t="e">
        <v>#N/A</v>
      </c>
      <c r="Y242" s="384"/>
      <c r="AA242" s="384">
        <f t="shared" si="20"/>
        <v>-555</v>
      </c>
      <c r="AB242" s="284">
        <f t="shared" si="21"/>
        <v>0</v>
      </c>
    </row>
    <row r="243" spans="1:28" ht="43.2" x14ac:dyDescent="0.3">
      <c r="A243" s="332"/>
      <c r="B243" s="90"/>
      <c r="C243" s="333"/>
      <c r="D243" s="335"/>
      <c r="E243" s="336"/>
      <c r="F243" s="337"/>
      <c r="G243" s="338"/>
      <c r="H243" s="340"/>
      <c r="I243" s="32"/>
      <c r="J243" s="158">
        <v>556</v>
      </c>
      <c r="K243" s="341" t="s">
        <v>320</v>
      </c>
      <c r="L243" s="311"/>
      <c r="N243" s="342"/>
      <c r="P243" s="201"/>
      <c r="Q243" s="316"/>
      <c r="X243" s="284" t="e">
        <v>#N/A</v>
      </c>
      <c r="Y243" s="384"/>
      <c r="AA243" s="384">
        <f t="shared" si="20"/>
        <v>-556</v>
      </c>
      <c r="AB243" s="284">
        <f t="shared" si="21"/>
        <v>0</v>
      </c>
    </row>
    <row r="244" spans="1:28" ht="43.2" x14ac:dyDescent="0.3">
      <c r="A244" s="332"/>
      <c r="B244" s="90"/>
      <c r="C244" s="333"/>
      <c r="D244" s="335"/>
      <c r="E244" s="336"/>
      <c r="F244" s="337"/>
      <c r="G244" s="338"/>
      <c r="H244" s="340"/>
      <c r="I244" s="32"/>
      <c r="J244" s="158">
        <v>557</v>
      </c>
      <c r="K244" s="341" t="s">
        <v>321</v>
      </c>
      <c r="L244" s="311"/>
      <c r="N244" s="342"/>
      <c r="P244" s="202"/>
      <c r="X244" s="284" t="e">
        <v>#N/A</v>
      </c>
      <c r="Y244" s="384"/>
      <c r="AA244" s="384">
        <f t="shared" si="20"/>
        <v>-557</v>
      </c>
      <c r="AB244" s="284">
        <f t="shared" si="21"/>
        <v>0</v>
      </c>
    </row>
    <row r="245" spans="1:28" ht="43.2" x14ac:dyDescent="0.3">
      <c r="A245" s="332"/>
      <c r="B245" s="90"/>
      <c r="C245" s="333"/>
      <c r="D245" s="335"/>
      <c r="E245" s="336"/>
      <c r="F245" s="337"/>
      <c r="G245" s="338"/>
      <c r="H245" s="340"/>
      <c r="I245" s="32"/>
      <c r="J245" s="158">
        <v>606</v>
      </c>
      <c r="K245" s="341" t="s">
        <v>447</v>
      </c>
      <c r="L245" s="311"/>
      <c r="N245" s="342"/>
      <c r="P245" s="202"/>
      <c r="X245" s="284" t="e">
        <v>#N/A</v>
      </c>
      <c r="Y245" s="384"/>
      <c r="AA245" s="384">
        <f t="shared" si="20"/>
        <v>-606</v>
      </c>
      <c r="AB245" s="284">
        <f t="shared" si="21"/>
        <v>0</v>
      </c>
    </row>
    <row r="246" spans="1:28" s="18" customFormat="1" ht="22.5" customHeight="1" x14ac:dyDescent="0.3">
      <c r="A246" s="332"/>
      <c r="B246" s="90"/>
      <c r="C246" s="333"/>
      <c r="D246" s="129"/>
      <c r="E246" s="130"/>
      <c r="F246" s="59"/>
      <c r="G246" s="131"/>
      <c r="H246" s="132"/>
      <c r="I246" s="32"/>
      <c r="J246" s="133"/>
      <c r="K246" s="344"/>
      <c r="L246" s="345"/>
      <c r="M246"/>
      <c r="N246" s="244"/>
      <c r="P246" s="202"/>
      <c r="Q246" s="277"/>
      <c r="R246" s="3"/>
      <c r="S246" s="3"/>
      <c r="T246" s="3"/>
      <c r="U246" s="3"/>
      <c r="V246" s="3"/>
      <c r="W246" s="3"/>
      <c r="X246" s="284" t="e">
        <v>#N/A</v>
      </c>
      <c r="Y246" s="384"/>
      <c r="Z246" s="3"/>
      <c r="AA246" s="384">
        <f t="shared" si="20"/>
        <v>0</v>
      </c>
      <c r="AB246" s="284">
        <f t="shared" si="21"/>
        <v>0</v>
      </c>
    </row>
    <row r="247" spans="1:28" ht="99" customHeight="1" x14ac:dyDescent="0.3">
      <c r="A247" s="210">
        <f>'Unit Data from Audit Worksheet'!A269</f>
        <v>947</v>
      </c>
      <c r="B247" s="124"/>
      <c r="C247" s="209" t="str">
        <f>'Unit Data from Audit Worksheet'!D269</f>
        <v>First name of finance officer or interim finance officer (please enter “vacant” for first name if the position is currently vacant)</v>
      </c>
      <c r="D247" s="231"/>
      <c r="E247" s="172">
        <f>'Unit Data from Audit Worksheet'!F269</f>
        <v>0</v>
      </c>
      <c r="F247" s="222" t="str">
        <f>'Unit Data from Audit Worksheet'!G269</f>
        <v>Please do not leave blank</v>
      </c>
      <c r="G247" s="224"/>
      <c r="H247" s="221"/>
      <c r="I247" s="32"/>
      <c r="J247" s="161">
        <v>947</v>
      </c>
      <c r="K247" s="346" t="s">
        <v>406</v>
      </c>
      <c r="L247" s="347">
        <f t="shared" ref="L247:L258" si="24">IF(D247="",E247,D247)</f>
        <v>0</v>
      </c>
      <c r="N247" s="342"/>
      <c r="P247" s="202"/>
      <c r="Q247" s="78"/>
      <c r="X247" s="284">
        <v>947</v>
      </c>
      <c r="Y247" s="3">
        <v>947</v>
      </c>
      <c r="AA247" s="384">
        <f t="shared" si="20"/>
        <v>0</v>
      </c>
      <c r="AB247" s="284" t="b">
        <f>EXACT(E247,L247)</f>
        <v>1</v>
      </c>
    </row>
    <row r="248" spans="1:28" ht="128.25" customHeight="1" x14ac:dyDescent="0.3">
      <c r="A248" s="210">
        <f>'Unit Data from Audit Worksheet'!A270</f>
        <v>948</v>
      </c>
      <c r="B248" s="124"/>
      <c r="C248" s="209" t="str">
        <f>'Unit Data from Audit Worksheet'!D270</f>
        <v>Last name of finance officer or interim finance officer (please enter “vacant” for last name if the position is currently vacant)</v>
      </c>
      <c r="D248" s="231"/>
      <c r="E248" s="348">
        <f>'Unit Data from Audit Worksheet'!F270</f>
        <v>0</v>
      </c>
      <c r="F248" s="222" t="str">
        <f>'Unit Data from Audit Worksheet'!G270</f>
        <v>Please do not leave blank</v>
      </c>
      <c r="G248" s="224"/>
      <c r="H248" s="221"/>
      <c r="I248" s="32"/>
      <c r="J248" s="161">
        <v>948</v>
      </c>
      <c r="K248" s="346" t="s">
        <v>407</v>
      </c>
      <c r="L248" s="347">
        <f t="shared" si="24"/>
        <v>0</v>
      </c>
      <c r="N248" s="342"/>
      <c r="P248" s="202"/>
      <c r="X248" s="284">
        <v>948</v>
      </c>
      <c r="Y248" s="3">
        <v>948</v>
      </c>
      <c r="AA248" s="384">
        <f t="shared" si="20"/>
        <v>0</v>
      </c>
      <c r="AB248" s="284" t="b">
        <f t="shared" ref="AB248:AB260" si="25">EXACT(E248,L248)</f>
        <v>1</v>
      </c>
    </row>
    <row r="249" spans="1:28" ht="61.5" customHeight="1" x14ac:dyDescent="0.3">
      <c r="A249" s="210">
        <f>'Unit Data from Audit Worksheet'!A271</f>
        <v>949</v>
      </c>
      <c r="B249" s="124"/>
      <c r="C249" s="209" t="str">
        <f>'Unit Data from Audit Worksheet'!D271</f>
        <v>Is the finance officer serving in a permanent role or an interim role? (select permanent/interim/vacant)</v>
      </c>
      <c r="D249" s="231"/>
      <c r="E249" s="172">
        <f>'Unit Data from Audit Worksheet'!F271</f>
        <v>0</v>
      </c>
      <c r="F249" s="222" t="str">
        <f>'Unit Data from Audit Worksheet'!G271</f>
        <v>Please do not leave blank</v>
      </c>
      <c r="G249" s="224"/>
      <c r="H249" s="221"/>
      <c r="I249" s="32"/>
      <c r="J249" s="161">
        <v>949</v>
      </c>
      <c r="K249" s="346" t="s">
        <v>430</v>
      </c>
      <c r="L249" s="347">
        <f t="shared" si="24"/>
        <v>0</v>
      </c>
      <c r="N249" s="342"/>
      <c r="P249" s="202"/>
      <c r="X249" s="284">
        <v>949</v>
      </c>
      <c r="Y249" s="3">
        <v>949</v>
      </c>
      <c r="AA249" s="384">
        <f t="shared" si="20"/>
        <v>0</v>
      </c>
      <c r="AB249" s="284" t="b">
        <f t="shared" si="25"/>
        <v>1</v>
      </c>
    </row>
    <row r="250" spans="1:28" ht="93.75" customHeight="1" x14ac:dyDescent="0.3">
      <c r="A250" s="210">
        <f>'Unit Data from Audit Worksheet'!A272</f>
        <v>950</v>
      </c>
      <c r="B250" s="124"/>
      <c r="C250" s="209" t="str">
        <f>'Unit Data from Audit Worksheet'!D272</f>
        <v>Has the finance officer or interim finance officer been formally appointed by the local government, public authority, or designated official?  (Y/N)</v>
      </c>
      <c r="D250" s="231"/>
      <c r="E250" s="172">
        <f>'Unit Data from Audit Worksheet'!F272</f>
        <v>0</v>
      </c>
      <c r="F250" s="222" t="str">
        <f>'Unit Data from Audit Worksheet'!G272</f>
        <v>Please do not leave blank</v>
      </c>
      <c r="G250" s="224"/>
      <c r="H250" s="221"/>
      <c r="I250" s="32"/>
      <c r="J250" s="161">
        <v>950</v>
      </c>
      <c r="K250" s="346" t="s">
        <v>431</v>
      </c>
      <c r="L250" s="347">
        <f t="shared" si="24"/>
        <v>0</v>
      </c>
      <c r="N250" s="342"/>
      <c r="P250" s="202"/>
      <c r="X250" s="284">
        <v>950</v>
      </c>
      <c r="Y250" s="3">
        <v>950</v>
      </c>
      <c r="AA250" s="384">
        <f t="shared" si="20"/>
        <v>0</v>
      </c>
      <c r="AB250" s="284" t="b">
        <f t="shared" si="25"/>
        <v>1</v>
      </c>
    </row>
    <row r="251" spans="1:28" ht="153.75" customHeight="1" x14ac:dyDescent="0.3">
      <c r="A251" s="210">
        <f>'Unit Data from Audit Worksheet'!A273</f>
        <v>952</v>
      </c>
      <c r="B251" s="124"/>
      <c r="C251" s="209" t="str">
        <f>'Unit Data from Audit Worksheet'!D273</f>
        <v>Date on which the local government, public authority, or designated official appointed the finance officer?      Date Format  MM/DD/YYYY</v>
      </c>
      <c r="D251" s="231"/>
      <c r="E251" s="648" t="str">
        <f>IF('Unit Data from Audit Worksheet'!F273&gt;0,'Unit Data from Audit Worksheet'!F273," ")</f>
        <v xml:space="preserve"> </v>
      </c>
      <c r="F251" s="222" t="str">
        <f>'Unit Data from Audit Worksheet'!G273</f>
        <v>Leave blank if data not available</v>
      </c>
      <c r="G251" s="224"/>
      <c r="H251" s="221"/>
      <c r="I251" s="32"/>
      <c r="J251" s="161">
        <v>952</v>
      </c>
      <c r="K251" s="346" t="s">
        <v>432</v>
      </c>
      <c r="L251" s="349" t="str">
        <f t="shared" si="24"/>
        <v xml:space="preserve"> </v>
      </c>
      <c r="N251" s="342"/>
      <c r="P251" s="202"/>
      <c r="X251" s="284">
        <v>952</v>
      </c>
      <c r="Y251" s="3">
        <v>952</v>
      </c>
      <c r="AA251" s="384">
        <f t="shared" si="20"/>
        <v>0</v>
      </c>
      <c r="AB251" s="284" t="b">
        <f t="shared" si="25"/>
        <v>1</v>
      </c>
    </row>
    <row r="252" spans="1:28" ht="30.75" customHeight="1" x14ac:dyDescent="0.3">
      <c r="A252" s="350">
        <f>'Unit Data from Audit Worksheet'!A281</f>
        <v>960</v>
      </c>
      <c r="B252" s="168"/>
      <c r="C252" s="169" t="str">
        <f>'Unit Data from Audit Worksheet'!B281</f>
        <v>Name of Finance Officer</v>
      </c>
      <c r="D252" s="231"/>
      <c r="E252" s="351">
        <f>'Unit Data from Audit Worksheet'!D281</f>
        <v>0</v>
      </c>
      <c r="F252" s="352" t="str">
        <f>'Unit Data from Audit Worksheet'!F281</f>
        <v>Required</v>
      </c>
      <c r="G252" s="224"/>
      <c r="H252" s="221"/>
      <c r="I252" s="32"/>
      <c r="J252" s="171">
        <v>960</v>
      </c>
      <c r="K252" s="353" t="s">
        <v>426</v>
      </c>
      <c r="L252" s="354">
        <f t="shared" si="24"/>
        <v>0</v>
      </c>
      <c r="N252" s="309"/>
      <c r="P252" s="202"/>
      <c r="X252" s="284">
        <v>960</v>
      </c>
      <c r="Y252" s="3">
        <v>960</v>
      </c>
      <c r="AA252" s="384">
        <f t="shared" si="20"/>
        <v>0</v>
      </c>
      <c r="AB252" s="284" t="b">
        <f t="shared" si="25"/>
        <v>1</v>
      </c>
    </row>
    <row r="253" spans="1:28" ht="30.75" customHeight="1" x14ac:dyDescent="0.3">
      <c r="A253" s="350">
        <f>'Unit Data from Audit Worksheet'!A282</f>
        <v>962</v>
      </c>
      <c r="B253" s="168"/>
      <c r="C253" s="169" t="str">
        <f>'Unit Data from Audit Worksheet'!B282</f>
        <v>Title of Official</v>
      </c>
      <c r="D253" s="231"/>
      <c r="E253" s="351">
        <f>'Unit Data from Audit Worksheet'!D282</f>
        <v>0</v>
      </c>
      <c r="F253" s="352" t="str">
        <f>'Unit Data from Audit Worksheet'!F282</f>
        <v>Required</v>
      </c>
      <c r="G253" s="224"/>
      <c r="H253" s="221"/>
      <c r="I253" s="32"/>
      <c r="J253" s="171">
        <v>962</v>
      </c>
      <c r="K253" s="353" t="s">
        <v>402</v>
      </c>
      <c r="L253" s="354">
        <f t="shared" si="24"/>
        <v>0</v>
      </c>
      <c r="N253" s="309"/>
      <c r="P253" s="202"/>
      <c r="X253" s="284">
        <v>962</v>
      </c>
      <c r="Y253" s="3">
        <v>962</v>
      </c>
      <c r="AA253" s="384">
        <f t="shared" si="20"/>
        <v>0</v>
      </c>
      <c r="AB253" s="284" t="b">
        <f t="shared" si="25"/>
        <v>1</v>
      </c>
    </row>
    <row r="254" spans="1:28" ht="30.75" customHeight="1" x14ac:dyDescent="0.3">
      <c r="A254" s="350">
        <f>'Unit Data from Audit Worksheet'!A283</f>
        <v>964</v>
      </c>
      <c r="B254" s="168"/>
      <c r="C254" s="170" t="str">
        <f>'Unit Data from Audit Worksheet'!B283</f>
        <v>Date                        (Enter as "MM/DD/YYYY")</v>
      </c>
      <c r="D254" s="231"/>
      <c r="E254" s="355">
        <f>'Unit Data from Audit Worksheet'!D283</f>
        <v>0</v>
      </c>
      <c r="F254" s="352" t="str">
        <f>'Unit Data from Audit Worksheet'!F283</f>
        <v>Required</v>
      </c>
      <c r="G254" s="576"/>
      <c r="H254" s="221"/>
      <c r="I254" s="32"/>
      <c r="J254" s="171">
        <v>964</v>
      </c>
      <c r="K254" s="353" t="s">
        <v>457</v>
      </c>
      <c r="L254" s="356">
        <f t="shared" si="24"/>
        <v>0</v>
      </c>
      <c r="N254" s="309"/>
      <c r="P254" s="202"/>
      <c r="X254" s="284">
        <v>964</v>
      </c>
      <c r="Y254" s="3">
        <v>964</v>
      </c>
      <c r="AA254" s="384">
        <f t="shared" si="20"/>
        <v>0</v>
      </c>
      <c r="AB254" s="284" t="b">
        <f t="shared" si="25"/>
        <v>1</v>
      </c>
    </row>
    <row r="255" spans="1:28" ht="30.75" customHeight="1" x14ac:dyDescent="0.3">
      <c r="A255" s="350">
        <f>'Unit Data from Audit Worksheet'!A284</f>
        <v>966</v>
      </c>
      <c r="B255" s="168"/>
      <c r="C255" s="169" t="s">
        <v>1062</v>
      </c>
      <c r="D255" s="231"/>
      <c r="E255" s="575" t="str">
        <f>_xlfn.TEXTJOIN(",",,TEXT('Unit Data from Audit Worksheet'!D284,"###-###-####")," "&amp;'Unit Data from Audit Worksheet'!D285)</f>
        <v xml:space="preserve">--, </v>
      </c>
      <c r="F255" s="352" t="str">
        <f>'Unit Data from Audit Worksheet'!F284</f>
        <v>Required</v>
      </c>
      <c r="G255" s="224"/>
      <c r="H255" s="221"/>
      <c r="I255" s="32"/>
      <c r="J255" s="171">
        <v>966</v>
      </c>
      <c r="K255" s="353" t="s">
        <v>404</v>
      </c>
      <c r="L255" s="354" t="str">
        <f t="shared" si="24"/>
        <v xml:space="preserve">--, </v>
      </c>
      <c r="N255" s="309"/>
      <c r="P255" s="202"/>
      <c r="X255" s="284">
        <v>966</v>
      </c>
      <c r="Y255" s="3">
        <v>966</v>
      </c>
      <c r="AA255" s="384">
        <f t="shared" si="20"/>
        <v>0</v>
      </c>
      <c r="AB255" s="284" t="b">
        <f t="shared" si="25"/>
        <v>1</v>
      </c>
    </row>
    <row r="256" spans="1:28" ht="30.75" customHeight="1" x14ac:dyDescent="0.3">
      <c r="A256" s="350">
        <f>'Unit Data from Audit Worksheet'!A286</f>
        <v>968</v>
      </c>
      <c r="B256" s="168"/>
      <c r="C256" s="169" t="str">
        <f>'Unit Data from Audit Worksheet'!B286</f>
        <v>E-mail address</v>
      </c>
      <c r="D256" s="231"/>
      <c r="E256" s="351">
        <f>'Unit Data from Audit Worksheet'!D286</f>
        <v>0</v>
      </c>
      <c r="F256" s="352" t="str">
        <f>'Unit Data from Audit Worksheet'!F286</f>
        <v>Required</v>
      </c>
      <c r="G256" s="224"/>
      <c r="H256" s="221"/>
      <c r="I256" s="32"/>
      <c r="J256" s="171">
        <v>968</v>
      </c>
      <c r="K256" s="353" t="s">
        <v>405</v>
      </c>
      <c r="L256" s="354">
        <f t="shared" si="24"/>
        <v>0</v>
      </c>
      <c r="N256" s="309"/>
      <c r="P256" s="202"/>
      <c r="X256" s="284">
        <v>968</v>
      </c>
      <c r="Y256" s="3">
        <v>968</v>
      </c>
      <c r="AA256" s="384">
        <f t="shared" si="20"/>
        <v>0</v>
      </c>
      <c r="AB256" s="284" t="b">
        <f t="shared" si="25"/>
        <v>1</v>
      </c>
    </row>
    <row r="257" spans="1:28" ht="111" customHeight="1" x14ac:dyDescent="0.3">
      <c r="A257" s="357">
        <v>980</v>
      </c>
      <c r="B257" s="235" t="s">
        <v>590</v>
      </c>
      <c r="C257" s="246" t="str">
        <f>'TD Info Completed by Auditor'!B32</f>
        <v>Date the auditor presented or plans to present Financial Performance Indicators of Concern (FPIC) to the Governing Board.  If there are no FPICs to present to the governing board,  enter "7/1/2024" to indicate that an FPIC response is not required.</v>
      </c>
      <c r="D257" s="231"/>
      <c r="E257" s="628" t="str">
        <f>IF('TD Info Completed by Auditor'!C32&gt;0,'TD Info Completed by Auditor'!C32," ")</f>
        <v xml:space="preserve"> </v>
      </c>
      <c r="F257" s="358" t="s">
        <v>643</v>
      </c>
      <c r="G257" s="224"/>
      <c r="H257" s="221"/>
      <c r="I257" s="32"/>
      <c r="J257" s="247">
        <v>980</v>
      </c>
      <c r="K257" s="248" t="s">
        <v>583</v>
      </c>
      <c r="L257" s="359" t="str">
        <f t="shared" si="24"/>
        <v xml:space="preserve"> </v>
      </c>
      <c r="N257" s="387" t="s">
        <v>644</v>
      </c>
      <c r="P257" s="202"/>
      <c r="X257" s="284" t="e">
        <v>#N/A</v>
      </c>
      <c r="AA257" s="384">
        <f t="shared" si="20"/>
        <v>0</v>
      </c>
      <c r="AB257" s="284" t="b">
        <f t="shared" si="25"/>
        <v>1</v>
      </c>
    </row>
    <row r="258" spans="1:28" s="384" customFormat="1" ht="135.6" customHeight="1" x14ac:dyDescent="0.3">
      <c r="A258" s="210">
        <f>'Unit Data from Audit Worksheet'!A77</f>
        <v>590</v>
      </c>
      <c r="B258" s="210" t="str">
        <f>'Unit Data from Audit Worksheet'!B77</f>
        <v>Fiscal Review, UAL Determination, Financial Performance Indicator</v>
      </c>
      <c r="C258" s="74" t="str">
        <f>'Unit Data from Audit Worksheet'!D77</f>
        <v>If you appropriated General Fund Balance in your 2024 budget and your "change in fund balance": (account # 23 above) is negative, please select from the drop down box in column F either "operations" or "capital", whichever best describes what the fund balance was used for.  Briefly describe in column G to the right what the fund balance was used for.</v>
      </c>
      <c r="D258" s="231"/>
      <c r="E258" s="656" t="str">
        <f>CONCATENATE('Unit Data from Audit Worksheet'!F77," - ",'Unit Data from Audit Worksheet'!G77)</f>
        <v xml:space="preserve"> - </v>
      </c>
      <c r="F258" s="652"/>
      <c r="G258" s="224"/>
      <c r="H258" s="221"/>
      <c r="I258" s="32"/>
      <c r="J258" s="247">
        <v>590</v>
      </c>
      <c r="K258" s="248" t="s">
        <v>1476</v>
      </c>
      <c r="L258" s="657" t="str">
        <f t="shared" si="24"/>
        <v xml:space="preserve"> - </v>
      </c>
      <c r="M258"/>
      <c r="N258" s="387"/>
      <c r="P258" s="202"/>
      <c r="Q258" s="277"/>
      <c r="X258" s="284"/>
      <c r="AB258" s="284"/>
    </row>
    <row r="259" spans="1:28" s="384" customFormat="1" ht="135.6" customHeight="1" x14ac:dyDescent="0.3">
      <c r="A259" s="302">
        <f>'TD Info Completed by Auditor'!A31</f>
        <v>1079</v>
      </c>
      <c r="B259" s="302"/>
      <c r="C259" s="992" t="str">
        <f>'TD Info Completed by Auditor'!B31</f>
        <v>What date was the audit report submitted to the LGC?  (Note audit reports are due four months after fiscal year end regardless of the contract submission date.)  Enter as "MM/DD/YYYY"</v>
      </c>
      <c r="D259" s="231"/>
      <c r="E259" s="995">
        <f>'TD Info Completed by Auditor'!C31</f>
        <v>0</v>
      </c>
      <c r="F259" s="652"/>
      <c r="G259" s="224"/>
      <c r="H259" s="221"/>
      <c r="I259" s="32"/>
      <c r="J259" s="247">
        <v>1079</v>
      </c>
      <c r="K259" s="248" t="s">
        <v>1937</v>
      </c>
      <c r="L259" s="993">
        <f>E259</f>
        <v>0</v>
      </c>
      <c r="M259" s="180"/>
      <c r="N259" s="387"/>
      <c r="P259" s="202"/>
      <c r="Q259" s="277"/>
      <c r="X259" s="284"/>
      <c r="AB259" s="284"/>
    </row>
    <row r="260" spans="1:28" ht="83.4" customHeight="1" x14ac:dyDescent="0.3">
      <c r="A260" s="332"/>
      <c r="B260" s="90"/>
      <c r="C260" s="333"/>
      <c r="D260" s="335"/>
      <c r="E260" s="336"/>
      <c r="F260" s="337"/>
      <c r="G260" s="338"/>
      <c r="H260" s="339"/>
      <c r="I260" s="32"/>
      <c r="J260" s="161">
        <v>999</v>
      </c>
      <c r="K260" s="346" t="s">
        <v>278</v>
      </c>
      <c r="L260" s="360" t="e">
        <f>'Unit Data from Audit Worksheet'!D3</f>
        <v>#N/A</v>
      </c>
      <c r="N260" s="361" t="s">
        <v>642</v>
      </c>
      <c r="O260" s="361" t="s">
        <v>641</v>
      </c>
      <c r="P260" s="202"/>
      <c r="X260" s="284" t="e">
        <v>#N/A</v>
      </c>
      <c r="AA260" s="384">
        <f t="shared" si="20"/>
        <v>-999</v>
      </c>
      <c r="AB260" s="284" t="e">
        <f t="shared" si="25"/>
        <v>#N/A</v>
      </c>
    </row>
    <row r="261" spans="1:28" x14ac:dyDescent="0.3">
      <c r="A261" s="186"/>
      <c r="B261" s="186"/>
      <c r="C261" s="186"/>
      <c r="D261" s="186"/>
      <c r="E261" s="186"/>
      <c r="F261" s="186"/>
      <c r="G261" s="186"/>
      <c r="H261" s="186"/>
      <c r="I261" s="186"/>
      <c r="J261" s="3"/>
      <c r="K261" s="3"/>
      <c r="L261" s="3"/>
      <c r="N261" s="4"/>
      <c r="P261" s="202"/>
      <c r="AA261" s="384"/>
    </row>
    <row r="262" spans="1:28" s="384" customFormat="1" x14ac:dyDescent="0.3">
      <c r="A262" s="186"/>
      <c r="B262" s="186"/>
      <c r="C262" s="186"/>
      <c r="D262" s="186"/>
      <c r="E262" s="186"/>
      <c r="F262" s="186"/>
      <c r="G262" s="186"/>
      <c r="H262" s="186"/>
      <c r="I262" s="186"/>
      <c r="M262"/>
      <c r="N262" s="4"/>
      <c r="P262" s="202"/>
      <c r="Q262" s="277"/>
    </row>
    <row r="263" spans="1:28" x14ac:dyDescent="0.3">
      <c r="C263" s="639"/>
      <c r="D263" s="363"/>
      <c r="E263" s="364"/>
      <c r="F263" s="364"/>
      <c r="G263" s="365"/>
      <c r="H263" s="364"/>
      <c r="I263" s="366"/>
      <c r="K263" s="718" t="s">
        <v>1477</v>
      </c>
      <c r="L263" s="720" t="e">
        <f>SUM(L4:L245)</f>
        <v>#N/A</v>
      </c>
      <c r="N263" s="4"/>
      <c r="P263" s="202"/>
      <c r="AA263" s="384"/>
    </row>
    <row r="264" spans="1:28" ht="19.2" customHeight="1" x14ac:dyDescent="0.3">
      <c r="A264"/>
      <c r="B264"/>
      <c r="C264"/>
      <c r="D264"/>
      <c r="E264"/>
      <c r="F264"/>
      <c r="G264" s="365"/>
      <c r="H264" s="364"/>
      <c r="I264" s="366"/>
      <c r="K264" s="719" t="s">
        <v>1461</v>
      </c>
      <c r="L264" s="720"/>
      <c r="N264" s="4"/>
      <c r="P264" s="202"/>
      <c r="AA264" s="384"/>
    </row>
    <row r="265" spans="1:28" ht="21.6" customHeight="1" x14ac:dyDescent="0.7">
      <c r="B265" s="3"/>
      <c r="C265" s="3"/>
      <c r="D265" s="73"/>
      <c r="E265" s="96"/>
      <c r="F265" s="73"/>
      <c r="G265" s="365"/>
      <c r="H265" s="364"/>
      <c r="I265" s="366"/>
      <c r="J265" s="148"/>
      <c r="K265" s="147"/>
      <c r="L265" s="720" t="e">
        <f>L263-L264</f>
        <v>#N/A</v>
      </c>
      <c r="N265" s="4"/>
      <c r="P265" s="202"/>
      <c r="Y265" s="384">
        <v>590</v>
      </c>
      <c r="AA265" s="384"/>
    </row>
    <row r="266" spans="1:28" ht="25.2" customHeight="1" x14ac:dyDescent="0.3">
      <c r="A266" s="186"/>
      <c r="B266" s="186"/>
      <c r="C266" s="186"/>
      <c r="D266" s="186"/>
      <c r="E266" s="186"/>
      <c r="F266" s="364"/>
      <c r="G266" s="365"/>
      <c r="H266" s="364"/>
      <c r="I266" s="366"/>
      <c r="K266" s="10"/>
      <c r="L266" s="367"/>
      <c r="P266" s="202"/>
      <c r="X266" s="284">
        <f>SUM(X5:X211)</f>
        <v>83710</v>
      </c>
      <c r="Y266" s="3">
        <v>96734</v>
      </c>
      <c r="AA266" s="384"/>
    </row>
    <row r="267" spans="1:28" x14ac:dyDescent="0.3">
      <c r="A267" s="186"/>
      <c r="B267" s="186"/>
      <c r="C267" s="186"/>
      <c r="D267" s="186"/>
      <c r="E267" s="186"/>
      <c r="F267" s="364"/>
      <c r="G267" s="365"/>
      <c r="H267" s="364"/>
      <c r="I267" s="366"/>
      <c r="K267" s="10"/>
      <c r="P267" s="202"/>
      <c r="X267" s="284">
        <f>SUM(X247:X256)</f>
        <v>9566</v>
      </c>
      <c r="AA267" s="384"/>
    </row>
    <row r="268" spans="1:28" ht="18.75" customHeight="1" x14ac:dyDescent="0.3">
      <c r="A268" s="186"/>
      <c r="B268" s="186"/>
      <c r="C268" s="186"/>
      <c r="D268" s="186"/>
      <c r="E268" s="186"/>
      <c r="F268" s="364"/>
      <c r="G268" s="365"/>
      <c r="H268" s="364"/>
      <c r="I268" s="366"/>
      <c r="K268" s="10"/>
      <c r="L268"/>
      <c r="P268" s="202"/>
      <c r="Y268" s="3" t="s">
        <v>874</v>
      </c>
      <c r="AA268" s="384"/>
    </row>
    <row r="269" spans="1:28" ht="30.75" customHeight="1" x14ac:dyDescent="0.3">
      <c r="A269" s="186"/>
      <c r="B269" s="186"/>
      <c r="C269" s="186"/>
      <c r="D269" s="186"/>
      <c r="E269" s="186"/>
      <c r="F269" s="364"/>
      <c r="G269" s="365"/>
      <c r="H269" s="364"/>
      <c r="I269" s="366"/>
      <c r="K269" s="10"/>
      <c r="L269" s="367"/>
      <c r="P269" s="202"/>
      <c r="X269" s="284">
        <f>SUM(X266:X268)</f>
        <v>93276</v>
      </c>
      <c r="Y269" s="3">
        <f>Y266</f>
        <v>96734</v>
      </c>
      <c r="Z269" s="284">
        <f>X269-Y269</f>
        <v>-3458</v>
      </c>
      <c r="AA269" s="384"/>
    </row>
    <row r="270" spans="1:28" ht="30.75" customHeight="1" x14ac:dyDescent="0.3">
      <c r="A270" s="186"/>
      <c r="B270" s="186"/>
      <c r="C270" s="186"/>
      <c r="D270" s="186"/>
      <c r="E270" s="186"/>
      <c r="F270" s="364"/>
      <c r="G270" s="365"/>
      <c r="H270" s="364"/>
      <c r="I270" s="366"/>
      <c r="K270" s="10"/>
      <c r="L270" s="367"/>
      <c r="P270" s="202"/>
      <c r="AA270" s="384"/>
    </row>
    <row r="271" spans="1:28" ht="30.75" customHeight="1" x14ac:dyDescent="0.3">
      <c r="A271" s="186"/>
      <c r="B271" s="186"/>
      <c r="C271" s="186"/>
      <c r="D271" s="186"/>
      <c r="E271" s="186"/>
      <c r="F271" s="364"/>
      <c r="G271" s="365"/>
      <c r="H271" s="364"/>
      <c r="I271" s="366"/>
      <c r="K271" s="10"/>
      <c r="L271" s="367"/>
      <c r="P271" s="202"/>
      <c r="AA271" s="384"/>
    </row>
    <row r="272" spans="1:28" ht="30.75" customHeight="1" x14ac:dyDescent="0.3">
      <c r="A272" s="186"/>
      <c r="B272" s="186"/>
      <c r="C272" s="186"/>
      <c r="D272" s="186"/>
      <c r="E272" s="186"/>
      <c r="F272" s="364"/>
      <c r="G272" s="365"/>
      <c r="H272" s="364"/>
      <c r="I272" s="366"/>
      <c r="K272" s="10"/>
      <c r="L272" s="367"/>
      <c r="P272" s="202"/>
      <c r="AA272" s="384"/>
    </row>
    <row r="273" spans="1:27" ht="30.75" customHeight="1" x14ac:dyDescent="0.3">
      <c r="A273" s="186"/>
      <c r="B273" s="186"/>
      <c r="C273" s="186"/>
      <c r="D273" s="186"/>
      <c r="E273" s="186"/>
      <c r="F273" s="364"/>
      <c r="G273" s="365"/>
      <c r="H273" s="364"/>
      <c r="I273" s="366"/>
      <c r="K273" s="10"/>
      <c r="L273" s="367"/>
      <c r="P273" s="202"/>
      <c r="AA273" s="384"/>
    </row>
    <row r="274" spans="1:27" x14ac:dyDescent="0.3">
      <c r="A274" s="186"/>
      <c r="B274" s="186"/>
      <c r="C274" s="186"/>
      <c r="D274" s="186"/>
      <c r="E274" s="186"/>
      <c r="I274" s="366"/>
      <c r="K274" s="10"/>
      <c r="L274" s="367"/>
      <c r="P274" s="202"/>
      <c r="AA274" s="384"/>
    </row>
    <row r="275" spans="1:27" x14ac:dyDescent="0.3">
      <c r="A275" s="186"/>
      <c r="B275" s="186"/>
      <c r="C275" s="186"/>
      <c r="D275" s="186"/>
      <c r="E275" s="186"/>
      <c r="I275" s="366"/>
      <c r="L275" s="367"/>
      <c r="P275" s="202"/>
      <c r="AA275" s="384"/>
    </row>
    <row r="276" spans="1:27" x14ac:dyDescent="0.3">
      <c r="A276" s="5"/>
      <c r="B276" s="368"/>
      <c r="C276" s="23"/>
      <c r="D276" s="72"/>
      <c r="I276" s="366"/>
      <c r="L276" s="367"/>
      <c r="P276" s="202"/>
      <c r="AA276" s="384"/>
    </row>
    <row r="277" spans="1:27" x14ac:dyDescent="0.3">
      <c r="A277" s="5"/>
      <c r="B277" s="368"/>
      <c r="C277" s="23"/>
      <c r="D277" s="72"/>
      <c r="L277" s="367"/>
      <c r="P277" s="202"/>
      <c r="AA277" s="384"/>
    </row>
    <row r="278" spans="1:27" x14ac:dyDescent="0.3">
      <c r="D278" s="72"/>
      <c r="P278" s="202"/>
      <c r="AA278" s="384"/>
    </row>
    <row r="279" spans="1:27" x14ac:dyDescent="0.3">
      <c r="D279" s="72"/>
      <c r="P279" s="202"/>
      <c r="AA279" s="384"/>
    </row>
    <row r="280" spans="1:27" x14ac:dyDescent="0.3">
      <c r="D280" s="72"/>
      <c r="P280" s="202"/>
      <c r="AA280" s="384"/>
    </row>
    <row r="281" spans="1:27" x14ac:dyDescent="0.3">
      <c r="D281" s="72"/>
      <c r="P281" s="202"/>
      <c r="AA281" s="384"/>
    </row>
    <row r="282" spans="1:27" x14ac:dyDescent="0.3">
      <c r="A282" s="5"/>
      <c r="B282" s="368"/>
      <c r="C282" s="23"/>
      <c r="D282" s="72"/>
      <c r="P282" s="202"/>
      <c r="AA282" s="384"/>
    </row>
    <row r="283" spans="1:27" x14ac:dyDescent="0.3">
      <c r="A283" s="5"/>
      <c r="B283" s="368"/>
      <c r="C283" s="23"/>
      <c r="D283" s="72"/>
      <c r="P283" s="202"/>
      <c r="AA283" s="384"/>
    </row>
    <row r="284" spans="1:27" x14ac:dyDescent="0.3">
      <c r="D284" s="72"/>
      <c r="P284" s="202"/>
      <c r="AA284" s="384"/>
    </row>
    <row r="285" spans="1:27" x14ac:dyDescent="0.3">
      <c r="D285" s="72"/>
      <c r="P285" s="202"/>
      <c r="AA285" s="384"/>
    </row>
    <row r="286" spans="1:27" x14ac:dyDescent="0.3">
      <c r="D286" s="72"/>
      <c r="P286" s="202"/>
      <c r="AA286" s="384"/>
    </row>
    <row r="287" spans="1:27" x14ac:dyDescent="0.3">
      <c r="D287" s="72"/>
      <c r="P287" s="202"/>
      <c r="AA287" s="384"/>
    </row>
    <row r="288" spans="1:27" x14ac:dyDescent="0.3">
      <c r="A288" s="5"/>
      <c r="B288" s="368"/>
      <c r="C288" s="23"/>
      <c r="D288" s="72"/>
      <c r="P288" s="202"/>
      <c r="AA288" s="384"/>
    </row>
    <row r="289" spans="1:27" x14ac:dyDescent="0.3">
      <c r="A289" s="5"/>
      <c r="B289" s="368"/>
      <c r="C289" s="23"/>
      <c r="D289" s="72"/>
      <c r="P289" s="202"/>
      <c r="AA289" s="384"/>
    </row>
    <row r="290" spans="1:27" x14ac:dyDescent="0.3">
      <c r="D290" s="72"/>
      <c r="P290" s="202"/>
      <c r="AA290" s="384"/>
    </row>
    <row r="291" spans="1:27" x14ac:dyDescent="0.3">
      <c r="D291" s="72"/>
      <c r="P291" s="202"/>
      <c r="AA291" s="384"/>
    </row>
    <row r="292" spans="1:27" x14ac:dyDescent="0.3">
      <c r="D292" s="72"/>
      <c r="P292" s="202"/>
      <c r="AA292" s="384"/>
    </row>
    <row r="293" spans="1:27" x14ac:dyDescent="0.3">
      <c r="D293" s="72"/>
      <c r="P293" s="202"/>
      <c r="AA293" s="384"/>
    </row>
    <row r="294" spans="1:27" x14ac:dyDescent="0.3">
      <c r="A294" s="5"/>
      <c r="B294" s="368"/>
      <c r="C294" s="23"/>
      <c r="D294" s="72"/>
      <c r="P294" s="202"/>
      <c r="AA294" s="384"/>
    </row>
    <row r="295" spans="1:27" x14ac:dyDescent="0.3">
      <c r="A295" s="5"/>
      <c r="B295" s="368"/>
      <c r="C295" s="23"/>
      <c r="D295" s="72"/>
      <c r="P295" s="202"/>
      <c r="AA295" s="384"/>
    </row>
    <row r="296" spans="1:27" x14ac:dyDescent="0.3">
      <c r="A296" s="5"/>
      <c r="B296" s="368"/>
      <c r="C296" s="23"/>
      <c r="D296" s="72"/>
      <c r="P296" s="202"/>
      <c r="AA296" s="384"/>
    </row>
    <row r="297" spans="1:27" x14ac:dyDescent="0.3">
      <c r="A297" s="5"/>
      <c r="B297" s="368"/>
      <c r="C297" s="23"/>
      <c r="D297" s="72"/>
      <c r="P297" s="202"/>
      <c r="AA297" s="384"/>
    </row>
    <row r="298" spans="1:27" x14ac:dyDescent="0.3">
      <c r="D298" s="72"/>
      <c r="P298" s="202"/>
      <c r="AA298" s="384"/>
    </row>
    <row r="299" spans="1:27" x14ac:dyDescent="0.3">
      <c r="D299" s="72"/>
      <c r="P299" s="202"/>
      <c r="AA299" s="384"/>
    </row>
    <row r="300" spans="1:27" x14ac:dyDescent="0.3">
      <c r="D300" s="72"/>
      <c r="P300" s="202"/>
      <c r="AA300" s="384"/>
    </row>
    <row r="301" spans="1:27" x14ac:dyDescent="0.3">
      <c r="A301" s="5"/>
      <c r="B301" s="368"/>
      <c r="C301" s="23"/>
      <c r="D301" s="72"/>
      <c r="P301" s="202"/>
      <c r="AA301" s="384"/>
    </row>
    <row r="302" spans="1:27" x14ac:dyDescent="0.3">
      <c r="A302" s="5"/>
      <c r="B302" s="368"/>
      <c r="C302" s="23"/>
      <c r="D302" s="72"/>
      <c r="P302" s="202"/>
      <c r="AA302" s="384"/>
    </row>
    <row r="303" spans="1:27" x14ac:dyDescent="0.3">
      <c r="A303" s="5"/>
      <c r="B303" s="368"/>
      <c r="C303" s="23"/>
      <c r="D303" s="72"/>
      <c r="P303" s="202"/>
      <c r="AA303" s="384"/>
    </row>
    <row r="304" spans="1:27" x14ac:dyDescent="0.3">
      <c r="A304" s="5"/>
      <c r="B304" s="368"/>
      <c r="C304" s="23"/>
      <c r="D304" s="72"/>
      <c r="P304" s="202"/>
      <c r="AA304" s="384"/>
    </row>
    <row r="305" spans="1:27" x14ac:dyDescent="0.3">
      <c r="A305" s="5"/>
      <c r="B305" s="368"/>
      <c r="C305" s="23"/>
      <c r="D305" s="72"/>
      <c r="P305" s="202"/>
      <c r="AA305" s="384"/>
    </row>
    <row r="306" spans="1:27" x14ac:dyDescent="0.3">
      <c r="A306" s="5"/>
      <c r="B306" s="368"/>
      <c r="C306" s="23"/>
      <c r="D306" s="72"/>
      <c r="P306" s="202"/>
      <c r="AA306" s="384"/>
    </row>
    <row r="307" spans="1:27" x14ac:dyDescent="0.3">
      <c r="A307" s="5"/>
      <c r="B307" s="368"/>
      <c r="C307" s="23"/>
      <c r="D307" s="72"/>
      <c r="P307" s="202"/>
      <c r="AA307" s="384"/>
    </row>
    <row r="308" spans="1:27" x14ac:dyDescent="0.3">
      <c r="A308" s="5"/>
      <c r="B308" s="368"/>
      <c r="C308" s="23"/>
      <c r="D308" s="72"/>
      <c r="P308" s="202"/>
      <c r="AA308" s="384"/>
    </row>
    <row r="309" spans="1:27" x14ac:dyDescent="0.3">
      <c r="A309" s="5"/>
      <c r="B309" s="368"/>
      <c r="C309" s="23"/>
      <c r="D309" s="72"/>
      <c r="P309" s="202"/>
      <c r="AA309" s="384"/>
    </row>
    <row r="310" spans="1:27" x14ac:dyDescent="0.3">
      <c r="A310" s="5"/>
      <c r="B310" s="368"/>
      <c r="C310" s="23"/>
      <c r="D310" s="72"/>
      <c r="P310" s="202"/>
      <c r="AA310" s="384"/>
    </row>
    <row r="311" spans="1:27" x14ac:dyDescent="0.3">
      <c r="A311" s="5"/>
      <c r="B311" s="368"/>
      <c r="C311" s="23"/>
      <c r="D311" s="72"/>
      <c r="P311" s="202"/>
      <c r="AA311" s="384"/>
    </row>
    <row r="312" spans="1:27" x14ac:dyDescent="0.3">
      <c r="A312" s="5"/>
      <c r="B312" s="368"/>
      <c r="C312" s="23"/>
      <c r="D312" s="72"/>
      <c r="P312" s="202"/>
      <c r="AA312" s="384"/>
    </row>
    <row r="313" spans="1:27" x14ac:dyDescent="0.3">
      <c r="A313" s="5"/>
      <c r="B313" s="368"/>
      <c r="C313" s="23"/>
      <c r="D313" s="72"/>
      <c r="P313" s="202"/>
      <c r="AA313" s="384"/>
    </row>
    <row r="314" spans="1:27" x14ac:dyDescent="0.3">
      <c r="A314" s="5"/>
      <c r="B314" s="368"/>
      <c r="C314" s="23"/>
      <c r="D314" s="72"/>
      <c r="P314" s="202"/>
      <c r="AA314" s="384"/>
    </row>
    <row r="315" spans="1:27" x14ac:dyDescent="0.3">
      <c r="A315" s="5"/>
      <c r="B315" s="368"/>
      <c r="C315" s="23"/>
      <c r="D315" s="72"/>
      <c r="P315" s="202"/>
      <c r="AA315" s="384"/>
    </row>
    <row r="316" spans="1:27" x14ac:dyDescent="0.3">
      <c r="A316" s="5"/>
      <c r="B316" s="368"/>
      <c r="C316" s="23"/>
      <c r="D316" s="72"/>
      <c r="P316" s="202"/>
      <c r="AA316" s="384"/>
    </row>
    <row r="317" spans="1:27" x14ac:dyDescent="0.3">
      <c r="A317" s="5"/>
      <c r="B317" s="368"/>
      <c r="C317" s="23"/>
      <c r="D317" s="72"/>
      <c r="P317" s="202"/>
      <c r="AA317" s="384"/>
    </row>
    <row r="318" spans="1:27" x14ac:dyDescent="0.3">
      <c r="A318" s="5"/>
      <c r="B318" s="368"/>
      <c r="C318" s="23"/>
      <c r="D318" s="72"/>
      <c r="P318" s="202"/>
      <c r="AA318" s="384"/>
    </row>
    <row r="319" spans="1:27" x14ac:dyDescent="0.3">
      <c r="A319" s="5"/>
      <c r="B319" s="368"/>
      <c r="C319" s="23"/>
      <c r="D319" s="72"/>
      <c r="P319" s="202"/>
      <c r="AA319" s="384"/>
    </row>
    <row r="320" spans="1:27" x14ac:dyDescent="0.3">
      <c r="A320" s="5"/>
      <c r="B320" s="368"/>
      <c r="C320" s="23"/>
      <c r="D320" s="72"/>
      <c r="P320" s="202"/>
    </row>
    <row r="321" spans="1:16" x14ac:dyDescent="0.3">
      <c r="A321" s="5"/>
      <c r="B321" s="368"/>
      <c r="C321" s="23"/>
      <c r="D321" s="72"/>
      <c r="P321" s="202"/>
    </row>
    <row r="322" spans="1:16" x14ac:dyDescent="0.3">
      <c r="A322" s="5"/>
      <c r="B322" s="368"/>
      <c r="C322" s="23"/>
      <c r="D322" s="72"/>
      <c r="P322" s="202"/>
    </row>
    <row r="323" spans="1:16" x14ac:dyDescent="0.3">
      <c r="A323" s="5"/>
      <c r="B323" s="368"/>
      <c r="C323" s="23"/>
      <c r="D323" s="72"/>
      <c r="P323" s="202"/>
    </row>
    <row r="324" spans="1:16" x14ac:dyDescent="0.3">
      <c r="A324" s="5"/>
      <c r="B324" s="368"/>
      <c r="C324" s="23"/>
      <c r="D324" s="72"/>
      <c r="P324" s="202"/>
    </row>
    <row r="325" spans="1:16" x14ac:dyDescent="0.3">
      <c r="A325" s="5"/>
      <c r="B325" s="368"/>
      <c r="C325" s="23"/>
      <c r="D325" s="72"/>
      <c r="P325" s="202"/>
    </row>
    <row r="326" spans="1:16" x14ac:dyDescent="0.3">
      <c r="A326" s="5"/>
      <c r="B326" s="368"/>
      <c r="C326" s="23"/>
      <c r="D326" s="72"/>
      <c r="P326" s="202"/>
    </row>
    <row r="327" spans="1:16" x14ac:dyDescent="0.3">
      <c r="A327" s="5"/>
      <c r="B327" s="368"/>
      <c r="C327" s="23"/>
      <c r="D327" s="72"/>
      <c r="P327" s="202"/>
    </row>
    <row r="328" spans="1:16" x14ac:dyDescent="0.3">
      <c r="A328" s="5"/>
      <c r="B328" s="368"/>
      <c r="C328" s="23"/>
      <c r="D328" s="72"/>
      <c r="P328" s="202"/>
    </row>
    <row r="329" spans="1:16" x14ac:dyDescent="0.3">
      <c r="A329" s="5"/>
      <c r="B329" s="368"/>
      <c r="C329" s="23"/>
      <c r="D329" s="72"/>
      <c r="P329" s="202"/>
    </row>
    <row r="330" spans="1:16" x14ac:dyDescent="0.3">
      <c r="A330" s="5"/>
      <c r="B330" s="368"/>
      <c r="C330" s="23"/>
      <c r="D330" s="72"/>
      <c r="P330" s="202"/>
    </row>
    <row r="331" spans="1:16" x14ac:dyDescent="0.3">
      <c r="A331" s="5"/>
      <c r="B331" s="368"/>
      <c r="C331" s="23"/>
      <c r="D331" s="72"/>
      <c r="P331" s="202"/>
    </row>
    <row r="332" spans="1:16" x14ac:dyDescent="0.3">
      <c r="A332" s="5"/>
      <c r="B332" s="368"/>
      <c r="C332" s="23"/>
      <c r="D332" s="72"/>
      <c r="P332" s="202"/>
    </row>
    <row r="333" spans="1:16" x14ac:dyDescent="0.3">
      <c r="A333" s="5"/>
      <c r="B333" s="368"/>
      <c r="C333" s="23"/>
      <c r="D333" s="72"/>
      <c r="P333" s="202"/>
    </row>
    <row r="334" spans="1:16" x14ac:dyDescent="0.3">
      <c r="A334" s="5"/>
      <c r="B334" s="368"/>
      <c r="C334" s="23"/>
      <c r="D334" s="72"/>
      <c r="P334" s="202"/>
    </row>
    <row r="335" spans="1:16" x14ac:dyDescent="0.3">
      <c r="A335" s="5"/>
      <c r="B335" s="368"/>
      <c r="C335" s="23"/>
      <c r="D335" s="72"/>
      <c r="P335" s="202"/>
    </row>
    <row r="336" spans="1:16" x14ac:dyDescent="0.3">
      <c r="A336" s="5"/>
      <c r="B336" s="368"/>
      <c r="C336" s="23"/>
      <c r="D336" s="72"/>
      <c r="P336" s="202"/>
    </row>
    <row r="337" spans="1:16" x14ac:dyDescent="0.3">
      <c r="A337" s="5"/>
      <c r="B337" s="368"/>
      <c r="C337" s="23"/>
      <c r="D337" s="72"/>
      <c r="P337" s="202"/>
    </row>
    <row r="338" spans="1:16" x14ac:dyDescent="0.3">
      <c r="A338" s="5"/>
      <c r="B338" s="368"/>
      <c r="C338" s="23"/>
      <c r="D338" s="72"/>
      <c r="P338" s="202"/>
    </row>
    <row r="339" spans="1:16" x14ac:dyDescent="0.3">
      <c r="A339" s="5"/>
      <c r="B339" s="368"/>
      <c r="C339" s="23"/>
      <c r="D339" s="72"/>
      <c r="P339" s="202"/>
    </row>
    <row r="340" spans="1:16" x14ac:dyDescent="0.3">
      <c r="A340" s="5"/>
      <c r="B340" s="368"/>
      <c r="C340" s="23"/>
      <c r="D340" s="72"/>
      <c r="P340" s="202"/>
    </row>
    <row r="341" spans="1:16" x14ac:dyDescent="0.3">
      <c r="A341" s="5"/>
      <c r="B341" s="368"/>
      <c r="C341" s="23"/>
      <c r="D341" s="72"/>
      <c r="P341" s="202"/>
    </row>
    <row r="342" spans="1:16" x14ac:dyDescent="0.3">
      <c r="A342" s="5"/>
      <c r="B342" s="368"/>
      <c r="C342" s="23"/>
      <c r="D342" s="72"/>
      <c r="P342" s="202"/>
    </row>
    <row r="343" spans="1:16" x14ac:dyDescent="0.3">
      <c r="A343" s="5"/>
      <c r="B343" s="368"/>
      <c r="C343" s="23"/>
      <c r="D343" s="72"/>
      <c r="P343" s="202"/>
    </row>
    <row r="344" spans="1:16" x14ac:dyDescent="0.3">
      <c r="A344" s="5"/>
      <c r="B344" s="368"/>
      <c r="C344" s="23"/>
      <c r="D344" s="72"/>
      <c r="P344" s="202"/>
    </row>
    <row r="345" spans="1:16" x14ac:dyDescent="0.3">
      <c r="A345" s="5"/>
      <c r="B345" s="368"/>
      <c r="C345" s="23"/>
      <c r="D345" s="72"/>
      <c r="P345" s="202"/>
    </row>
    <row r="346" spans="1:16" x14ac:dyDescent="0.3">
      <c r="A346" s="5"/>
      <c r="B346" s="368"/>
      <c r="C346" s="23"/>
      <c r="D346" s="72"/>
      <c r="P346" s="202"/>
    </row>
    <row r="347" spans="1:16" x14ac:dyDescent="0.3">
      <c r="A347" s="5"/>
      <c r="B347" s="368"/>
      <c r="C347" s="23"/>
      <c r="D347" s="72"/>
      <c r="P347" s="202"/>
    </row>
    <row r="348" spans="1:16" x14ac:dyDescent="0.3">
      <c r="A348" s="5"/>
      <c r="B348" s="368"/>
      <c r="C348" s="23"/>
      <c r="D348" s="72"/>
      <c r="P348" s="202"/>
    </row>
    <row r="349" spans="1:16" x14ac:dyDescent="0.3">
      <c r="A349" s="5"/>
      <c r="B349" s="368"/>
      <c r="C349" s="23"/>
      <c r="D349" s="72"/>
      <c r="P349" s="202"/>
    </row>
    <row r="350" spans="1:16" x14ac:dyDescent="0.3">
      <c r="A350" s="5"/>
      <c r="B350" s="368"/>
      <c r="C350" s="23"/>
      <c r="D350" s="72"/>
      <c r="P350" s="202"/>
    </row>
    <row r="351" spans="1:16" x14ac:dyDescent="0.3">
      <c r="A351" s="5"/>
      <c r="B351" s="368"/>
      <c r="C351" s="23"/>
      <c r="D351" s="72"/>
      <c r="P351" s="202"/>
    </row>
    <row r="352" spans="1:16" x14ac:dyDescent="0.3">
      <c r="A352" s="5"/>
      <c r="B352" s="368"/>
      <c r="C352" s="23"/>
      <c r="D352" s="72"/>
      <c r="P352" s="202"/>
    </row>
    <row r="353" spans="1:16" x14ac:dyDescent="0.3">
      <c r="A353" s="5"/>
      <c r="B353" s="368"/>
      <c r="C353" s="23"/>
      <c r="D353" s="72"/>
      <c r="P353" s="202"/>
    </row>
    <row r="354" spans="1:16" x14ac:dyDescent="0.3">
      <c r="A354" s="5"/>
      <c r="B354" s="368"/>
      <c r="C354" s="23"/>
      <c r="D354" s="72"/>
      <c r="P354" s="202"/>
    </row>
    <row r="355" spans="1:16" x14ac:dyDescent="0.3">
      <c r="A355" s="5"/>
      <c r="B355" s="368"/>
      <c r="C355" s="23"/>
      <c r="D355" s="72"/>
      <c r="P355" s="202"/>
    </row>
    <row r="356" spans="1:16" x14ac:dyDescent="0.3">
      <c r="A356" s="5"/>
      <c r="B356" s="368"/>
      <c r="C356" s="23"/>
      <c r="D356" s="72"/>
      <c r="P356" s="202"/>
    </row>
    <row r="357" spans="1:16" x14ac:dyDescent="0.3">
      <c r="A357" s="5"/>
      <c r="B357" s="368"/>
      <c r="C357" s="23"/>
      <c r="D357" s="72"/>
      <c r="P357" s="202"/>
    </row>
    <row r="358" spans="1:16" x14ac:dyDescent="0.3">
      <c r="A358" s="5"/>
      <c r="B358" s="368"/>
      <c r="C358" s="23"/>
      <c r="D358" s="72"/>
      <c r="P358" s="202"/>
    </row>
    <row r="359" spans="1:16" x14ac:dyDescent="0.3">
      <c r="A359" s="5"/>
      <c r="B359" s="368"/>
      <c r="C359" s="23"/>
      <c r="D359" s="72"/>
      <c r="P359" s="202"/>
    </row>
    <row r="360" spans="1:16" x14ac:dyDescent="0.3">
      <c r="A360" s="5"/>
      <c r="B360" s="368"/>
      <c r="C360" s="23"/>
      <c r="D360" s="72"/>
      <c r="P360" s="202"/>
    </row>
    <row r="361" spans="1:16" x14ac:dyDescent="0.3">
      <c r="A361" s="5"/>
      <c r="B361" s="368"/>
      <c r="C361" s="23"/>
      <c r="D361" s="72"/>
      <c r="P361" s="202"/>
    </row>
    <row r="362" spans="1:16" x14ac:dyDescent="0.3">
      <c r="A362" s="5"/>
      <c r="B362" s="368"/>
      <c r="C362" s="23"/>
      <c r="D362" s="72"/>
      <c r="P362" s="202"/>
    </row>
    <row r="363" spans="1:16" x14ac:dyDescent="0.3">
      <c r="A363" s="5"/>
      <c r="B363" s="368"/>
      <c r="C363" s="23"/>
      <c r="D363" s="72"/>
      <c r="P363" s="202"/>
    </row>
    <row r="364" spans="1:16" x14ac:dyDescent="0.3">
      <c r="A364" s="5"/>
      <c r="B364" s="368"/>
      <c r="C364" s="23"/>
      <c r="D364" s="72"/>
      <c r="P364" s="202"/>
    </row>
    <row r="365" spans="1:16" x14ac:dyDescent="0.3">
      <c r="A365" s="5"/>
      <c r="B365" s="368"/>
      <c r="C365" s="23"/>
      <c r="D365" s="72"/>
      <c r="P365" s="202"/>
    </row>
    <row r="366" spans="1:16" x14ac:dyDescent="0.3">
      <c r="A366" s="5"/>
      <c r="B366" s="368"/>
      <c r="C366" s="23"/>
      <c r="D366" s="72"/>
      <c r="P366" s="202"/>
    </row>
    <row r="367" spans="1:16" x14ac:dyDescent="0.3">
      <c r="A367" s="5"/>
      <c r="B367" s="368"/>
      <c r="C367" s="23"/>
      <c r="D367" s="72"/>
      <c r="P367" s="202"/>
    </row>
    <row r="368" spans="1:16" x14ac:dyDescent="0.3">
      <c r="A368" s="5"/>
      <c r="B368" s="368"/>
      <c r="C368" s="23"/>
      <c r="D368" s="72"/>
      <c r="P368" s="202"/>
    </row>
    <row r="369" spans="1:16" x14ac:dyDescent="0.3">
      <c r="A369" s="5"/>
      <c r="B369" s="368"/>
      <c r="C369" s="23"/>
      <c r="D369" s="72"/>
      <c r="P369" s="202"/>
    </row>
    <row r="370" spans="1:16" x14ac:dyDescent="0.3">
      <c r="A370" s="5"/>
      <c r="B370" s="368"/>
      <c r="C370" s="23"/>
      <c r="D370" s="72"/>
      <c r="P370" s="202"/>
    </row>
    <row r="371" spans="1:16" x14ac:dyDescent="0.3">
      <c r="A371" s="5"/>
      <c r="B371" s="368"/>
      <c r="C371" s="23"/>
      <c r="D371" s="72"/>
      <c r="P371" s="202"/>
    </row>
    <row r="372" spans="1:16" x14ac:dyDescent="0.3">
      <c r="A372" s="5"/>
      <c r="B372" s="368"/>
      <c r="C372" s="23"/>
      <c r="D372" s="72"/>
      <c r="P372" s="202"/>
    </row>
    <row r="373" spans="1:16" x14ac:dyDescent="0.3">
      <c r="A373" s="5"/>
      <c r="B373" s="368"/>
      <c r="C373" s="23"/>
      <c r="D373" s="72"/>
      <c r="P373" s="202"/>
    </row>
    <row r="374" spans="1:16" x14ac:dyDescent="0.3">
      <c r="A374" s="5"/>
      <c r="B374" s="368"/>
      <c r="C374" s="23"/>
      <c r="D374" s="72"/>
      <c r="P374" s="202"/>
    </row>
    <row r="375" spans="1:16" x14ac:dyDescent="0.3">
      <c r="A375" s="5"/>
      <c r="B375" s="368"/>
      <c r="C375" s="23"/>
      <c r="D375" s="72"/>
      <c r="P375" s="202"/>
    </row>
    <row r="376" spans="1:16" x14ac:dyDescent="0.3">
      <c r="A376" s="5"/>
      <c r="B376" s="368"/>
      <c r="C376" s="23"/>
      <c r="D376" s="72"/>
      <c r="P376" s="202"/>
    </row>
    <row r="377" spans="1:16" x14ac:dyDescent="0.3">
      <c r="A377" s="5"/>
      <c r="B377" s="368"/>
      <c r="C377" s="23"/>
      <c r="D377" s="72"/>
      <c r="P377" s="202"/>
    </row>
    <row r="378" spans="1:16" x14ac:dyDescent="0.3">
      <c r="A378" s="5"/>
      <c r="B378" s="368"/>
      <c r="C378" s="23"/>
      <c r="D378" s="72"/>
      <c r="P378" s="202"/>
    </row>
    <row r="379" spans="1:16" x14ac:dyDescent="0.3">
      <c r="A379" s="5"/>
      <c r="B379" s="368"/>
      <c r="C379" s="23"/>
      <c r="D379" s="72"/>
    </row>
    <row r="380" spans="1:16" x14ac:dyDescent="0.3">
      <c r="A380" s="5"/>
      <c r="B380" s="368"/>
      <c r="C380" s="23"/>
      <c r="D380" s="72"/>
      <c r="P380" s="202"/>
    </row>
    <row r="381" spans="1:16" x14ac:dyDescent="0.3">
      <c r="A381" s="5"/>
      <c r="B381" s="368"/>
      <c r="C381" s="23"/>
      <c r="D381" s="72"/>
    </row>
    <row r="382" spans="1:16" x14ac:dyDescent="0.3">
      <c r="A382" s="5"/>
      <c r="B382" s="368"/>
      <c r="C382" s="23"/>
      <c r="D382" s="72"/>
    </row>
    <row r="383" spans="1:16" x14ac:dyDescent="0.3">
      <c r="A383" s="5"/>
      <c r="B383" s="368"/>
      <c r="C383" s="23"/>
      <c r="D383" s="72"/>
    </row>
    <row r="384" spans="1:16" x14ac:dyDescent="0.3">
      <c r="A384" s="5"/>
      <c r="B384" s="368"/>
      <c r="C384" s="23"/>
      <c r="D384" s="72"/>
    </row>
    <row r="385" spans="1:4" x14ac:dyDescent="0.3">
      <c r="A385" s="5"/>
      <c r="B385" s="368"/>
      <c r="C385" s="23"/>
      <c r="D385" s="72"/>
    </row>
    <row r="386" spans="1:4" x14ac:dyDescent="0.3">
      <c r="A386" s="5"/>
      <c r="B386" s="368"/>
      <c r="C386" s="23"/>
      <c r="D386" s="72"/>
    </row>
    <row r="387" spans="1:4" x14ac:dyDescent="0.3">
      <c r="A387" s="5"/>
      <c r="B387" s="368"/>
      <c r="C387" s="23"/>
      <c r="D387" s="72"/>
    </row>
    <row r="388" spans="1:4" x14ac:dyDescent="0.3">
      <c r="A388" s="5"/>
      <c r="B388" s="368"/>
      <c r="C388" s="23"/>
      <c r="D388" s="72"/>
    </row>
    <row r="389" spans="1:4" x14ac:dyDescent="0.3">
      <c r="A389" s="5"/>
      <c r="B389" s="368"/>
      <c r="C389" s="23"/>
      <c r="D389" s="72"/>
    </row>
    <row r="390" spans="1:4" x14ac:dyDescent="0.3">
      <c r="A390" s="5"/>
      <c r="B390" s="368"/>
      <c r="C390" s="23"/>
      <c r="D390" s="72"/>
    </row>
    <row r="391" spans="1:4" x14ac:dyDescent="0.3">
      <c r="A391" s="5"/>
      <c r="B391" s="368"/>
      <c r="C391" s="23"/>
      <c r="D391" s="72"/>
    </row>
    <row r="392" spans="1:4" x14ac:dyDescent="0.3">
      <c r="A392" s="5"/>
      <c r="B392" s="368"/>
      <c r="C392" s="23"/>
      <c r="D392" s="72"/>
    </row>
    <row r="393" spans="1:4" x14ac:dyDescent="0.3">
      <c r="A393" s="5"/>
      <c r="B393" s="368"/>
      <c r="C393" s="23"/>
      <c r="D393" s="72"/>
    </row>
    <row r="394" spans="1:4" x14ac:dyDescent="0.3">
      <c r="A394" s="5"/>
      <c r="B394" s="368"/>
      <c r="C394" s="23"/>
      <c r="D394" s="72"/>
    </row>
    <row r="395" spans="1:4" x14ac:dyDescent="0.3">
      <c r="A395" s="5"/>
      <c r="B395" s="368"/>
      <c r="C395" s="23"/>
      <c r="D395" s="72"/>
    </row>
    <row r="396" spans="1:4" x14ac:dyDescent="0.3">
      <c r="A396" s="5"/>
      <c r="B396" s="368"/>
      <c r="C396" s="23"/>
      <c r="D396" s="72"/>
    </row>
    <row r="397" spans="1:4" x14ac:dyDescent="0.3">
      <c r="A397" s="5"/>
      <c r="B397" s="368"/>
      <c r="C397" s="23"/>
      <c r="D397" s="72"/>
    </row>
    <row r="398" spans="1:4" x14ac:dyDescent="0.3">
      <c r="A398" s="5"/>
      <c r="B398" s="368"/>
      <c r="C398" s="23"/>
      <c r="D398" s="72"/>
    </row>
    <row r="399" spans="1:4" x14ac:dyDescent="0.3">
      <c r="A399" s="5"/>
      <c r="B399" s="368"/>
      <c r="C399" s="23"/>
      <c r="D399" s="72"/>
    </row>
    <row r="400" spans="1:4" x14ac:dyDescent="0.3">
      <c r="A400" s="5"/>
      <c r="B400" s="368"/>
      <c r="C400" s="23"/>
      <c r="D400" s="72"/>
    </row>
    <row r="401" spans="1:4" x14ac:dyDescent="0.3">
      <c r="A401" s="5"/>
      <c r="B401" s="368"/>
      <c r="C401" s="23"/>
      <c r="D401" s="72"/>
    </row>
    <row r="402" spans="1:4" x14ac:dyDescent="0.3">
      <c r="A402" s="5"/>
      <c r="B402" s="368"/>
      <c r="C402" s="23"/>
      <c r="D402" s="72"/>
    </row>
    <row r="403" spans="1:4" x14ac:dyDescent="0.3">
      <c r="A403" s="5"/>
      <c r="B403" s="368"/>
      <c r="C403" s="23"/>
      <c r="D403" s="72"/>
    </row>
    <row r="404" spans="1:4" x14ac:dyDescent="0.3">
      <c r="A404" s="5"/>
      <c r="B404" s="368"/>
      <c r="C404" s="23"/>
      <c r="D404" s="72"/>
    </row>
    <row r="405" spans="1:4" x14ac:dyDescent="0.3">
      <c r="A405" s="5"/>
      <c r="B405" s="368"/>
      <c r="C405" s="23"/>
      <c r="D405" s="72"/>
    </row>
    <row r="406" spans="1:4" x14ac:dyDescent="0.3">
      <c r="A406" s="5"/>
      <c r="B406" s="368"/>
      <c r="C406" s="23"/>
      <c r="D406" s="72"/>
    </row>
    <row r="407" spans="1:4" x14ac:dyDescent="0.3">
      <c r="A407" s="5"/>
      <c r="B407" s="368"/>
      <c r="C407" s="23"/>
      <c r="D407" s="72"/>
    </row>
    <row r="408" spans="1:4" x14ac:dyDescent="0.3">
      <c r="A408" s="5"/>
      <c r="B408" s="368"/>
      <c r="C408" s="23"/>
      <c r="D408" s="72"/>
    </row>
    <row r="409" spans="1:4" x14ac:dyDescent="0.3">
      <c r="A409" s="5"/>
      <c r="B409" s="368"/>
      <c r="C409" s="23"/>
      <c r="D409" s="72"/>
    </row>
    <row r="410" spans="1:4" x14ac:dyDescent="0.3">
      <c r="A410" s="5"/>
      <c r="B410" s="368"/>
      <c r="C410" s="23"/>
      <c r="D410" s="72"/>
    </row>
    <row r="411" spans="1:4" x14ac:dyDescent="0.3">
      <c r="A411" s="5"/>
      <c r="B411" s="368"/>
      <c r="C411" s="23"/>
      <c r="D411" s="72"/>
    </row>
    <row r="412" spans="1:4" x14ac:dyDescent="0.3">
      <c r="A412" s="5"/>
      <c r="B412" s="368"/>
      <c r="C412" s="23"/>
      <c r="D412" s="72"/>
    </row>
    <row r="413" spans="1:4" x14ac:dyDescent="0.3">
      <c r="D413" s="72"/>
    </row>
    <row r="414" spans="1:4" x14ac:dyDescent="0.3">
      <c r="D414" s="72"/>
    </row>
    <row r="415" spans="1:4" x14ac:dyDescent="0.3">
      <c r="D415" s="72"/>
    </row>
    <row r="416" spans="1:4" x14ac:dyDescent="0.3">
      <c r="D416" s="72"/>
    </row>
    <row r="417" spans="4:4" x14ac:dyDescent="0.3">
      <c r="D417" s="72"/>
    </row>
    <row r="418" spans="4:4" x14ac:dyDescent="0.3">
      <c r="D418" s="72"/>
    </row>
    <row r="419" spans="4:4" x14ac:dyDescent="0.3">
      <c r="D419" s="72"/>
    </row>
    <row r="420" spans="4:4" x14ac:dyDescent="0.3">
      <c r="D420" s="72"/>
    </row>
    <row r="421" spans="4:4" x14ac:dyDescent="0.3">
      <c r="D421" s="72"/>
    </row>
    <row r="422" spans="4:4" x14ac:dyDescent="0.3">
      <c r="D422" s="72"/>
    </row>
    <row r="423" spans="4:4" x14ac:dyDescent="0.3">
      <c r="D423" s="72"/>
    </row>
    <row r="424" spans="4:4" x14ac:dyDescent="0.3">
      <c r="D424" s="72"/>
    </row>
    <row r="425" spans="4:4" x14ac:dyDescent="0.3">
      <c r="D425" s="72"/>
    </row>
    <row r="426" spans="4:4" x14ac:dyDescent="0.3">
      <c r="D426" s="72"/>
    </row>
    <row r="427" spans="4:4" x14ac:dyDescent="0.3">
      <c r="D427" s="72"/>
    </row>
    <row r="428" spans="4:4" x14ac:dyDescent="0.3">
      <c r="D428" s="72"/>
    </row>
    <row r="429" spans="4:4" x14ac:dyDescent="0.3">
      <c r="D429" s="72"/>
    </row>
    <row r="430" spans="4:4" x14ac:dyDescent="0.3">
      <c r="D430" s="72"/>
    </row>
    <row r="431" spans="4:4" x14ac:dyDescent="0.3">
      <c r="D431" s="72"/>
    </row>
    <row r="432" spans="4:4" x14ac:dyDescent="0.3">
      <c r="D432" s="72"/>
    </row>
    <row r="433" spans="4:4" x14ac:dyDescent="0.3">
      <c r="D433" s="72"/>
    </row>
    <row r="434" spans="4:4" x14ac:dyDescent="0.3">
      <c r="D434" s="72"/>
    </row>
    <row r="435" spans="4:4" x14ac:dyDescent="0.3">
      <c r="D435" s="72"/>
    </row>
    <row r="436" spans="4:4" x14ac:dyDescent="0.3">
      <c r="D436" s="72"/>
    </row>
    <row r="437" spans="4:4" x14ac:dyDescent="0.3">
      <c r="D437" s="72"/>
    </row>
    <row r="438" spans="4:4" x14ac:dyDescent="0.3">
      <c r="D438" s="72"/>
    </row>
    <row r="439" spans="4:4" x14ac:dyDescent="0.3">
      <c r="D439" s="72"/>
    </row>
    <row r="440" spans="4:4" x14ac:dyDescent="0.3">
      <c r="D440" s="72"/>
    </row>
    <row r="441" spans="4:4" x14ac:dyDescent="0.3">
      <c r="D441" s="72"/>
    </row>
    <row r="442" spans="4:4" x14ac:dyDescent="0.3">
      <c r="D442" s="72"/>
    </row>
    <row r="443" spans="4:4" x14ac:dyDescent="0.3">
      <c r="D443" s="72"/>
    </row>
    <row r="444" spans="4:4" x14ac:dyDescent="0.3">
      <c r="D444" s="72"/>
    </row>
    <row r="445" spans="4:4" x14ac:dyDescent="0.3">
      <c r="D445" s="72"/>
    </row>
    <row r="446" spans="4:4" x14ac:dyDescent="0.3">
      <c r="D446" s="72"/>
    </row>
    <row r="447" spans="4:4" x14ac:dyDescent="0.3">
      <c r="D447" s="72"/>
    </row>
    <row r="448" spans="4:4" x14ac:dyDescent="0.3">
      <c r="D448" s="72"/>
    </row>
    <row r="449" spans="4:4" x14ac:dyDescent="0.3">
      <c r="D449" s="72"/>
    </row>
    <row r="450" spans="4:4" x14ac:dyDescent="0.3">
      <c r="D450" s="72"/>
    </row>
    <row r="451" spans="4:4" x14ac:dyDescent="0.3">
      <c r="D451" s="72"/>
    </row>
    <row r="452" spans="4:4" x14ac:dyDescent="0.3">
      <c r="D452" s="72"/>
    </row>
    <row r="453" spans="4:4" x14ac:dyDescent="0.3">
      <c r="D453" s="72"/>
    </row>
    <row r="454" spans="4:4" x14ac:dyDescent="0.3">
      <c r="D454" s="72"/>
    </row>
    <row r="455" spans="4:4" x14ac:dyDescent="0.3">
      <c r="D455" s="72"/>
    </row>
    <row r="456" spans="4:4" x14ac:dyDescent="0.3">
      <c r="D456" s="72"/>
    </row>
    <row r="457" spans="4:4" x14ac:dyDescent="0.3">
      <c r="D457" s="72"/>
    </row>
    <row r="458" spans="4:4" x14ac:dyDescent="0.3">
      <c r="D458" s="72"/>
    </row>
    <row r="459" spans="4:4" x14ac:dyDescent="0.3">
      <c r="D459" s="72"/>
    </row>
    <row r="460" spans="4:4" x14ac:dyDescent="0.3">
      <c r="D460" s="72"/>
    </row>
    <row r="461" spans="4:4" x14ac:dyDescent="0.3">
      <c r="D461" s="72"/>
    </row>
    <row r="462" spans="4:4" x14ac:dyDescent="0.3">
      <c r="D462" s="72"/>
    </row>
    <row r="463" spans="4:4" x14ac:dyDescent="0.3">
      <c r="D463" s="72"/>
    </row>
    <row r="464" spans="4:4" x14ac:dyDescent="0.3">
      <c r="D464" s="72"/>
    </row>
    <row r="465" spans="4:4" x14ac:dyDescent="0.3">
      <c r="D465" s="72"/>
    </row>
    <row r="466" spans="4:4" x14ac:dyDescent="0.3">
      <c r="D466" s="72"/>
    </row>
    <row r="467" spans="4:4" x14ac:dyDescent="0.3">
      <c r="D467" s="72"/>
    </row>
    <row r="468" spans="4:4" x14ac:dyDescent="0.3">
      <c r="D468" s="72"/>
    </row>
    <row r="469" spans="4:4" x14ac:dyDescent="0.3">
      <c r="D469" s="72"/>
    </row>
    <row r="470" spans="4:4" x14ac:dyDescent="0.3">
      <c r="D470" s="72"/>
    </row>
    <row r="471" spans="4:4" x14ac:dyDescent="0.3">
      <c r="D471" s="72"/>
    </row>
    <row r="472" spans="4:4" x14ac:dyDescent="0.3">
      <c r="D472" s="72"/>
    </row>
    <row r="473" spans="4:4" x14ac:dyDescent="0.3">
      <c r="D473" s="72"/>
    </row>
    <row r="474" spans="4:4" x14ac:dyDescent="0.3">
      <c r="D474" s="72"/>
    </row>
    <row r="475" spans="4:4" x14ac:dyDescent="0.3">
      <c r="D475" s="72"/>
    </row>
    <row r="476" spans="4:4" x14ac:dyDescent="0.3">
      <c r="D476" s="72"/>
    </row>
    <row r="477" spans="4:4" x14ac:dyDescent="0.3">
      <c r="D477" s="72"/>
    </row>
    <row r="478" spans="4:4" x14ac:dyDescent="0.3">
      <c r="D478" s="72"/>
    </row>
    <row r="479" spans="4:4" x14ac:dyDescent="0.3">
      <c r="D479" s="72"/>
    </row>
    <row r="480" spans="4:4" x14ac:dyDescent="0.3">
      <c r="D480" s="72"/>
    </row>
    <row r="481" spans="4:4" x14ac:dyDescent="0.3">
      <c r="D481" s="72"/>
    </row>
    <row r="482" spans="4:4" x14ac:dyDescent="0.3">
      <c r="D482" s="72"/>
    </row>
    <row r="483" spans="4:4" x14ac:dyDescent="0.3">
      <c r="D483" s="72"/>
    </row>
    <row r="484" spans="4:4" x14ac:dyDescent="0.3">
      <c r="D484" s="72"/>
    </row>
    <row r="485" spans="4:4" x14ac:dyDescent="0.3">
      <c r="D485" s="72"/>
    </row>
    <row r="486" spans="4:4" x14ac:dyDescent="0.3">
      <c r="D486" s="72"/>
    </row>
    <row r="487" spans="4:4" x14ac:dyDescent="0.3">
      <c r="D487" s="72"/>
    </row>
    <row r="488" spans="4:4" x14ac:dyDescent="0.3">
      <c r="D488" s="72"/>
    </row>
    <row r="489" spans="4:4" x14ac:dyDescent="0.3">
      <c r="D489" s="72"/>
    </row>
    <row r="490" spans="4:4" x14ac:dyDescent="0.3">
      <c r="D490" s="72"/>
    </row>
    <row r="491" spans="4:4" x14ac:dyDescent="0.3">
      <c r="D491" s="72"/>
    </row>
    <row r="492" spans="4:4" x14ac:dyDescent="0.3">
      <c r="D492" s="72"/>
    </row>
    <row r="493" spans="4:4" x14ac:dyDescent="0.3">
      <c r="D493" s="72"/>
    </row>
    <row r="494" spans="4:4" x14ac:dyDescent="0.3">
      <c r="D494" s="72"/>
    </row>
    <row r="495" spans="4:4" x14ac:dyDescent="0.3">
      <c r="D495" s="72"/>
    </row>
    <row r="496" spans="4:4" x14ac:dyDescent="0.3">
      <c r="D496" s="72"/>
    </row>
    <row r="497" spans="4:4" x14ac:dyDescent="0.3">
      <c r="D497" s="72"/>
    </row>
    <row r="498" spans="4:4" x14ac:dyDescent="0.3">
      <c r="D498" s="72"/>
    </row>
    <row r="499" spans="4:4" x14ac:dyDescent="0.3">
      <c r="D499" s="72"/>
    </row>
    <row r="500" spans="4:4" x14ac:dyDescent="0.3">
      <c r="D500" s="72"/>
    </row>
    <row r="501" spans="4:4" x14ac:dyDescent="0.3">
      <c r="D501" s="72"/>
    </row>
    <row r="502" spans="4:4" x14ac:dyDescent="0.3">
      <c r="D502" s="72"/>
    </row>
    <row r="503" spans="4:4" x14ac:dyDescent="0.3">
      <c r="D503" s="72"/>
    </row>
    <row r="504" spans="4:4" x14ac:dyDescent="0.3">
      <c r="D504" s="72"/>
    </row>
    <row r="505" spans="4:4" x14ac:dyDescent="0.3">
      <c r="D505" s="72"/>
    </row>
    <row r="506" spans="4:4" x14ac:dyDescent="0.3">
      <c r="D506" s="72"/>
    </row>
    <row r="507" spans="4:4" x14ac:dyDescent="0.3">
      <c r="D507" s="72"/>
    </row>
    <row r="508" spans="4:4" x14ac:dyDescent="0.3">
      <c r="D508" s="72"/>
    </row>
    <row r="509" spans="4:4" x14ac:dyDescent="0.3">
      <c r="D509" s="72"/>
    </row>
    <row r="510" spans="4:4" x14ac:dyDescent="0.3">
      <c r="D510" s="72"/>
    </row>
    <row r="511" spans="4:4" x14ac:dyDescent="0.3">
      <c r="D511" s="72"/>
    </row>
    <row r="512" spans="4:4" x14ac:dyDescent="0.3">
      <c r="D512" s="72"/>
    </row>
    <row r="513" spans="4:4" x14ac:dyDescent="0.3">
      <c r="D513" s="72"/>
    </row>
    <row r="514" spans="4:4" x14ac:dyDescent="0.3">
      <c r="D514" s="72"/>
    </row>
    <row r="515" spans="4:4" x14ac:dyDescent="0.3">
      <c r="D515" s="72"/>
    </row>
    <row r="516" spans="4:4" x14ac:dyDescent="0.3">
      <c r="D516" s="72"/>
    </row>
    <row r="517" spans="4:4" x14ac:dyDescent="0.3">
      <c r="D517" s="72"/>
    </row>
    <row r="518" spans="4:4" x14ac:dyDescent="0.3">
      <c r="D518" s="72"/>
    </row>
    <row r="519" spans="4:4" x14ac:dyDescent="0.3">
      <c r="D519" s="72"/>
    </row>
    <row r="520" spans="4:4" x14ac:dyDescent="0.3">
      <c r="D520" s="72"/>
    </row>
    <row r="521" spans="4:4" x14ac:dyDescent="0.3">
      <c r="D521" s="72"/>
    </row>
    <row r="522" spans="4:4" x14ac:dyDescent="0.3">
      <c r="D522" s="72"/>
    </row>
    <row r="523" spans="4:4" x14ac:dyDescent="0.3">
      <c r="D523" s="72"/>
    </row>
    <row r="524" spans="4:4" x14ac:dyDescent="0.3">
      <c r="D524" s="72"/>
    </row>
    <row r="525" spans="4:4" x14ac:dyDescent="0.3">
      <c r="D525" s="72"/>
    </row>
    <row r="526" spans="4:4" x14ac:dyDescent="0.3">
      <c r="D526" s="72"/>
    </row>
    <row r="527" spans="4:4" x14ac:dyDescent="0.3">
      <c r="D527" s="72"/>
    </row>
    <row r="528" spans="4:4" x14ac:dyDescent="0.3">
      <c r="D528" s="72"/>
    </row>
    <row r="529" spans="4:4" x14ac:dyDescent="0.3">
      <c r="D529" s="72"/>
    </row>
    <row r="530" spans="4:4" x14ac:dyDescent="0.3">
      <c r="D530" s="72"/>
    </row>
    <row r="531" spans="4:4" x14ac:dyDescent="0.3">
      <c r="D531" s="72"/>
    </row>
    <row r="532" spans="4:4" x14ac:dyDescent="0.3">
      <c r="D532" s="72"/>
    </row>
    <row r="533" spans="4:4" x14ac:dyDescent="0.3">
      <c r="D533" s="72"/>
    </row>
    <row r="534" spans="4:4" x14ac:dyDescent="0.3">
      <c r="D534" s="72"/>
    </row>
    <row r="535" spans="4:4" x14ac:dyDescent="0.3">
      <c r="D535" s="72"/>
    </row>
    <row r="536" spans="4:4" x14ac:dyDescent="0.3">
      <c r="D536" s="72"/>
    </row>
    <row r="537" spans="4:4" x14ac:dyDescent="0.3">
      <c r="D537" s="72"/>
    </row>
    <row r="538" spans="4:4" x14ac:dyDescent="0.3">
      <c r="D538" s="72"/>
    </row>
    <row r="539" spans="4:4" x14ac:dyDescent="0.3">
      <c r="D539" s="72"/>
    </row>
    <row r="540" spans="4:4" x14ac:dyDescent="0.3">
      <c r="D540" s="72"/>
    </row>
    <row r="541" spans="4:4" x14ac:dyDescent="0.3">
      <c r="D541" s="72"/>
    </row>
    <row r="542" spans="4:4" x14ac:dyDescent="0.3">
      <c r="D542" s="72"/>
    </row>
    <row r="543" spans="4:4" x14ac:dyDescent="0.3">
      <c r="D543" s="72"/>
    </row>
    <row r="544" spans="4:4" x14ac:dyDescent="0.3">
      <c r="D544" s="72"/>
    </row>
    <row r="545" spans="4:4" x14ac:dyDescent="0.3">
      <c r="D545" s="72"/>
    </row>
    <row r="546" spans="4:4" x14ac:dyDescent="0.3">
      <c r="D546" s="72"/>
    </row>
    <row r="547" spans="4:4" x14ac:dyDescent="0.3">
      <c r="D547" s="72"/>
    </row>
    <row r="548" spans="4:4" x14ac:dyDescent="0.3">
      <c r="D548" s="72"/>
    </row>
    <row r="549" spans="4:4" x14ac:dyDescent="0.3">
      <c r="D549" s="72"/>
    </row>
    <row r="550" spans="4:4" x14ac:dyDescent="0.3">
      <c r="D550" s="72"/>
    </row>
    <row r="551" spans="4:4" x14ac:dyDescent="0.3">
      <c r="D551" s="72"/>
    </row>
    <row r="552" spans="4:4" x14ac:dyDescent="0.3">
      <c r="D552" s="72"/>
    </row>
    <row r="553" spans="4:4" x14ac:dyDescent="0.3">
      <c r="D553" s="72"/>
    </row>
    <row r="554" spans="4:4" x14ac:dyDescent="0.3">
      <c r="D554" s="72"/>
    </row>
    <row r="555" spans="4:4" x14ac:dyDescent="0.3">
      <c r="D555" s="72"/>
    </row>
    <row r="556" spans="4:4" x14ac:dyDescent="0.3">
      <c r="D556" s="72"/>
    </row>
    <row r="557" spans="4:4" x14ac:dyDescent="0.3">
      <c r="D557" s="72"/>
    </row>
    <row r="558" spans="4:4" x14ac:dyDescent="0.3">
      <c r="D558" s="72"/>
    </row>
    <row r="559" spans="4:4" x14ac:dyDescent="0.3">
      <c r="D559" s="72"/>
    </row>
    <row r="560" spans="4:4" x14ac:dyDescent="0.3">
      <c r="D560" s="72"/>
    </row>
    <row r="561" spans="4:4" x14ac:dyDescent="0.3">
      <c r="D561" s="72"/>
    </row>
    <row r="562" spans="4:4" x14ac:dyDescent="0.3">
      <c r="D562" s="72"/>
    </row>
    <row r="563" spans="4:4" x14ac:dyDescent="0.3">
      <c r="D563" s="72"/>
    </row>
    <row r="564" spans="4:4" x14ac:dyDescent="0.3">
      <c r="D564" s="72"/>
    </row>
    <row r="565" spans="4:4" x14ac:dyDescent="0.3">
      <c r="D565" s="72"/>
    </row>
    <row r="566" spans="4:4" x14ac:dyDescent="0.3">
      <c r="D566" s="72"/>
    </row>
    <row r="567" spans="4:4" x14ac:dyDescent="0.3">
      <c r="D567" s="72"/>
    </row>
    <row r="568" spans="4:4" x14ac:dyDescent="0.3">
      <c r="D568" s="72"/>
    </row>
    <row r="569" spans="4:4" x14ac:dyDescent="0.3">
      <c r="D569" s="72"/>
    </row>
    <row r="570" spans="4:4" x14ac:dyDescent="0.3">
      <c r="D570" s="72"/>
    </row>
    <row r="571" spans="4:4" x14ac:dyDescent="0.3">
      <c r="D571" s="72"/>
    </row>
    <row r="572" spans="4:4" x14ac:dyDescent="0.3">
      <c r="D572" s="72"/>
    </row>
    <row r="573" spans="4:4" x14ac:dyDescent="0.3">
      <c r="D573" s="72"/>
    </row>
    <row r="574" spans="4:4" x14ac:dyDescent="0.3">
      <c r="D574" s="72"/>
    </row>
    <row r="575" spans="4:4" x14ac:dyDescent="0.3">
      <c r="D575" s="72"/>
    </row>
    <row r="576" spans="4:4" x14ac:dyDescent="0.3">
      <c r="D576" s="72"/>
    </row>
    <row r="577" spans="4:4" x14ac:dyDescent="0.3">
      <c r="D577" s="72"/>
    </row>
    <row r="578" spans="4:4" x14ac:dyDescent="0.3">
      <c r="D578" s="72"/>
    </row>
    <row r="579" spans="4:4" x14ac:dyDescent="0.3">
      <c r="D579" s="72"/>
    </row>
    <row r="580" spans="4:4" x14ac:dyDescent="0.3">
      <c r="D580" s="72"/>
    </row>
    <row r="581" spans="4:4" x14ac:dyDescent="0.3">
      <c r="D581" s="72"/>
    </row>
    <row r="582" spans="4:4" x14ac:dyDescent="0.3">
      <c r="D582" s="72"/>
    </row>
    <row r="583" spans="4:4" x14ac:dyDescent="0.3">
      <c r="D583" s="72"/>
    </row>
    <row r="584" spans="4:4" x14ac:dyDescent="0.3">
      <c r="D584" s="72"/>
    </row>
    <row r="585" spans="4:4" x14ac:dyDescent="0.3">
      <c r="D585" s="72"/>
    </row>
    <row r="586" spans="4:4" x14ac:dyDescent="0.3">
      <c r="D586" s="72"/>
    </row>
    <row r="587" spans="4:4" x14ac:dyDescent="0.3">
      <c r="D587" s="72"/>
    </row>
    <row r="588" spans="4:4" x14ac:dyDescent="0.3">
      <c r="D588" s="72"/>
    </row>
    <row r="589" spans="4:4" x14ac:dyDescent="0.3">
      <c r="D589" s="72"/>
    </row>
    <row r="590" spans="4:4" x14ac:dyDescent="0.3">
      <c r="D590" s="72"/>
    </row>
    <row r="591" spans="4:4" x14ac:dyDescent="0.3">
      <c r="D591" s="72"/>
    </row>
    <row r="592" spans="4:4" x14ac:dyDescent="0.3">
      <c r="D592" s="72"/>
    </row>
    <row r="593" spans="4:4" x14ac:dyDescent="0.3">
      <c r="D593" s="72"/>
    </row>
    <row r="594" spans="4:4" x14ac:dyDescent="0.3">
      <c r="D594" s="72"/>
    </row>
    <row r="595" spans="4:4" x14ac:dyDescent="0.3">
      <c r="D595" s="72"/>
    </row>
    <row r="596" spans="4:4" x14ac:dyDescent="0.3">
      <c r="D596" s="72"/>
    </row>
    <row r="597" spans="4:4" x14ac:dyDescent="0.3">
      <c r="D597" s="72"/>
    </row>
    <row r="598" spans="4:4" x14ac:dyDescent="0.3">
      <c r="D598" s="72"/>
    </row>
    <row r="599" spans="4:4" x14ac:dyDescent="0.3">
      <c r="D599" s="72"/>
    </row>
    <row r="600" spans="4:4" x14ac:dyDescent="0.3">
      <c r="D600" s="72"/>
    </row>
    <row r="601" spans="4:4" x14ac:dyDescent="0.3">
      <c r="D601" s="72"/>
    </row>
    <row r="602" spans="4:4" x14ac:dyDescent="0.3">
      <c r="D602" s="72"/>
    </row>
    <row r="603" spans="4:4" x14ac:dyDescent="0.3">
      <c r="D603" s="72"/>
    </row>
    <row r="604" spans="4:4" x14ac:dyDescent="0.3">
      <c r="D604" s="72"/>
    </row>
    <row r="605" spans="4:4" x14ac:dyDescent="0.3">
      <c r="D605" s="72"/>
    </row>
    <row r="606" spans="4:4" x14ac:dyDescent="0.3">
      <c r="D606" s="72"/>
    </row>
    <row r="607" spans="4:4" x14ac:dyDescent="0.3">
      <c r="D607" s="72"/>
    </row>
    <row r="608" spans="4:4" x14ac:dyDescent="0.3">
      <c r="D608" s="72"/>
    </row>
    <row r="609" spans="4:4" x14ac:dyDescent="0.3">
      <c r="D609" s="72"/>
    </row>
    <row r="610" spans="4:4" x14ac:dyDescent="0.3">
      <c r="D610" s="72"/>
    </row>
    <row r="611" spans="4:4" x14ac:dyDescent="0.3">
      <c r="D611" s="72"/>
    </row>
    <row r="612" spans="4:4" x14ac:dyDescent="0.3">
      <c r="D612" s="72"/>
    </row>
    <row r="613" spans="4:4" x14ac:dyDescent="0.3">
      <c r="D613" s="72"/>
    </row>
    <row r="614" spans="4:4" x14ac:dyDescent="0.3">
      <c r="D614" s="72"/>
    </row>
    <row r="615" spans="4:4" x14ac:dyDescent="0.3">
      <c r="D615" s="72"/>
    </row>
    <row r="616" spans="4:4" x14ac:dyDescent="0.3">
      <c r="D616" s="72"/>
    </row>
    <row r="617" spans="4:4" x14ac:dyDescent="0.3">
      <c r="D617" s="72"/>
    </row>
    <row r="618" spans="4:4" x14ac:dyDescent="0.3">
      <c r="D618" s="72"/>
    </row>
    <row r="619" spans="4:4" x14ac:dyDescent="0.3">
      <c r="D619" s="72"/>
    </row>
    <row r="620" spans="4:4" x14ac:dyDescent="0.3">
      <c r="D620" s="72"/>
    </row>
    <row r="621" spans="4:4" x14ac:dyDescent="0.3">
      <c r="D621" s="72"/>
    </row>
    <row r="622" spans="4:4" x14ac:dyDescent="0.3">
      <c r="D622" s="72"/>
    </row>
    <row r="623" spans="4:4" x14ac:dyDescent="0.3">
      <c r="D623" s="72"/>
    </row>
    <row r="624" spans="4:4" x14ac:dyDescent="0.3">
      <c r="D624" s="72"/>
    </row>
    <row r="625" spans="4:4" x14ac:dyDescent="0.3">
      <c r="D625" s="72"/>
    </row>
    <row r="626" spans="4:4" x14ac:dyDescent="0.3">
      <c r="D626" s="72"/>
    </row>
    <row r="627" spans="4:4" x14ac:dyDescent="0.3">
      <c r="D627" s="72"/>
    </row>
    <row r="628" spans="4:4" x14ac:dyDescent="0.3">
      <c r="D628" s="72"/>
    </row>
    <row r="629" spans="4:4" x14ac:dyDescent="0.3">
      <c r="D629" s="72"/>
    </row>
    <row r="630" spans="4:4" x14ac:dyDescent="0.3">
      <c r="D630" s="72"/>
    </row>
    <row r="631" spans="4:4" x14ac:dyDescent="0.3">
      <c r="D631" s="72"/>
    </row>
    <row r="632" spans="4:4" x14ac:dyDescent="0.3">
      <c r="D632" s="72"/>
    </row>
    <row r="633" spans="4:4" x14ac:dyDescent="0.3">
      <c r="D633" s="72"/>
    </row>
    <row r="634" spans="4:4" x14ac:dyDescent="0.3">
      <c r="D634" s="72"/>
    </row>
    <row r="635" spans="4:4" x14ac:dyDescent="0.3">
      <c r="D635" s="72"/>
    </row>
    <row r="636" spans="4:4" x14ac:dyDescent="0.3">
      <c r="D636" s="72"/>
    </row>
    <row r="637" spans="4:4" x14ac:dyDescent="0.3">
      <c r="D637" s="72"/>
    </row>
    <row r="638" spans="4:4" x14ac:dyDescent="0.3">
      <c r="D638" s="72"/>
    </row>
    <row r="639" spans="4:4" x14ac:dyDescent="0.3">
      <c r="D639" s="72"/>
    </row>
    <row r="640" spans="4:4" x14ac:dyDescent="0.3">
      <c r="D640" s="72"/>
    </row>
    <row r="641" spans="4:4" x14ac:dyDescent="0.3">
      <c r="D641" s="72"/>
    </row>
    <row r="642" spans="4:4" x14ac:dyDescent="0.3">
      <c r="D642" s="72"/>
    </row>
    <row r="643" spans="4:4" x14ac:dyDescent="0.3">
      <c r="D643" s="72"/>
    </row>
    <row r="644" spans="4:4" x14ac:dyDescent="0.3">
      <c r="D644" s="72"/>
    </row>
    <row r="645" spans="4:4" x14ac:dyDescent="0.3">
      <c r="D645" s="72"/>
    </row>
    <row r="646" spans="4:4" x14ac:dyDescent="0.3">
      <c r="D646" s="72"/>
    </row>
    <row r="647" spans="4:4" x14ac:dyDescent="0.3">
      <c r="D647" s="72"/>
    </row>
    <row r="648" spans="4:4" x14ac:dyDescent="0.3">
      <c r="D648" s="72"/>
    </row>
    <row r="649" spans="4:4" x14ac:dyDescent="0.3">
      <c r="D649" s="72"/>
    </row>
    <row r="650" spans="4:4" x14ac:dyDescent="0.3">
      <c r="D650" s="72"/>
    </row>
    <row r="651" spans="4:4" x14ac:dyDescent="0.3">
      <c r="D651" s="72"/>
    </row>
    <row r="652" spans="4:4" x14ac:dyDescent="0.3">
      <c r="D652" s="72"/>
    </row>
    <row r="653" spans="4:4" x14ac:dyDescent="0.3">
      <c r="D653" s="72"/>
    </row>
    <row r="654" spans="4:4" x14ac:dyDescent="0.3">
      <c r="D654" s="72"/>
    </row>
    <row r="655" spans="4:4" x14ac:dyDescent="0.3">
      <c r="D655" s="72"/>
    </row>
    <row r="656" spans="4:4" x14ac:dyDescent="0.3">
      <c r="D656" s="72"/>
    </row>
    <row r="657" spans="4:4" x14ac:dyDescent="0.3">
      <c r="D657" s="72"/>
    </row>
    <row r="658" spans="4:4" x14ac:dyDescent="0.3">
      <c r="D658" s="72"/>
    </row>
    <row r="659" spans="4:4" x14ac:dyDescent="0.3">
      <c r="D659" s="72"/>
    </row>
    <row r="660" spans="4:4" x14ac:dyDescent="0.3">
      <c r="D660" s="72"/>
    </row>
    <row r="661" spans="4:4" x14ac:dyDescent="0.3">
      <c r="D661" s="72"/>
    </row>
    <row r="662" spans="4:4" x14ac:dyDescent="0.3">
      <c r="D662" s="72"/>
    </row>
    <row r="663" spans="4:4" x14ac:dyDescent="0.3">
      <c r="D663" s="72"/>
    </row>
    <row r="664" spans="4:4" x14ac:dyDescent="0.3">
      <c r="D664" s="72"/>
    </row>
    <row r="665" spans="4:4" x14ac:dyDescent="0.3">
      <c r="D665" s="72"/>
    </row>
    <row r="666" spans="4:4" x14ac:dyDescent="0.3">
      <c r="D666" s="72"/>
    </row>
    <row r="667" spans="4:4" x14ac:dyDescent="0.3">
      <c r="D667" s="72"/>
    </row>
    <row r="668" spans="4:4" x14ac:dyDescent="0.3">
      <c r="D668" s="72"/>
    </row>
    <row r="669" spans="4:4" x14ac:dyDescent="0.3">
      <c r="D669" s="72"/>
    </row>
    <row r="670" spans="4:4" x14ac:dyDescent="0.3">
      <c r="D670" s="72"/>
    </row>
    <row r="671" spans="4:4" x14ac:dyDescent="0.3">
      <c r="D671" s="72"/>
    </row>
    <row r="672" spans="4:4" x14ac:dyDescent="0.3">
      <c r="D672" s="72"/>
    </row>
    <row r="673" spans="4:4" x14ac:dyDescent="0.3">
      <c r="D673" s="72"/>
    </row>
    <row r="674" spans="4:4" x14ac:dyDescent="0.3">
      <c r="D674" s="72"/>
    </row>
    <row r="675" spans="4:4" x14ac:dyDescent="0.3">
      <c r="D675" s="72"/>
    </row>
    <row r="676" spans="4:4" x14ac:dyDescent="0.3">
      <c r="D676" s="72"/>
    </row>
    <row r="677" spans="4:4" x14ac:dyDescent="0.3">
      <c r="D677" s="72"/>
    </row>
    <row r="678" spans="4:4" x14ac:dyDescent="0.3">
      <c r="D678" s="72"/>
    </row>
    <row r="679" spans="4:4" x14ac:dyDescent="0.3">
      <c r="D679" s="72"/>
    </row>
    <row r="680" spans="4:4" x14ac:dyDescent="0.3">
      <c r="D680" s="72"/>
    </row>
    <row r="681" spans="4:4" x14ac:dyDescent="0.3">
      <c r="D681" s="72"/>
    </row>
    <row r="682" spans="4:4" x14ac:dyDescent="0.3">
      <c r="D682" s="72"/>
    </row>
    <row r="683" spans="4:4" x14ac:dyDescent="0.3">
      <c r="D683" s="72"/>
    </row>
    <row r="684" spans="4:4" x14ac:dyDescent="0.3">
      <c r="D684" s="72"/>
    </row>
    <row r="685" spans="4:4" x14ac:dyDescent="0.3">
      <c r="D685" s="72"/>
    </row>
    <row r="686" spans="4:4" x14ac:dyDescent="0.3">
      <c r="D686" s="72"/>
    </row>
    <row r="687" spans="4:4" x14ac:dyDescent="0.3">
      <c r="D687" s="72"/>
    </row>
    <row r="688" spans="4:4" x14ac:dyDescent="0.3">
      <c r="D688" s="72"/>
    </row>
    <row r="689" spans="4:4" x14ac:dyDescent="0.3">
      <c r="D689" s="72"/>
    </row>
    <row r="690" spans="4:4" x14ac:dyDescent="0.3">
      <c r="D690" s="72"/>
    </row>
    <row r="691" spans="4:4" x14ac:dyDescent="0.3">
      <c r="D691" s="72"/>
    </row>
    <row r="692" spans="4:4" x14ac:dyDescent="0.3">
      <c r="D692" s="72"/>
    </row>
    <row r="693" spans="4:4" x14ac:dyDescent="0.3">
      <c r="D693" s="72"/>
    </row>
    <row r="694" spans="4:4" x14ac:dyDescent="0.3">
      <c r="D694" s="72"/>
    </row>
    <row r="695" spans="4:4" x14ac:dyDescent="0.3">
      <c r="D695" s="72"/>
    </row>
    <row r="696" spans="4:4" x14ac:dyDescent="0.3">
      <c r="D696" s="72"/>
    </row>
    <row r="697" spans="4:4" x14ac:dyDescent="0.3">
      <c r="D697" s="72"/>
    </row>
    <row r="698" spans="4:4" x14ac:dyDescent="0.3">
      <c r="D698" s="72"/>
    </row>
    <row r="699" spans="4:4" x14ac:dyDescent="0.3">
      <c r="D699" s="72"/>
    </row>
    <row r="700" spans="4:4" x14ac:dyDescent="0.3">
      <c r="D700" s="72"/>
    </row>
    <row r="701" spans="4:4" x14ac:dyDescent="0.3">
      <c r="D701" s="72"/>
    </row>
    <row r="702" spans="4:4" x14ac:dyDescent="0.3">
      <c r="D702" s="72"/>
    </row>
    <row r="703" spans="4:4" x14ac:dyDescent="0.3">
      <c r="D703" s="72"/>
    </row>
    <row r="704" spans="4:4" x14ac:dyDescent="0.3">
      <c r="D704" s="72"/>
    </row>
    <row r="705" spans="4:4" x14ac:dyDescent="0.3">
      <c r="D705" s="72"/>
    </row>
    <row r="706" spans="4:4" x14ac:dyDescent="0.3">
      <c r="D706" s="72"/>
    </row>
    <row r="707" spans="4:4" x14ac:dyDescent="0.3">
      <c r="D707" s="72"/>
    </row>
    <row r="708" spans="4:4" x14ac:dyDescent="0.3">
      <c r="D708" s="72"/>
    </row>
    <row r="709" spans="4:4" x14ac:dyDescent="0.3">
      <c r="D709" s="72"/>
    </row>
    <row r="710" spans="4:4" x14ac:dyDescent="0.3">
      <c r="D710" s="72"/>
    </row>
    <row r="711" spans="4:4" x14ac:dyDescent="0.3">
      <c r="D711" s="72"/>
    </row>
    <row r="712" spans="4:4" x14ac:dyDescent="0.3">
      <c r="D712" s="72"/>
    </row>
    <row r="713" spans="4:4" x14ac:dyDescent="0.3">
      <c r="D713" s="72"/>
    </row>
    <row r="714" spans="4:4" x14ac:dyDescent="0.3">
      <c r="D714" s="72"/>
    </row>
  </sheetData>
  <sheetProtection formatCells="0" formatColumns="0" formatRows="0"/>
  <conditionalFormatting sqref="G33 G68:G69">
    <cfRule type="cellIs" dxfId="35" priority="93" stopIfTrue="1" operator="notEqual">
      <formula>0</formula>
    </cfRule>
  </conditionalFormatting>
  <conditionalFormatting sqref="G34">
    <cfRule type="cellIs" dxfId="34" priority="92" stopIfTrue="1" operator="notEqual">
      <formula>0</formula>
    </cfRule>
  </conditionalFormatting>
  <conditionalFormatting sqref="G51">
    <cfRule type="cellIs" dxfId="33" priority="91" stopIfTrue="1" operator="notEqual">
      <formula>0</formula>
    </cfRule>
  </conditionalFormatting>
  <conditionalFormatting sqref="G67">
    <cfRule type="cellIs" dxfId="32" priority="90" stopIfTrue="1" operator="notEqual">
      <formula>0</formula>
    </cfRule>
  </conditionalFormatting>
  <conditionalFormatting sqref="G89">
    <cfRule type="cellIs" dxfId="31" priority="88" stopIfTrue="1" operator="notEqual">
      <formula>0</formula>
    </cfRule>
  </conditionalFormatting>
  <conditionalFormatting sqref="G107">
    <cfRule type="cellIs" dxfId="30" priority="87" stopIfTrue="1" operator="notEqual">
      <formula>0</formula>
    </cfRule>
  </conditionalFormatting>
  <conditionalFormatting sqref="G120">
    <cfRule type="cellIs" dxfId="29" priority="86" stopIfTrue="1" operator="notEqual">
      <formula>0</formula>
    </cfRule>
  </conditionalFormatting>
  <conditionalFormatting sqref="G121">
    <cfRule type="cellIs" dxfId="28" priority="85" stopIfTrue="1" operator="notEqual">
      <formula>0</formula>
    </cfRule>
  </conditionalFormatting>
  <conditionalFormatting sqref="G136">
    <cfRule type="cellIs" dxfId="27" priority="84" stopIfTrue="1" operator="notEqual">
      <formula>0</formula>
    </cfRule>
  </conditionalFormatting>
  <conditionalFormatting sqref="G137">
    <cfRule type="cellIs" dxfId="26" priority="83" stopIfTrue="1" operator="notEqual">
      <formula>0</formula>
    </cfRule>
  </conditionalFormatting>
  <conditionalFormatting sqref="H203:H205">
    <cfRule type="cellIs" priority="79" stopIfTrue="1" operator="equal">
      <formula>";;;"</formula>
    </cfRule>
  </conditionalFormatting>
  <conditionalFormatting sqref="H203">
    <cfRule type="cellIs" dxfId="25" priority="78" stopIfTrue="1" operator="equal">
      <formula>0</formula>
    </cfRule>
  </conditionalFormatting>
  <conditionalFormatting sqref="H204">
    <cfRule type="cellIs" dxfId="24" priority="77" stopIfTrue="1" operator="equal">
      <formula>0</formula>
    </cfRule>
  </conditionalFormatting>
  <conditionalFormatting sqref="H205">
    <cfRule type="cellIs" dxfId="23" priority="76" stopIfTrue="1" operator="equal">
      <formula>0</formula>
    </cfRule>
  </conditionalFormatting>
  <conditionalFormatting sqref="H205">
    <cfRule type="cellIs" dxfId="22" priority="75" stopIfTrue="1" operator="equal">
      <formula>0</formula>
    </cfRule>
  </conditionalFormatting>
  <conditionalFormatting sqref="H203">
    <cfRule type="cellIs" dxfId="21" priority="74" stopIfTrue="1" operator="equal">
      <formula>0</formula>
    </cfRule>
  </conditionalFormatting>
  <conditionalFormatting sqref="G21">
    <cfRule type="cellIs" dxfId="20" priority="73" stopIfTrue="1" operator="notEqual">
      <formula>0</formula>
    </cfRule>
  </conditionalFormatting>
  <conditionalFormatting sqref="G7">
    <cfRule type="containsText" dxfId="19" priority="71" stopIfTrue="1" operator="containsText" text="Included in error count">
      <formula>NOT(ISERROR(SEARCH("Included in error count",G7)))</formula>
    </cfRule>
    <cfRule type="cellIs" dxfId="18" priority="72" stopIfTrue="1" operator="equal">
      <formula>1</formula>
    </cfRule>
  </conditionalFormatting>
  <conditionalFormatting sqref="G41">
    <cfRule type="containsText" dxfId="17" priority="69" stopIfTrue="1" operator="containsText" text="Included in error count">
      <formula>NOT(ISERROR(SEARCH("Included in error count",G41)))</formula>
    </cfRule>
    <cfRule type="cellIs" dxfId="16" priority="70" stopIfTrue="1" operator="equal">
      <formula>1</formula>
    </cfRule>
  </conditionalFormatting>
  <conditionalFormatting sqref="G76:G77">
    <cfRule type="containsText" dxfId="15" priority="67" stopIfTrue="1" operator="containsText" text="Included in error count">
      <formula>NOT(ISERROR(SEARCH("Included in error count",G76)))</formula>
    </cfRule>
    <cfRule type="cellIs" dxfId="14" priority="68" stopIfTrue="1" operator="equal">
      <formula>1</formula>
    </cfRule>
  </conditionalFormatting>
  <conditionalFormatting sqref="G78">
    <cfRule type="containsText" dxfId="13" priority="65" stopIfTrue="1" operator="containsText" text="Included in error count">
      <formula>NOT(ISERROR(SEARCH("Included in error count",G78)))</formula>
    </cfRule>
    <cfRule type="cellIs" dxfId="12" priority="66" stopIfTrue="1" operator="equal">
      <formula>1</formula>
    </cfRule>
  </conditionalFormatting>
  <conditionalFormatting sqref="G87">
    <cfRule type="containsText" dxfId="11" priority="61" stopIfTrue="1" operator="containsText" text="Included in error count">
      <formula>NOT(ISERROR(SEARCH("Included in error count",G87)))</formula>
    </cfRule>
    <cfRule type="cellIs" dxfId="10" priority="62" stopIfTrue="1" operator="equal">
      <formula>1</formula>
    </cfRule>
  </conditionalFormatting>
  <conditionalFormatting sqref="G109">
    <cfRule type="containsText" dxfId="9" priority="57" stopIfTrue="1" operator="containsText" text="Included in error count">
      <formula>NOT(ISERROR(SEARCH("Included in error count",G109)))</formula>
    </cfRule>
    <cfRule type="cellIs" dxfId="8" priority="58" stopIfTrue="1" operator="equal">
      <formula>1</formula>
    </cfRule>
  </conditionalFormatting>
  <conditionalFormatting sqref="G203">
    <cfRule type="containsText" dxfId="7" priority="46" stopIfTrue="1" operator="containsText" text="Included in error count">
      <formula>NOT(ISERROR(SEARCH("Included in error count",G203)))</formula>
    </cfRule>
    <cfRule type="cellIs" dxfId="6" priority="47" stopIfTrue="1" operator="equal">
      <formula>1</formula>
    </cfRule>
  </conditionalFormatting>
  <conditionalFormatting sqref="G204">
    <cfRule type="containsText" dxfId="5" priority="44" stopIfTrue="1" operator="containsText" text="Included in error count">
      <formula>NOT(ISERROR(SEARCH("Included in error count",G204)))</formula>
    </cfRule>
    <cfRule type="cellIs" dxfId="4" priority="45" stopIfTrue="1" operator="equal">
      <formula>1</formula>
    </cfRule>
  </conditionalFormatting>
  <conditionalFormatting sqref="G205">
    <cfRule type="containsText" dxfId="3" priority="42" stopIfTrue="1" operator="containsText" text="Included in error count">
      <formula>NOT(ISERROR(SEARCH("Included in error count",G205)))</formula>
    </cfRule>
    <cfRule type="cellIs" dxfId="2" priority="43" stopIfTrue="1" operator="equal">
      <formula>1</formula>
    </cfRule>
  </conditionalFormatting>
  <conditionalFormatting sqref="G125">
    <cfRule type="containsText" dxfId="1" priority="40" stopIfTrue="1" operator="containsText" text="Included in error count">
      <formula>NOT(ISERROR(SEARCH("Included in error count",G125)))</formula>
    </cfRule>
    <cfRule type="cellIs" dxfId="0"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F2351-DC4A-4941-82DA-8C63291B538C}">
  <sheetPr codeName="Sheet7">
    <pageSetUpPr fitToPage="1"/>
  </sheetPr>
  <dimension ref="B1:R32"/>
  <sheetViews>
    <sheetView showGridLines="0" zoomScaleNormal="100" workbookViewId="0">
      <selection activeCell="B2" sqref="B2:D2"/>
    </sheetView>
  </sheetViews>
  <sheetFormatPr defaultColWidth="9.109375" defaultRowHeight="14.4" x14ac:dyDescent="0.3"/>
  <cols>
    <col min="1" max="1" width="2" style="180" customWidth="1"/>
    <col min="2" max="2" width="96.33203125" style="180" customWidth="1"/>
    <col min="3" max="3" width="2" style="180" customWidth="1"/>
    <col min="4" max="4" width="17.6640625" style="180" customWidth="1"/>
    <col min="5" max="5" width="9.33203125" style="180" customWidth="1"/>
    <col min="6" max="6" width="14.109375" style="155" customWidth="1"/>
    <col min="7" max="7" width="50.44140625" style="524" customWidth="1"/>
    <col min="8" max="8" width="44.33203125" style="180" customWidth="1"/>
    <col min="9" max="9" width="9.109375" style="180"/>
    <col min="10" max="10" width="36.6640625" style="180" customWidth="1"/>
    <col min="11" max="12" width="28.88671875" style="180" customWidth="1"/>
    <col min="13" max="13" width="9.109375" style="180"/>
    <col min="14" max="14" width="16.6640625" style="180" customWidth="1"/>
    <col min="15" max="15" width="22.5546875" style="180" customWidth="1"/>
    <col min="16" max="16" width="23.44140625" style="180" customWidth="1"/>
    <col min="17" max="17" width="9.109375" style="180"/>
    <col min="18" max="18" width="26.33203125" style="180" customWidth="1"/>
    <col min="19" max="16384" width="9.109375" style="180"/>
  </cols>
  <sheetData>
    <row r="1" spans="2:8" ht="42.6" customHeight="1" x14ac:dyDescent="0.35">
      <c r="B1" s="700" t="s">
        <v>1523</v>
      </c>
      <c r="C1" s="700"/>
      <c r="D1" s="700"/>
    </row>
    <row r="2" spans="2:8" ht="27" customHeight="1" x14ac:dyDescent="0.3">
      <c r="B2" s="1168"/>
      <c r="C2" s="1168"/>
      <c r="D2" s="1168"/>
    </row>
    <row r="3" spans="2:8" ht="26.4" customHeight="1" x14ac:dyDescent="0.35">
      <c r="B3" s="689" t="str">
        <f>'Unit Data from Audit Worksheet'!D2</f>
        <v>Select Unit Name from Drop Down List</v>
      </c>
      <c r="C3" s="565"/>
      <c r="D3" s="690">
        <v>2024</v>
      </c>
      <c r="F3" s="703" t="s">
        <v>1524</v>
      </c>
      <c r="G3" s="704" t="s">
        <v>41</v>
      </c>
    </row>
    <row r="4" spans="2:8" ht="18.600000000000001" customHeight="1" x14ac:dyDescent="0.3">
      <c r="B4" s="691" t="s">
        <v>71</v>
      </c>
      <c r="C4" s="263"/>
    </row>
    <row r="5" spans="2:8" ht="19.2" customHeight="1" x14ac:dyDescent="0.3">
      <c r="B5" s="603" t="s">
        <v>1502</v>
      </c>
      <c r="C5" s="603"/>
      <c r="D5" s="266"/>
    </row>
    <row r="6" spans="2:8" ht="19.95" customHeight="1" x14ac:dyDescent="0.3">
      <c r="B6" s="677" t="s">
        <v>1518</v>
      </c>
      <c r="C6" s="677"/>
      <c r="D6" s="693">
        <f>Import!L38</f>
        <v>0</v>
      </c>
      <c r="F6" s="673">
        <v>506</v>
      </c>
      <c r="G6" s="524" t="s">
        <v>189</v>
      </c>
    </row>
    <row r="7" spans="2:8" ht="19.95" customHeight="1" x14ac:dyDescent="0.3">
      <c r="B7" s="677" t="s">
        <v>1503</v>
      </c>
      <c r="C7" s="677"/>
      <c r="D7" s="694">
        <f>Import!L39</f>
        <v>0</v>
      </c>
      <c r="F7" s="673">
        <v>536</v>
      </c>
      <c r="G7" s="524" t="s">
        <v>190</v>
      </c>
    </row>
    <row r="8" spans="2:8" ht="19.95" customHeight="1" x14ac:dyDescent="0.3">
      <c r="B8" s="677" t="s">
        <v>1504</v>
      </c>
      <c r="C8" s="677"/>
      <c r="D8" s="694">
        <f>Import!L69</f>
        <v>0</v>
      </c>
      <c r="F8" s="558">
        <v>647</v>
      </c>
      <c r="G8" s="620" t="s">
        <v>792</v>
      </c>
    </row>
    <row r="9" spans="2:8" ht="19.95" customHeight="1" x14ac:dyDescent="0.3">
      <c r="B9" s="683" t="s">
        <v>1522</v>
      </c>
      <c r="C9" s="684"/>
      <c r="D9" s="694">
        <f>-Import!L48</f>
        <v>0</v>
      </c>
      <c r="F9" s="685">
        <v>11</v>
      </c>
      <c r="G9" s="686" t="s">
        <v>194</v>
      </c>
    </row>
    <row r="10" spans="2:8" ht="19.95" customHeight="1" x14ac:dyDescent="0.3">
      <c r="B10" s="604" t="s">
        <v>1421</v>
      </c>
      <c r="C10" s="604"/>
      <c r="D10" s="695"/>
    </row>
    <row r="11" spans="2:8" ht="19.95" customHeight="1" x14ac:dyDescent="0.3">
      <c r="B11" s="677" t="s">
        <v>1505</v>
      </c>
      <c r="C11" s="677"/>
      <c r="D11" s="696">
        <f>Import!L43</f>
        <v>0</v>
      </c>
      <c r="F11" s="155">
        <v>4</v>
      </c>
      <c r="G11" s="524" t="s">
        <v>1506</v>
      </c>
    </row>
    <row r="12" spans="2:8" ht="19.95" customHeight="1" x14ac:dyDescent="0.3">
      <c r="B12" s="677" t="s">
        <v>1422</v>
      </c>
      <c r="C12" s="677"/>
      <c r="D12" s="696">
        <f>Import!L196</f>
        <v>0</v>
      </c>
      <c r="F12" s="155">
        <v>6</v>
      </c>
      <c r="G12" s="524" t="s">
        <v>251</v>
      </c>
    </row>
    <row r="13" spans="2:8" ht="19.95" customHeight="1" x14ac:dyDescent="0.3">
      <c r="B13" s="677" t="s">
        <v>1507</v>
      </c>
      <c r="C13" s="677"/>
      <c r="D13" s="697">
        <f>Import!L44</f>
        <v>0</v>
      </c>
      <c r="F13" s="155">
        <v>5</v>
      </c>
      <c r="G13" s="524" t="s">
        <v>1508</v>
      </c>
    </row>
    <row r="14" spans="2:8" ht="24.6" customHeight="1" thickBot="1" x14ac:dyDescent="0.35">
      <c r="B14" s="678" t="s">
        <v>1520</v>
      </c>
      <c r="C14" s="677"/>
      <c r="D14" s="701">
        <f>SUM(D6:D9)-SUM(D11:D13)</f>
        <v>0</v>
      </c>
      <c r="E14" s="679"/>
      <c r="F14" s="155" t="s">
        <v>1494</v>
      </c>
      <c r="G14" s="687" t="s">
        <v>1876</v>
      </c>
      <c r="H14" s="716"/>
    </row>
    <row r="15" spans="2:8" ht="19.95" customHeight="1" thickTop="1" x14ac:dyDescent="0.3">
      <c r="B15" s="19"/>
      <c r="C15" s="19"/>
      <c r="D15" s="606"/>
    </row>
    <row r="16" spans="2:8" ht="19.95" customHeight="1" x14ac:dyDescent="0.3">
      <c r="B16" s="603"/>
      <c r="C16" s="603"/>
      <c r="D16" s="607"/>
    </row>
    <row r="17" spans="2:18" ht="19.95" customHeight="1" x14ac:dyDescent="0.3">
      <c r="B17" s="19" t="s">
        <v>1423</v>
      </c>
      <c r="C17" s="19"/>
      <c r="D17" s="266"/>
    </row>
    <row r="18" spans="2:18" ht="19.95" customHeight="1" x14ac:dyDescent="0.3">
      <c r="B18" s="677" t="s">
        <v>1509</v>
      </c>
      <c r="C18" s="677"/>
      <c r="D18" s="698">
        <f>Import!L59</f>
        <v>0</v>
      </c>
      <c r="F18" s="155">
        <v>532</v>
      </c>
      <c r="G18" s="524" t="s">
        <v>887</v>
      </c>
    </row>
    <row r="19" spans="2:18" ht="13.95" customHeight="1" x14ac:dyDescent="0.3">
      <c r="C19" s="19"/>
      <c r="D19" s="696"/>
    </row>
    <row r="20" spans="2:18" ht="16.95" customHeight="1" x14ac:dyDescent="0.3">
      <c r="B20" s="19" t="s">
        <v>1424</v>
      </c>
      <c r="C20" s="19"/>
      <c r="D20" s="696"/>
    </row>
    <row r="21" spans="2:18" ht="19.95" customHeight="1" x14ac:dyDescent="0.3">
      <c r="B21" s="677" t="s">
        <v>1510</v>
      </c>
      <c r="C21" s="677"/>
      <c r="D21" s="699">
        <f>Import!L62</f>
        <v>0</v>
      </c>
      <c r="F21" s="155">
        <v>20</v>
      </c>
      <c r="G21" s="524" t="s">
        <v>1511</v>
      </c>
    </row>
    <row r="22" spans="2:18" ht="33.6" customHeight="1" x14ac:dyDescent="0.3">
      <c r="B22" s="677" t="s">
        <v>1512</v>
      </c>
      <c r="C22" s="677"/>
      <c r="D22" s="696">
        <f>Import!L65</f>
        <v>0</v>
      </c>
      <c r="F22" s="155">
        <v>509</v>
      </c>
      <c r="G22" s="524" t="s">
        <v>288</v>
      </c>
    </row>
    <row r="23" spans="2:18" ht="28.95" customHeight="1" x14ac:dyDescent="0.3">
      <c r="B23" s="677" t="s">
        <v>1513</v>
      </c>
      <c r="C23" s="677"/>
      <c r="D23" s="699">
        <f>Import!L63</f>
        <v>0</v>
      </c>
      <c r="F23" s="155">
        <v>533</v>
      </c>
      <c r="G23" s="524" t="s">
        <v>888</v>
      </c>
    </row>
    <row r="24" spans="2:18" ht="38.4" customHeight="1" x14ac:dyDescent="0.3">
      <c r="B24" s="677" t="s">
        <v>1514</v>
      </c>
      <c r="C24" s="677"/>
      <c r="D24" s="699">
        <f>Import!L64</f>
        <v>0</v>
      </c>
      <c r="F24" s="155">
        <v>508</v>
      </c>
      <c r="G24" s="524" t="s">
        <v>290</v>
      </c>
    </row>
    <row r="25" spans="2:18" ht="39" customHeight="1" x14ac:dyDescent="0.3">
      <c r="B25" s="683" t="s">
        <v>1519</v>
      </c>
      <c r="C25" s="677"/>
      <c r="D25" s="715">
        <f>Import!L60</f>
        <v>0</v>
      </c>
      <c r="F25" s="685">
        <v>1050</v>
      </c>
      <c r="G25" s="692" t="s">
        <v>1437</v>
      </c>
    </row>
    <row r="26" spans="2:18" ht="25.95" customHeight="1" thickBot="1" x14ac:dyDescent="0.35">
      <c r="B26" s="678" t="s">
        <v>1515</v>
      </c>
      <c r="C26" s="680"/>
      <c r="D26" s="702">
        <f>D18+D21+D22-D23-D24-D25</f>
        <v>0</v>
      </c>
      <c r="F26" s="155" t="s">
        <v>1494</v>
      </c>
      <c r="G26" s="687" t="s">
        <v>1521</v>
      </c>
    </row>
    <row r="27" spans="2:18" ht="19.95" customHeight="1" thickTop="1" x14ac:dyDescent="0.3">
      <c r="B27" s="266"/>
      <c r="C27" s="266"/>
      <c r="D27" s="266"/>
    </row>
    <row r="28" spans="2:18" s="525" customFormat="1" ht="40.950000000000003" customHeight="1" thickBot="1" x14ac:dyDescent="0.35">
      <c r="B28" s="678" t="s">
        <v>1516</v>
      </c>
      <c r="C28" s="680"/>
      <c r="D28" s="608" t="e">
        <f>D14/D26</f>
        <v>#DIV/0!</v>
      </c>
      <c r="F28" s="155" t="s">
        <v>1494</v>
      </c>
      <c r="G28" s="688" t="s">
        <v>1517</v>
      </c>
      <c r="I28" s="180"/>
      <c r="J28" s="180"/>
      <c r="K28" s="180"/>
      <c r="L28" s="180"/>
      <c r="M28" s="180"/>
      <c r="N28" s="180"/>
      <c r="O28" s="180"/>
      <c r="P28" s="180"/>
      <c r="Q28" s="180"/>
      <c r="R28" s="180"/>
    </row>
    <row r="29" spans="2:18" s="525" customFormat="1" ht="15" thickTop="1" x14ac:dyDescent="0.3">
      <c r="B29" s="604"/>
      <c r="C29" s="604"/>
      <c r="D29" s="681"/>
      <c r="F29" s="155"/>
      <c r="G29" s="688"/>
      <c r="I29" s="180"/>
      <c r="J29" s="180"/>
      <c r="K29" s="180"/>
      <c r="L29" s="180"/>
      <c r="M29" s="180"/>
      <c r="N29" s="180"/>
      <c r="O29" s="180"/>
      <c r="P29" s="180"/>
      <c r="Q29" s="180"/>
      <c r="R29" s="180"/>
    </row>
    <row r="30" spans="2:18" s="525" customFormat="1" x14ac:dyDescent="0.3">
      <c r="B30" s="604"/>
      <c r="C30" s="604"/>
      <c r="D30" s="681"/>
      <c r="F30" s="155"/>
      <c r="G30" s="688"/>
      <c r="I30" s="180"/>
      <c r="J30" s="180"/>
      <c r="K30" s="180"/>
      <c r="L30" s="180"/>
      <c r="M30" s="180"/>
      <c r="N30" s="180"/>
      <c r="O30" s="180"/>
      <c r="P30" s="180"/>
      <c r="Q30" s="180"/>
      <c r="R30" s="180"/>
    </row>
    <row r="31" spans="2:18" s="525" customFormat="1" x14ac:dyDescent="0.3">
      <c r="B31" s="682"/>
      <c r="C31" s="682"/>
      <c r="D31" s="681"/>
      <c r="F31" s="155"/>
      <c r="G31" s="688"/>
      <c r="I31" s="180"/>
      <c r="J31" s="180"/>
      <c r="K31" s="180"/>
      <c r="L31" s="180"/>
      <c r="M31" s="180"/>
      <c r="N31" s="180"/>
      <c r="O31" s="180"/>
      <c r="P31" s="180"/>
      <c r="Q31" s="180"/>
      <c r="R31" s="180"/>
    </row>
    <row r="32" spans="2:18" x14ac:dyDescent="0.3">
      <c r="B32" s="580"/>
      <c r="C32" s="580"/>
      <c r="D32" s="605"/>
    </row>
  </sheetData>
  <sheetProtection algorithmName="SHA-512" hashValue="7P8Ak6NvN9rweevc0IGXjIzY530/Bm4pWul+aASASZzPXDNpQdFIUPrQIW8O/Nj6xf3KyosPjW2d9lT7rseypg==" saltValue="gArMGXj2mAbCcw7mRFThjQ==" spinCount="100000" sheet="1" formatCells="0" formatColumns="0" formatRows="0"/>
  <mergeCells count="1">
    <mergeCell ref="B2:D2"/>
  </mergeCells>
  <pageMargins left="0.7" right="0.7" top="0.75" bottom="0.75" header="0.3" footer="0.3"/>
  <pageSetup scale="3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6C0C6-2C11-4A6E-9750-DEA167FE6AF6}">
  <sheetPr codeName="Sheet14">
    <pageSetUpPr fitToPage="1"/>
  </sheetPr>
  <dimension ref="A2:K43"/>
  <sheetViews>
    <sheetView workbookViewId="0">
      <selection activeCell="B3" sqref="B3"/>
    </sheetView>
  </sheetViews>
  <sheetFormatPr defaultColWidth="9.109375" defaultRowHeight="14.4" x14ac:dyDescent="0.3"/>
  <cols>
    <col min="1" max="1" width="4.6640625" style="180" customWidth="1"/>
    <col min="2" max="2" width="77.33203125" style="180" customWidth="1"/>
    <col min="3" max="3" width="20.33203125" style="180" customWidth="1"/>
    <col min="4" max="4" width="3.6640625" style="180" customWidth="1"/>
    <col min="5" max="5" width="20.33203125" style="180" customWidth="1"/>
    <col min="6" max="6" width="6.33203125" style="180" customWidth="1"/>
    <col min="7" max="7" width="17.33203125" style="180" customWidth="1"/>
    <col min="8" max="8" width="34.6640625" style="180" customWidth="1"/>
    <col min="9" max="9" width="17.109375" style="155" customWidth="1"/>
    <col min="10" max="10" width="21.109375" style="180" customWidth="1"/>
    <col min="11" max="11" width="18.33203125" style="180" customWidth="1"/>
    <col min="12" max="12" width="19.88671875" style="180" customWidth="1"/>
    <col min="13" max="13" width="17.6640625" style="180" customWidth="1"/>
    <col min="14" max="16384" width="9.109375" style="180"/>
  </cols>
  <sheetData>
    <row r="2" spans="1:11" ht="14.4" customHeight="1" x14ac:dyDescent="0.3">
      <c r="B2" s="1169" t="s">
        <v>104</v>
      </c>
      <c r="C2" s="1169"/>
      <c r="D2" s="1169"/>
      <c r="E2" s="1169"/>
      <c r="F2" s="602"/>
      <c r="G2" s="259"/>
    </row>
    <row r="4" spans="1:11" ht="15.6" x14ac:dyDescent="0.3">
      <c r="A4" s="259"/>
      <c r="B4" s="260" t="str">
        <f>'Unit Data from Audit Worksheet'!D2</f>
        <v>Select Unit Name from Drop Down List</v>
      </c>
      <c r="C4" s="675">
        <f>'Unit Data from Audit Worksheet'!F5</f>
        <v>2024</v>
      </c>
      <c r="E4" s="665">
        <f>'Unit Data from Audit Worksheet'!F5</f>
        <v>2024</v>
      </c>
    </row>
    <row r="5" spans="1:11" ht="27.6" x14ac:dyDescent="0.4">
      <c r="A5" s="262"/>
      <c r="B5" s="263" t="s">
        <v>71</v>
      </c>
      <c r="C5" s="261" t="s">
        <v>72</v>
      </c>
      <c r="D5" s="262"/>
      <c r="E5" s="264" t="s">
        <v>73</v>
      </c>
      <c r="G5" s="155"/>
      <c r="I5" s="180"/>
    </row>
    <row r="6" spans="1:11" x14ac:dyDescent="0.3">
      <c r="A6" s="259"/>
      <c r="B6" s="265" t="s">
        <v>74</v>
      </c>
      <c r="C6" s="266"/>
      <c r="D6" s="266"/>
      <c r="E6" s="266"/>
      <c r="G6" s="155"/>
      <c r="I6" s="180"/>
    </row>
    <row r="7" spans="1:11" x14ac:dyDescent="0.3">
      <c r="A7" s="259"/>
      <c r="B7" s="666" t="s">
        <v>1491</v>
      </c>
      <c r="C7" s="693">
        <f>Import!L38</f>
        <v>0</v>
      </c>
      <c r="D7" s="267"/>
      <c r="E7" s="693">
        <f>C7</f>
        <v>0</v>
      </c>
      <c r="G7" s="667">
        <v>506</v>
      </c>
      <c r="H7" s="668" t="s">
        <v>189</v>
      </c>
      <c r="I7" s="180"/>
    </row>
    <row r="8" spans="1:11" x14ac:dyDescent="0.3">
      <c r="A8" s="259"/>
      <c r="B8" s="666" t="s">
        <v>1492</v>
      </c>
      <c r="C8" s="695">
        <f>Import!L39</f>
        <v>0</v>
      </c>
      <c r="D8" s="268"/>
      <c r="E8" s="268"/>
      <c r="G8" s="667">
        <v>536</v>
      </c>
      <c r="H8" s="668" t="s">
        <v>190</v>
      </c>
      <c r="I8" s="180"/>
    </row>
    <row r="9" spans="1:11" x14ac:dyDescent="0.3">
      <c r="A9" s="259"/>
      <c r="B9" s="666" t="s">
        <v>173</v>
      </c>
      <c r="C9" s="730">
        <f>Import!L43</f>
        <v>0</v>
      </c>
      <c r="D9" s="268"/>
      <c r="E9" s="730">
        <f>C9</f>
        <v>0</v>
      </c>
      <c r="G9" s="667">
        <v>4</v>
      </c>
      <c r="H9" s="668" t="s">
        <v>111</v>
      </c>
      <c r="I9" s="180"/>
    </row>
    <row r="10" spans="1:11" x14ac:dyDescent="0.3">
      <c r="A10" s="259"/>
      <c r="B10" s="666" t="s">
        <v>75</v>
      </c>
      <c r="C10" s="696">
        <f>Import!L196</f>
        <v>0</v>
      </c>
      <c r="D10" s="268"/>
      <c r="E10" s="730">
        <f>C10</f>
        <v>0</v>
      </c>
      <c r="G10" s="667">
        <v>6</v>
      </c>
      <c r="H10" s="668" t="s">
        <v>251</v>
      </c>
      <c r="I10" s="180"/>
    </row>
    <row r="11" spans="1:11" x14ac:dyDescent="0.3">
      <c r="A11" s="259"/>
      <c r="B11" s="666" t="s">
        <v>76</v>
      </c>
      <c r="C11" s="697">
        <f>Import!L44</f>
        <v>0</v>
      </c>
      <c r="D11" s="269"/>
      <c r="E11" s="730">
        <f>C11</f>
        <v>0</v>
      </c>
      <c r="G11" s="667">
        <v>5</v>
      </c>
      <c r="H11" s="668" t="s">
        <v>112</v>
      </c>
      <c r="I11" s="180"/>
    </row>
    <row r="12" spans="1:11" x14ac:dyDescent="0.3">
      <c r="A12" s="19"/>
      <c r="B12" s="666" t="s">
        <v>77</v>
      </c>
      <c r="C12" s="731">
        <f>C7+C8-SUM(C9:C11)</f>
        <v>0</v>
      </c>
      <c r="E12" s="731">
        <f>E7-SUM(E9:E11)</f>
        <v>0</v>
      </c>
      <c r="G12" s="667" t="s">
        <v>1501</v>
      </c>
      <c r="H12" s="669" t="s">
        <v>1536</v>
      </c>
      <c r="I12" s="668" t="s">
        <v>1539</v>
      </c>
      <c r="J12" s="669" t="s">
        <v>1540</v>
      </c>
      <c r="K12" s="670"/>
    </row>
    <row r="13" spans="1:11" x14ac:dyDescent="0.3">
      <c r="A13" s="259"/>
      <c r="B13" s="259"/>
      <c r="C13" s="266"/>
      <c r="D13" s="266"/>
      <c r="E13" s="266"/>
      <c r="G13" s="667"/>
      <c r="H13" s="668"/>
      <c r="I13" s="180"/>
    </row>
    <row r="14" spans="1:11" x14ac:dyDescent="0.3">
      <c r="A14" s="259"/>
      <c r="B14" s="666" t="s">
        <v>1493</v>
      </c>
      <c r="C14" s="732">
        <f>Import!L51</f>
        <v>0</v>
      </c>
      <c r="D14" s="266"/>
      <c r="E14" s="266"/>
      <c r="G14" s="667">
        <v>9</v>
      </c>
      <c r="H14" s="668" t="s">
        <v>195</v>
      </c>
      <c r="I14" s="180"/>
    </row>
    <row r="15" spans="1:11" x14ac:dyDescent="0.3">
      <c r="A15" s="259"/>
      <c r="B15" s="666" t="s">
        <v>78</v>
      </c>
      <c r="C15" s="733">
        <f>C14-C12</f>
        <v>0</v>
      </c>
      <c r="D15" s="266"/>
      <c r="E15" s="266"/>
      <c r="G15" s="667" t="s">
        <v>1501</v>
      </c>
      <c r="H15" s="669" t="s">
        <v>1537</v>
      </c>
      <c r="I15" s="671"/>
    </row>
    <row r="16" spans="1:11" x14ac:dyDescent="0.3">
      <c r="A16" s="259"/>
      <c r="B16" s="270" t="s">
        <v>79</v>
      </c>
      <c r="C16" s="266"/>
      <c r="D16" s="266"/>
      <c r="E16" s="266"/>
      <c r="G16" s="667"/>
      <c r="H16" s="668"/>
      <c r="I16" s="180"/>
    </row>
    <row r="17" spans="1:9" x14ac:dyDescent="0.3">
      <c r="A17" s="271" t="s">
        <v>80</v>
      </c>
      <c r="B17" s="666" t="s">
        <v>1495</v>
      </c>
      <c r="C17" s="733">
        <f>Import!L47</f>
        <v>0</v>
      </c>
      <c r="D17" s="266"/>
      <c r="E17" s="266"/>
      <c r="G17" s="667">
        <v>7</v>
      </c>
      <c r="H17" s="668" t="s">
        <v>193</v>
      </c>
      <c r="I17" s="180"/>
    </row>
    <row r="18" spans="1:9" ht="15" thickBot="1" x14ac:dyDescent="0.35">
      <c r="B18" s="666" t="s">
        <v>81</v>
      </c>
      <c r="C18" s="734">
        <f>(C15-SUM(C17:C17))</f>
        <v>0</v>
      </c>
      <c r="D18" s="266"/>
      <c r="E18" s="266"/>
      <c r="G18" s="667" t="s">
        <v>1501</v>
      </c>
      <c r="H18" s="669" t="s">
        <v>1538</v>
      </c>
      <c r="I18" s="180"/>
    </row>
    <row r="19" spans="1:9" ht="15" thickTop="1" x14ac:dyDescent="0.3">
      <c r="B19" s="259"/>
      <c r="C19" s="266"/>
      <c r="D19" s="266"/>
      <c r="E19" s="266"/>
      <c r="G19" s="667"/>
      <c r="H19" s="668"/>
      <c r="I19" s="180"/>
    </row>
    <row r="20" spans="1:9" ht="15" thickBot="1" x14ac:dyDescent="0.35">
      <c r="B20" s="666" t="s">
        <v>1496</v>
      </c>
      <c r="C20" s="735">
        <f>Import!L46</f>
        <v>0</v>
      </c>
      <c r="D20" s="266"/>
      <c r="E20" s="266"/>
      <c r="G20" s="667">
        <v>391</v>
      </c>
      <c r="H20" s="668" t="s">
        <v>192</v>
      </c>
      <c r="I20" s="180"/>
    </row>
    <row r="21" spans="1:9" ht="15.6" thickTop="1" thickBot="1" x14ac:dyDescent="0.35">
      <c r="B21" s="272" t="str">
        <f>IF(C18&gt;C20, "Restricted-Stabilization by State Statute understated by ",IF(C20&gt;C18, "Restricted-Stabilization by State Statute overstated by ","Restricted-Stabilization by State Statutue Reportedly Correctly. "))</f>
        <v xml:space="preserve">Restricted-Stabilization by State Statutue Reportedly Correctly. </v>
      </c>
      <c r="C21" s="736">
        <f>ABS(C18-C20)</f>
        <v>0</v>
      </c>
      <c r="D21" s="266"/>
      <c r="E21" s="266"/>
      <c r="G21" s="155"/>
      <c r="I21" s="180"/>
    </row>
    <row r="22" spans="1:9" ht="15" thickTop="1" x14ac:dyDescent="0.3">
      <c r="B22" s="672" t="str">
        <f>IF(C18&gt;C20,"Since Restricted-Stabilization by State Statute was understated, verfiy that the unit did not appropriate fund balance in excess of legal amount available in row 12 above.","")</f>
        <v/>
      </c>
      <c r="C22" s="672"/>
      <c r="D22" s="672"/>
      <c r="E22" s="672"/>
      <c r="F22" s="266"/>
      <c r="G22" s="266"/>
    </row>
    <row r="23" spans="1:9" x14ac:dyDescent="0.3">
      <c r="B23" s="270" t="s">
        <v>82</v>
      </c>
      <c r="C23" s="266"/>
      <c r="D23" s="266"/>
      <c r="E23" s="273" t="s">
        <v>83</v>
      </c>
      <c r="G23" s="155"/>
      <c r="I23" s="180"/>
    </row>
    <row r="24" spans="1:9" x14ac:dyDescent="0.3">
      <c r="B24" s="270"/>
      <c r="C24" s="261" t="s">
        <v>84</v>
      </c>
      <c r="D24" s="266"/>
      <c r="E24" s="261" t="s">
        <v>91</v>
      </c>
      <c r="G24" s="155"/>
      <c r="I24" s="180"/>
    </row>
    <row r="25" spans="1:9" x14ac:dyDescent="0.3">
      <c r="B25" s="265" t="s">
        <v>85</v>
      </c>
      <c r="C25" s="266"/>
      <c r="D25" s="266"/>
      <c r="E25" s="266"/>
      <c r="G25" s="155"/>
      <c r="I25" s="180"/>
    </row>
    <row r="26" spans="1:9" x14ac:dyDescent="0.3">
      <c r="B26" s="666" t="s">
        <v>86</v>
      </c>
      <c r="C26" s="693">
        <f>Import!L59</f>
        <v>0</v>
      </c>
      <c r="D26" s="267"/>
      <c r="E26" s="693">
        <f>C26</f>
        <v>0</v>
      </c>
      <c r="G26" s="673">
        <v>532</v>
      </c>
      <c r="H26" s="676" t="s">
        <v>199</v>
      </c>
      <c r="I26" s="180"/>
    </row>
    <row r="27" spans="1:9" x14ac:dyDescent="0.3">
      <c r="B27" s="265" t="s">
        <v>87</v>
      </c>
      <c r="C27" s="266"/>
      <c r="D27" s="266"/>
      <c r="E27" s="266"/>
      <c r="G27" s="155"/>
      <c r="H27" s="668"/>
      <c r="I27" s="180"/>
    </row>
    <row r="28" spans="1:9" x14ac:dyDescent="0.3">
      <c r="B28" s="666" t="s">
        <v>88</v>
      </c>
      <c r="C28" s="695">
        <f>Import!L62</f>
        <v>0</v>
      </c>
      <c r="D28" s="268"/>
      <c r="E28" s="695">
        <f>C28</f>
        <v>0</v>
      </c>
      <c r="G28" s="673">
        <v>20</v>
      </c>
      <c r="H28" s="668" t="s">
        <v>201</v>
      </c>
      <c r="I28" s="180"/>
    </row>
    <row r="29" spans="1:9" ht="41.4" x14ac:dyDescent="0.3">
      <c r="B29" s="666" t="s">
        <v>1497</v>
      </c>
      <c r="C29" s="695">
        <f>Import!L65</f>
        <v>0</v>
      </c>
      <c r="D29" s="268"/>
      <c r="E29" s="695">
        <f>C29</f>
        <v>0</v>
      </c>
      <c r="G29" s="929">
        <v>509</v>
      </c>
      <c r="H29" s="930" t="s">
        <v>288</v>
      </c>
      <c r="I29" s="180"/>
    </row>
    <row r="30" spans="1:9" ht="21" customHeight="1" x14ac:dyDescent="0.3">
      <c r="B30" s="666" t="s">
        <v>89</v>
      </c>
      <c r="C30" s="695">
        <f>Import!L63</f>
        <v>0</v>
      </c>
      <c r="D30" s="268"/>
      <c r="E30" s="695">
        <f>C30</f>
        <v>0</v>
      </c>
      <c r="G30" s="929">
        <v>533</v>
      </c>
      <c r="H30" s="930" t="s">
        <v>888</v>
      </c>
      <c r="I30" s="180"/>
    </row>
    <row r="31" spans="1:9" ht="41.4" x14ac:dyDescent="0.3">
      <c r="B31" s="666" t="s">
        <v>1498</v>
      </c>
      <c r="C31" s="695">
        <f>Import!L64</f>
        <v>0</v>
      </c>
      <c r="D31" s="268"/>
      <c r="E31" s="695">
        <f>C31</f>
        <v>0</v>
      </c>
      <c r="G31" s="929">
        <v>508</v>
      </c>
      <c r="H31" s="930" t="s">
        <v>290</v>
      </c>
      <c r="I31" s="180"/>
    </row>
    <row r="32" spans="1:9" ht="16.95" customHeight="1" thickBot="1" x14ac:dyDescent="0.35">
      <c r="B32" s="674" t="s">
        <v>1499</v>
      </c>
      <c r="C32" s="737">
        <f>C26+C28+C29-C30-C31</f>
        <v>0</v>
      </c>
      <c r="D32" s="267"/>
      <c r="E32" s="737">
        <f>E26+E28+E29-E30-E31</f>
        <v>0</v>
      </c>
      <c r="G32" s="667" t="s">
        <v>1501</v>
      </c>
      <c r="H32" s="670" t="s">
        <v>1500</v>
      </c>
      <c r="I32" s="180"/>
    </row>
    <row r="33" spans="1:9" ht="15" thickTop="1" x14ac:dyDescent="0.3">
      <c r="B33" s="266"/>
      <c r="C33" s="266"/>
      <c r="D33" s="266"/>
      <c r="E33" s="266"/>
      <c r="G33" s="155"/>
      <c r="I33" s="180"/>
    </row>
    <row r="34" spans="1:9" ht="15" thickBot="1" x14ac:dyDescent="0.35">
      <c r="B34" s="674" t="s">
        <v>90</v>
      </c>
      <c r="C34" s="274" t="e">
        <f>C12/C32</f>
        <v>#DIV/0!</v>
      </c>
      <c r="D34" s="266"/>
      <c r="E34" s="274" t="e">
        <f>E12/E32</f>
        <v>#DIV/0!</v>
      </c>
      <c r="G34" s="155"/>
      <c r="I34" s="180"/>
    </row>
    <row r="35" spans="1:9" ht="15" thickTop="1" x14ac:dyDescent="0.3">
      <c r="C35" s="266"/>
      <c r="D35" s="266"/>
      <c r="E35" s="266"/>
      <c r="G35" s="155"/>
      <c r="I35" s="180"/>
    </row>
    <row r="36" spans="1:9" ht="15.6" x14ac:dyDescent="0.3">
      <c r="A36" s="20"/>
    </row>
    <row r="38" spans="1:9" x14ac:dyDescent="0.3">
      <c r="E38" s="527"/>
    </row>
    <row r="39" spans="1:9" x14ac:dyDescent="0.3">
      <c r="E39" s="122"/>
    </row>
    <row r="40" spans="1:9" x14ac:dyDescent="0.3">
      <c r="E40" s="122"/>
    </row>
    <row r="41" spans="1:9" x14ac:dyDescent="0.3">
      <c r="E41" s="122"/>
    </row>
    <row r="42" spans="1:9" x14ac:dyDescent="0.3">
      <c r="E42" s="122"/>
    </row>
    <row r="43" spans="1:9" x14ac:dyDescent="0.3">
      <c r="E43" s="122"/>
    </row>
  </sheetData>
  <sheetProtection algorithmName="SHA-512" hashValue="dLTOdwCmG0uusFLrErQs5Qhp4YJvUlcGYC5qs6AsTsdGUdRJdbDdKspxoNzKsam7e8tSrZM4lIwvGHQpbNaG1A==" saltValue="KRScpB7Nq+elqGOcTyGZaw==" spinCount="100000" sheet="1" objects="1" scenarios="1"/>
  <mergeCells count="1">
    <mergeCell ref="B2:E2"/>
  </mergeCells>
  <pageMargins left="0.7" right="0.7" top="0.75" bottom="0.75" header="0.3" footer="0.3"/>
  <pageSetup scale="4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D7EE2-1BD6-4867-8235-E926794B3B2E}">
  <sheetPr codeName="Sheet16"/>
  <dimension ref="A1:UW555"/>
  <sheetViews>
    <sheetView zoomScale="85" zoomScaleNormal="85" workbookViewId="0">
      <pane ySplit="3" topLeftCell="A4" activePane="bottomLeft" state="frozen"/>
      <selection pane="bottomLeft" activeCell="W40" sqref="W40"/>
    </sheetView>
  </sheetViews>
  <sheetFormatPr defaultColWidth="9.109375" defaultRowHeight="14.4" x14ac:dyDescent="0.3"/>
  <cols>
    <col min="1" max="1" width="45.109375" style="580" customWidth="1"/>
    <col min="2" max="2" width="36.44140625" style="580" customWidth="1"/>
    <col min="3" max="3" width="12.33203125" style="580" customWidth="1"/>
    <col min="4" max="4" width="1.33203125" style="580" customWidth="1"/>
    <col min="5" max="5" width="42.44140625" style="580" customWidth="1"/>
    <col min="6" max="6" width="19.88671875" style="580" customWidth="1"/>
    <col min="7" max="7" width="21.6640625" style="580" customWidth="1"/>
    <col min="8" max="8" width="6.6640625" style="580" customWidth="1"/>
    <col min="9" max="9" width="6.33203125" style="609" customWidth="1"/>
    <col min="10" max="10" width="11.6640625" style="609" hidden="1" customWidth="1"/>
    <col min="11" max="11" width="12" style="609" hidden="1" customWidth="1"/>
    <col min="12" max="12" width="17.109375" style="609" hidden="1" customWidth="1"/>
    <col min="13" max="13" width="15.109375" style="609" hidden="1" customWidth="1"/>
    <col min="14" max="14" width="15.5546875" style="609" hidden="1" customWidth="1"/>
    <col min="15" max="15" width="37.88671875" style="618" hidden="1" customWidth="1"/>
    <col min="16" max="16" width="15.109375" style="618" hidden="1" customWidth="1"/>
    <col min="17" max="17" width="26.6640625" style="609" customWidth="1"/>
    <col min="18" max="18" width="9.109375" style="609"/>
    <col min="19" max="19" width="11.44140625" style="609" customWidth="1"/>
    <col min="20" max="47" width="9.109375" style="609"/>
    <col min="48" max="16384" width="9.109375" style="580"/>
  </cols>
  <sheetData>
    <row r="1" spans="1:569" x14ac:dyDescent="0.3">
      <c r="A1" s="578"/>
      <c r="B1" s="592" t="str">
        <f>+'Unit Data from Audit Worksheet'!D2</f>
        <v>Select Unit Name from Drop Down List</v>
      </c>
      <c r="C1" s="579"/>
      <c r="D1" s="579"/>
      <c r="E1" s="632" t="s">
        <v>1456</v>
      </c>
      <c r="H1" s="579"/>
      <c r="J1" s="609" t="s">
        <v>1428</v>
      </c>
      <c r="K1" s="609" t="s">
        <v>1429</v>
      </c>
      <c r="M1" s="614" t="s">
        <v>1431</v>
      </c>
      <c r="N1" s="614" t="s">
        <v>1431</v>
      </c>
      <c r="R1" s="180"/>
      <c r="S1" s="180"/>
      <c r="T1" s="180"/>
      <c r="U1" s="180"/>
      <c r="V1" s="180"/>
      <c r="W1" s="180"/>
      <c r="X1" s="180"/>
      <c r="Y1" s="180"/>
      <c r="Z1" s="180"/>
      <c r="AA1" s="180"/>
      <c r="AB1" s="180"/>
      <c r="AC1" s="180"/>
      <c r="AD1" s="180"/>
      <c r="AE1" s="180"/>
      <c r="AF1" s="180"/>
      <c r="AG1" s="180"/>
      <c r="AH1" s="180"/>
      <c r="AI1" s="180"/>
      <c r="AJ1" s="180"/>
      <c r="AK1" s="180"/>
      <c r="AL1" s="180"/>
      <c r="AM1" s="180"/>
      <c r="AN1" s="180"/>
      <c r="AO1" s="180"/>
      <c r="AP1" s="180"/>
      <c r="AQ1" s="180"/>
      <c r="AR1" s="180"/>
      <c r="AS1" s="180"/>
      <c r="AT1" s="180"/>
      <c r="AU1" s="180"/>
      <c r="AV1" s="180"/>
      <c r="AW1" s="180"/>
      <c r="AX1" s="180"/>
      <c r="AY1" s="180"/>
      <c r="AZ1" s="180"/>
      <c r="BA1" s="180"/>
      <c r="BB1" s="180"/>
      <c r="BC1" s="180"/>
      <c r="BD1" s="180"/>
      <c r="BE1" s="180"/>
      <c r="BF1" s="180"/>
      <c r="BG1" s="180"/>
      <c r="BH1" s="180"/>
      <c r="BI1" s="180"/>
      <c r="BJ1" s="180"/>
      <c r="BK1" s="180"/>
      <c r="BL1" s="180"/>
      <c r="BM1" s="180"/>
      <c r="BN1" s="180"/>
      <c r="BO1" s="180"/>
      <c r="BP1" s="180"/>
      <c r="BQ1" s="180"/>
      <c r="BR1" s="180"/>
      <c r="BS1" s="180"/>
      <c r="BT1" s="180"/>
      <c r="BU1" s="180"/>
      <c r="BV1" s="180"/>
      <c r="BW1" s="180"/>
      <c r="BX1" s="180"/>
      <c r="BY1" s="180"/>
      <c r="BZ1" s="180"/>
      <c r="CA1" s="180"/>
      <c r="CB1" s="180"/>
      <c r="CC1" s="180"/>
      <c r="CD1" s="180"/>
      <c r="CE1" s="180"/>
      <c r="CF1" s="180"/>
      <c r="CG1" s="180"/>
      <c r="CH1" s="180"/>
      <c r="CI1" s="180"/>
      <c r="CJ1" s="180"/>
      <c r="CK1" s="180"/>
      <c r="CL1" s="180"/>
      <c r="CM1" s="180"/>
      <c r="CN1" s="180"/>
      <c r="CO1" s="180"/>
      <c r="CP1" s="180"/>
      <c r="CQ1" s="180"/>
      <c r="CR1" s="180"/>
      <c r="CS1" s="180"/>
      <c r="CT1" s="180"/>
      <c r="CU1" s="180"/>
      <c r="CV1" s="180"/>
      <c r="CW1" s="180"/>
      <c r="CX1" s="180"/>
      <c r="CY1" s="180"/>
      <c r="CZ1" s="180"/>
      <c r="DA1" s="180"/>
      <c r="DB1" s="180"/>
      <c r="DC1" s="180"/>
      <c r="DD1" s="180"/>
      <c r="DE1" s="180"/>
      <c r="DF1" s="180"/>
      <c r="DG1" s="180"/>
      <c r="DH1" s="180"/>
      <c r="DI1" s="180"/>
      <c r="DJ1" s="180"/>
      <c r="DK1" s="180"/>
      <c r="DL1" s="180"/>
      <c r="DM1" s="180"/>
      <c r="DN1" s="180"/>
      <c r="DO1" s="180"/>
      <c r="DP1" s="180"/>
      <c r="DQ1" s="180"/>
      <c r="DR1" s="180"/>
      <c r="DS1" s="180"/>
      <c r="DT1" s="180"/>
      <c r="DU1" s="180"/>
      <c r="DV1" s="180"/>
      <c r="DW1" s="180"/>
      <c r="DX1" s="180"/>
      <c r="DY1" s="180"/>
      <c r="DZ1" s="180"/>
      <c r="EA1" s="180"/>
      <c r="EB1" s="180"/>
      <c r="EC1" s="180"/>
      <c r="ED1" s="180"/>
      <c r="EE1" s="180"/>
      <c r="EF1" s="180"/>
      <c r="EG1" s="180"/>
      <c r="EH1" s="180"/>
      <c r="EI1" s="180"/>
      <c r="EJ1" s="180"/>
      <c r="EK1" s="180"/>
      <c r="EL1" s="180"/>
      <c r="EM1" s="180"/>
      <c r="EN1" s="180"/>
      <c r="EO1" s="180"/>
      <c r="EP1" s="180"/>
      <c r="EQ1" s="180"/>
      <c r="ER1" s="180"/>
      <c r="ES1" s="180"/>
      <c r="ET1" s="180"/>
      <c r="EU1" s="180"/>
      <c r="EV1" s="180"/>
      <c r="EW1" s="180"/>
      <c r="EX1" s="180"/>
      <c r="EY1" s="180"/>
      <c r="EZ1" s="180"/>
      <c r="FA1" s="180"/>
      <c r="FB1" s="180"/>
      <c r="FC1" s="180"/>
      <c r="FD1" s="180"/>
      <c r="FE1" s="180"/>
      <c r="FF1" s="180"/>
      <c r="FG1" s="180"/>
      <c r="FH1" s="180"/>
      <c r="FI1" s="180"/>
      <c r="FJ1" s="180"/>
      <c r="FK1" s="180"/>
      <c r="FL1" s="180"/>
      <c r="FM1" s="180"/>
      <c r="FN1" s="180"/>
      <c r="FO1" s="180"/>
      <c r="FP1" s="180"/>
      <c r="FQ1" s="180"/>
      <c r="FR1" s="180"/>
      <c r="FS1" s="180"/>
      <c r="FT1" s="180"/>
      <c r="FU1" s="180"/>
      <c r="FV1" s="180"/>
      <c r="FW1" s="180"/>
      <c r="FX1" s="180"/>
      <c r="FY1" s="180"/>
      <c r="FZ1" s="180"/>
      <c r="GA1" s="180"/>
      <c r="GB1" s="180"/>
      <c r="GC1" s="180"/>
      <c r="GD1" s="180"/>
      <c r="GE1" s="180"/>
      <c r="GF1" s="180"/>
      <c r="GG1" s="180"/>
      <c r="GH1" s="180"/>
      <c r="GI1" s="180"/>
      <c r="GJ1" s="180"/>
      <c r="GK1" s="180"/>
      <c r="GL1" s="180"/>
      <c r="GM1" s="180"/>
      <c r="GN1" s="180"/>
      <c r="GO1" s="180"/>
      <c r="GP1" s="180"/>
      <c r="GQ1" s="180"/>
      <c r="GR1" s="180"/>
      <c r="GS1" s="180"/>
      <c r="GT1" s="180"/>
      <c r="GU1" s="180"/>
      <c r="GV1" s="180"/>
      <c r="GW1" s="180"/>
      <c r="GX1" s="180"/>
      <c r="GY1" s="180"/>
      <c r="GZ1" s="180"/>
      <c r="HA1" s="180"/>
      <c r="HB1" s="180"/>
      <c r="HC1" s="180"/>
      <c r="HD1" s="180"/>
      <c r="HE1" s="180"/>
      <c r="HF1" s="180"/>
      <c r="HG1" s="180"/>
      <c r="HH1" s="180"/>
      <c r="HI1" s="180"/>
      <c r="HJ1" s="180"/>
      <c r="HK1" s="180"/>
      <c r="HL1" s="180"/>
      <c r="HM1" s="180"/>
      <c r="HN1" s="180"/>
      <c r="HO1" s="180"/>
      <c r="HP1" s="180"/>
      <c r="HQ1" s="180"/>
      <c r="HR1" s="180"/>
      <c r="HS1" s="180"/>
      <c r="HT1" s="180"/>
      <c r="HU1" s="180"/>
      <c r="HV1" s="180"/>
      <c r="HW1" s="180"/>
      <c r="HX1" s="180"/>
      <c r="HY1" s="180"/>
      <c r="HZ1" s="180"/>
      <c r="IA1" s="180"/>
      <c r="IB1" s="180"/>
      <c r="IC1" s="180"/>
      <c r="ID1" s="180"/>
      <c r="IE1" s="180"/>
      <c r="IF1" s="180"/>
      <c r="IG1" s="180"/>
      <c r="IH1" s="180"/>
      <c r="II1" s="180"/>
      <c r="IJ1" s="180"/>
      <c r="IK1" s="180"/>
      <c r="IL1" s="180"/>
      <c r="IM1" s="180"/>
      <c r="IN1" s="180"/>
      <c r="IO1" s="180"/>
      <c r="IP1" s="180"/>
      <c r="IQ1" s="180"/>
      <c r="IR1" s="180"/>
      <c r="IS1" s="180"/>
      <c r="IT1" s="180"/>
      <c r="IU1" s="180"/>
      <c r="IV1" s="180"/>
      <c r="IW1" s="180"/>
      <c r="IX1" s="180"/>
      <c r="IY1" s="180"/>
      <c r="IZ1" s="180"/>
      <c r="JA1" s="180"/>
      <c r="JB1" s="180"/>
      <c r="JC1" s="180"/>
      <c r="JD1" s="180"/>
      <c r="JE1" s="180"/>
      <c r="JF1" s="180"/>
      <c r="JG1" s="180"/>
      <c r="JH1" s="180"/>
      <c r="JI1" s="180"/>
      <c r="JJ1" s="180"/>
      <c r="JK1" s="180"/>
      <c r="JL1" s="180"/>
      <c r="JM1" s="180"/>
      <c r="JN1" s="180"/>
      <c r="JO1" s="180"/>
      <c r="JP1" s="180"/>
      <c r="JQ1" s="180"/>
      <c r="JR1" s="180"/>
      <c r="JS1" s="180"/>
      <c r="JT1" s="180"/>
      <c r="JU1" s="180"/>
      <c r="JV1" s="180"/>
      <c r="JW1" s="180"/>
      <c r="JX1" s="180"/>
      <c r="JY1" s="180"/>
      <c r="JZ1" s="180"/>
      <c r="KA1" s="180"/>
      <c r="KB1" s="180"/>
      <c r="KC1" s="180"/>
      <c r="KD1" s="180"/>
      <c r="KE1" s="180"/>
      <c r="KF1" s="180"/>
      <c r="KG1" s="180"/>
      <c r="KH1" s="180"/>
      <c r="KI1" s="180"/>
      <c r="KJ1" s="180"/>
      <c r="KK1" s="180"/>
      <c r="KL1" s="180"/>
      <c r="KM1" s="180"/>
      <c r="KN1" s="180"/>
      <c r="KO1" s="180"/>
      <c r="KP1" s="180"/>
      <c r="KQ1" s="180"/>
      <c r="KR1" s="180"/>
      <c r="KS1" s="180"/>
      <c r="KT1" s="180"/>
      <c r="KU1" s="180"/>
      <c r="KV1" s="180"/>
      <c r="KW1" s="180"/>
      <c r="KX1" s="180"/>
      <c r="KY1" s="180"/>
      <c r="KZ1" s="180"/>
      <c r="LA1" s="180"/>
      <c r="LB1" s="180"/>
      <c r="LC1" s="180"/>
      <c r="LD1" s="180"/>
      <c r="LE1" s="180"/>
      <c r="LF1" s="180"/>
      <c r="LG1" s="180"/>
      <c r="LH1" s="180"/>
      <c r="LI1" s="180"/>
      <c r="LJ1" s="180"/>
      <c r="LK1" s="180"/>
      <c r="LL1" s="180"/>
      <c r="LM1" s="180"/>
      <c r="LN1" s="180"/>
      <c r="LO1" s="180"/>
      <c r="LP1" s="180"/>
      <c r="LQ1" s="180"/>
      <c r="LR1" s="180"/>
      <c r="LS1" s="180"/>
      <c r="LT1" s="180"/>
      <c r="LU1" s="180"/>
      <c r="LV1" s="180"/>
      <c r="LW1" s="180"/>
      <c r="LX1" s="180"/>
      <c r="LY1" s="180"/>
      <c r="LZ1" s="180"/>
      <c r="MA1" s="180"/>
      <c r="MB1" s="180"/>
      <c r="MC1" s="180"/>
      <c r="MD1" s="180"/>
      <c r="ME1" s="180"/>
      <c r="MF1" s="180"/>
      <c r="MG1" s="180"/>
      <c r="MH1" s="180"/>
      <c r="MI1" s="180"/>
      <c r="MJ1" s="180"/>
      <c r="MK1" s="180"/>
      <c r="ML1" s="180"/>
      <c r="MM1" s="180"/>
      <c r="MN1" s="180"/>
      <c r="MO1" s="180"/>
      <c r="MP1" s="180"/>
      <c r="MQ1" s="180"/>
      <c r="MR1" s="180"/>
      <c r="MS1" s="180"/>
      <c r="MT1" s="180"/>
      <c r="MU1" s="180"/>
      <c r="MV1" s="180"/>
      <c r="MW1" s="180"/>
      <c r="MX1" s="180"/>
      <c r="MY1" s="180"/>
      <c r="MZ1" s="180"/>
      <c r="NA1" s="180"/>
      <c r="NB1" s="180"/>
      <c r="NC1" s="180"/>
      <c r="ND1" s="180"/>
      <c r="NE1" s="180"/>
      <c r="NF1" s="180"/>
      <c r="NG1" s="180"/>
      <c r="NH1" s="180"/>
      <c r="NI1" s="180"/>
      <c r="NJ1" s="180"/>
      <c r="NK1" s="180"/>
      <c r="NL1" s="180"/>
      <c r="NM1" s="180"/>
      <c r="NN1" s="180"/>
      <c r="NO1" s="180"/>
      <c r="NP1" s="180"/>
      <c r="NQ1" s="180"/>
      <c r="NR1" s="180"/>
      <c r="NS1" s="180"/>
      <c r="NT1" s="180"/>
      <c r="NU1" s="180"/>
      <c r="NV1" s="180"/>
      <c r="NW1" s="180"/>
      <c r="NX1" s="180"/>
      <c r="NY1" s="180"/>
      <c r="NZ1" s="180"/>
      <c r="OA1" s="180"/>
      <c r="OB1" s="180"/>
      <c r="OC1" s="180"/>
      <c r="OD1" s="180"/>
      <c r="OE1" s="180"/>
      <c r="OF1" s="180"/>
      <c r="OG1" s="180"/>
      <c r="OH1" s="180"/>
      <c r="OI1" s="180"/>
      <c r="OJ1" s="180"/>
      <c r="OK1" s="180"/>
      <c r="OL1" s="180"/>
      <c r="OM1" s="180"/>
      <c r="ON1" s="180"/>
      <c r="OO1" s="180"/>
      <c r="OP1" s="180"/>
      <c r="OQ1" s="180"/>
      <c r="OR1" s="180"/>
      <c r="OS1" s="180"/>
      <c r="OT1" s="180"/>
      <c r="OU1" s="180"/>
      <c r="OV1" s="180"/>
      <c r="OW1" s="180"/>
      <c r="OX1" s="180"/>
      <c r="OY1" s="180"/>
      <c r="OZ1" s="180"/>
      <c r="PA1" s="180"/>
      <c r="PB1" s="180"/>
      <c r="PC1" s="180"/>
      <c r="PD1" s="180"/>
      <c r="PE1" s="180"/>
      <c r="PF1" s="180"/>
      <c r="PG1" s="180"/>
      <c r="PH1" s="180"/>
      <c r="PI1" s="180"/>
      <c r="PJ1" s="180"/>
      <c r="PK1" s="180"/>
      <c r="PL1" s="180"/>
      <c r="PM1" s="180"/>
      <c r="PN1" s="180"/>
      <c r="PO1" s="180"/>
      <c r="PP1" s="180"/>
      <c r="PQ1" s="180"/>
      <c r="PR1" s="180"/>
      <c r="PS1" s="180"/>
      <c r="PT1" s="180"/>
      <c r="PU1" s="180"/>
      <c r="PV1" s="180"/>
      <c r="PW1" s="180"/>
      <c r="PX1" s="180"/>
      <c r="PY1" s="180"/>
      <c r="PZ1" s="180"/>
      <c r="QA1" s="180"/>
      <c r="QB1" s="180"/>
      <c r="QC1" s="180"/>
      <c r="QD1" s="180"/>
      <c r="QE1" s="180"/>
      <c r="QF1" s="180"/>
      <c r="QG1" s="180"/>
      <c r="QH1" s="180"/>
      <c r="QI1" s="180"/>
      <c r="QJ1" s="180"/>
      <c r="QK1" s="180"/>
      <c r="QL1" s="180"/>
      <c r="QM1" s="180"/>
      <c r="QN1" s="180"/>
      <c r="QO1" s="180"/>
      <c r="QP1" s="180"/>
      <c r="QQ1" s="180"/>
      <c r="QR1" s="180"/>
      <c r="QS1" s="180"/>
      <c r="QT1" s="180"/>
      <c r="QU1" s="180"/>
      <c r="QV1" s="180"/>
      <c r="QW1" s="180"/>
      <c r="QX1" s="180"/>
      <c r="QY1" s="180"/>
      <c r="QZ1" s="180"/>
      <c r="RA1" s="180"/>
      <c r="RB1" s="180"/>
      <c r="RC1" s="180"/>
      <c r="RD1" s="180"/>
      <c r="RE1" s="180"/>
      <c r="RF1" s="180"/>
      <c r="RG1" s="180"/>
      <c r="RH1" s="180"/>
      <c r="RI1" s="180"/>
      <c r="RJ1" s="180"/>
      <c r="RK1" s="180"/>
      <c r="RL1" s="180"/>
      <c r="RM1" s="180"/>
      <c r="RN1" s="180"/>
      <c r="RO1" s="180"/>
      <c r="RP1" s="180"/>
      <c r="RQ1" s="180"/>
      <c r="RR1" s="180"/>
      <c r="RS1" s="180"/>
      <c r="RT1" s="180"/>
      <c r="RU1" s="180"/>
      <c r="RV1" s="180"/>
      <c r="RW1" s="180"/>
      <c r="RX1" s="180"/>
      <c r="RY1" s="180"/>
      <c r="RZ1" s="180"/>
      <c r="SA1" s="180"/>
      <c r="SB1" s="180"/>
      <c r="SC1" s="180"/>
      <c r="SD1" s="180"/>
      <c r="SE1" s="180"/>
      <c r="SF1" s="180"/>
      <c r="SG1" s="180"/>
      <c r="SH1" s="180"/>
      <c r="SI1" s="180"/>
      <c r="SJ1" s="180"/>
      <c r="SK1" s="180"/>
      <c r="SL1" s="180"/>
      <c r="SM1" s="180"/>
      <c r="SN1" s="180"/>
      <c r="SO1" s="180"/>
      <c r="SP1" s="180"/>
      <c r="SQ1" s="180"/>
      <c r="SR1" s="180"/>
      <c r="SS1" s="180"/>
      <c r="ST1" s="180"/>
      <c r="SU1" s="180"/>
      <c r="SV1" s="180"/>
      <c r="SW1" s="180"/>
      <c r="SX1" s="180"/>
      <c r="SY1" s="180"/>
      <c r="SZ1" s="180"/>
      <c r="TA1" s="180"/>
      <c r="TB1" s="180"/>
      <c r="TC1" s="180"/>
      <c r="TD1" s="180"/>
      <c r="TE1" s="180"/>
      <c r="TF1" s="180"/>
      <c r="TG1" s="180"/>
      <c r="TH1" s="180"/>
      <c r="TI1" s="180"/>
      <c r="TJ1" s="180"/>
      <c r="TK1" s="180"/>
      <c r="TL1" s="180"/>
      <c r="TM1" s="180"/>
      <c r="TN1" s="180"/>
      <c r="TO1" s="180"/>
      <c r="TP1" s="180"/>
      <c r="TQ1" s="180"/>
      <c r="TR1" s="180"/>
      <c r="TS1" s="180"/>
      <c r="TT1" s="180"/>
      <c r="TU1" s="180"/>
      <c r="TV1" s="180"/>
      <c r="TW1" s="180"/>
      <c r="TX1" s="180"/>
      <c r="TY1" s="180"/>
      <c r="TZ1" s="180"/>
      <c r="UA1" s="180"/>
      <c r="UB1" s="180"/>
      <c r="UC1" s="180"/>
      <c r="UD1" s="180"/>
      <c r="UE1" s="180"/>
      <c r="UF1" s="180"/>
      <c r="UG1" s="180"/>
      <c r="UH1" s="180"/>
      <c r="UI1" s="180"/>
      <c r="UJ1" s="180"/>
      <c r="UK1" s="180"/>
      <c r="UL1" s="180"/>
      <c r="UM1" s="180"/>
      <c r="UN1" s="180"/>
      <c r="UO1" s="180"/>
      <c r="UP1" s="180"/>
      <c r="UQ1" s="180"/>
      <c r="UR1" s="180"/>
      <c r="US1" s="180"/>
      <c r="UT1" s="180"/>
      <c r="UU1" s="180"/>
      <c r="UV1" s="180"/>
      <c r="UW1" s="180"/>
    </row>
    <row r="2" spans="1:569" x14ac:dyDescent="0.3">
      <c r="A2" s="578" t="s">
        <v>1450</v>
      </c>
      <c r="B2" s="578" t="e">
        <f>+'Unit Data from Audit Worksheet'!D3</f>
        <v>#N/A</v>
      </c>
      <c r="C2" s="579"/>
      <c r="D2" s="579"/>
      <c r="E2" s="633" t="s">
        <v>1455</v>
      </c>
      <c r="H2" s="579"/>
      <c r="M2" s="615" t="s">
        <v>1432</v>
      </c>
      <c r="N2" s="615" t="s">
        <v>1436</v>
      </c>
      <c r="R2" s="180"/>
      <c r="S2" s="180"/>
      <c r="T2" s="180"/>
      <c r="U2" s="180"/>
      <c r="V2" s="180"/>
      <c r="W2" s="180"/>
      <c r="X2" s="180"/>
      <c r="Y2" s="180"/>
      <c r="Z2" s="180"/>
      <c r="AA2" s="180"/>
      <c r="AB2" s="180"/>
      <c r="AC2" s="180"/>
      <c r="AD2" s="180"/>
      <c r="AE2" s="180"/>
      <c r="AF2" s="180"/>
      <c r="AG2" s="180"/>
      <c r="AH2" s="180"/>
      <c r="AI2" s="180"/>
      <c r="AJ2" s="180"/>
      <c r="AK2" s="180"/>
      <c r="AL2" s="180"/>
      <c r="AM2" s="180"/>
      <c r="AN2" s="180"/>
      <c r="AO2" s="180"/>
      <c r="AP2" s="180"/>
      <c r="AQ2" s="180"/>
      <c r="AR2" s="180"/>
      <c r="AS2" s="180"/>
      <c r="AT2" s="180"/>
      <c r="AU2" s="180"/>
      <c r="AV2" s="180"/>
      <c r="AW2" s="180"/>
      <c r="AX2" s="180"/>
      <c r="AY2" s="180"/>
      <c r="AZ2" s="180"/>
      <c r="BA2" s="180"/>
      <c r="BB2" s="180"/>
      <c r="BC2" s="180"/>
      <c r="BD2" s="180"/>
      <c r="BE2" s="180"/>
      <c r="BF2" s="180"/>
      <c r="BG2" s="180"/>
      <c r="BH2" s="180"/>
      <c r="BI2" s="180"/>
      <c r="BJ2" s="180"/>
      <c r="BK2" s="180"/>
      <c r="BL2" s="180"/>
      <c r="BM2" s="180"/>
      <c r="BN2" s="180"/>
      <c r="BO2" s="180"/>
      <c r="BP2" s="180"/>
      <c r="BQ2" s="180"/>
      <c r="BR2" s="180"/>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c r="CV2" s="180"/>
      <c r="CW2" s="180"/>
      <c r="CX2" s="180"/>
      <c r="CY2" s="180"/>
      <c r="CZ2" s="180"/>
      <c r="DA2" s="180"/>
      <c r="DB2" s="180"/>
      <c r="DC2" s="180"/>
      <c r="DD2" s="180"/>
      <c r="DE2" s="180"/>
      <c r="DF2" s="180"/>
      <c r="DG2" s="180"/>
      <c r="DH2" s="180"/>
      <c r="DI2" s="180"/>
      <c r="DJ2" s="180"/>
      <c r="DK2" s="180"/>
      <c r="DL2" s="180"/>
      <c r="DM2" s="180"/>
      <c r="DN2" s="180"/>
      <c r="DO2" s="180"/>
      <c r="DP2" s="180"/>
      <c r="DQ2" s="180"/>
      <c r="DR2" s="180"/>
      <c r="DS2" s="180"/>
      <c r="DT2" s="180"/>
      <c r="DU2" s="180"/>
      <c r="DV2" s="180"/>
      <c r="DW2" s="180"/>
      <c r="DX2" s="180"/>
      <c r="DY2" s="180"/>
      <c r="DZ2" s="180"/>
      <c r="EA2" s="180"/>
      <c r="EB2" s="180"/>
      <c r="EC2" s="180"/>
      <c r="ED2" s="180"/>
      <c r="EE2" s="180"/>
      <c r="EF2" s="180"/>
      <c r="EG2" s="180"/>
      <c r="EH2" s="180"/>
      <c r="EI2" s="180"/>
      <c r="EJ2" s="180"/>
      <c r="EK2" s="180"/>
      <c r="EL2" s="180"/>
      <c r="EM2" s="180"/>
      <c r="EN2" s="180"/>
      <c r="EO2" s="180"/>
      <c r="EP2" s="180"/>
      <c r="EQ2" s="180"/>
      <c r="ER2" s="180"/>
      <c r="ES2" s="180"/>
      <c r="ET2" s="180"/>
      <c r="EU2" s="180"/>
      <c r="EV2" s="180"/>
      <c r="EW2" s="180"/>
      <c r="EX2" s="180"/>
      <c r="EY2" s="180"/>
      <c r="EZ2" s="180"/>
      <c r="FA2" s="180"/>
      <c r="FB2" s="180"/>
      <c r="FC2" s="180"/>
      <c r="FD2" s="180"/>
      <c r="FE2" s="180"/>
      <c r="FF2" s="180"/>
      <c r="FG2" s="180"/>
      <c r="FH2" s="180"/>
      <c r="FI2" s="180"/>
      <c r="FJ2" s="180"/>
      <c r="FK2" s="180"/>
      <c r="FL2" s="180"/>
      <c r="FM2" s="180"/>
      <c r="FN2" s="180"/>
      <c r="FO2" s="180"/>
      <c r="FP2" s="180"/>
      <c r="FQ2" s="180"/>
      <c r="FR2" s="180"/>
      <c r="FS2" s="180"/>
      <c r="FT2" s="180"/>
      <c r="FU2" s="180"/>
      <c r="FV2" s="180"/>
      <c r="FW2" s="180"/>
      <c r="FX2" s="180"/>
      <c r="FY2" s="180"/>
      <c r="FZ2" s="180"/>
      <c r="GA2" s="180"/>
      <c r="GB2" s="180"/>
      <c r="GC2" s="180"/>
      <c r="GD2" s="180"/>
      <c r="GE2" s="180"/>
      <c r="GF2" s="180"/>
      <c r="GG2" s="180"/>
      <c r="GH2" s="180"/>
      <c r="GI2" s="180"/>
      <c r="GJ2" s="180"/>
      <c r="GK2" s="180"/>
      <c r="GL2" s="180"/>
      <c r="GM2" s="180"/>
      <c r="GN2" s="180"/>
      <c r="GO2" s="180"/>
      <c r="GP2" s="180"/>
      <c r="GQ2" s="180"/>
      <c r="GR2" s="180"/>
      <c r="GS2" s="180"/>
      <c r="GT2" s="180"/>
      <c r="GU2" s="180"/>
      <c r="GV2" s="180"/>
      <c r="GW2" s="180"/>
      <c r="GX2" s="180"/>
      <c r="GY2" s="180"/>
      <c r="GZ2" s="180"/>
      <c r="HA2" s="180"/>
      <c r="HB2" s="180"/>
      <c r="HC2" s="180"/>
      <c r="HD2" s="180"/>
      <c r="HE2" s="180"/>
      <c r="HF2" s="180"/>
      <c r="HG2" s="180"/>
      <c r="HH2" s="180"/>
      <c r="HI2" s="180"/>
      <c r="HJ2" s="180"/>
      <c r="HK2" s="180"/>
      <c r="HL2" s="180"/>
      <c r="HM2" s="180"/>
      <c r="HN2" s="180"/>
      <c r="HO2" s="180"/>
      <c r="HP2" s="180"/>
      <c r="HQ2" s="180"/>
      <c r="HR2" s="180"/>
      <c r="HS2" s="180"/>
      <c r="HT2" s="180"/>
      <c r="HU2" s="180"/>
      <c r="HV2" s="180"/>
      <c r="HW2" s="180"/>
      <c r="HX2" s="180"/>
      <c r="HY2" s="180"/>
      <c r="HZ2" s="180"/>
      <c r="IA2" s="180"/>
      <c r="IB2" s="180"/>
      <c r="IC2" s="180"/>
      <c r="ID2" s="180"/>
      <c r="IE2" s="180"/>
      <c r="IF2" s="180"/>
      <c r="IG2" s="180"/>
      <c r="IH2" s="180"/>
      <c r="II2" s="180"/>
      <c r="IJ2" s="180"/>
      <c r="IK2" s="180"/>
      <c r="IL2" s="180"/>
      <c r="IM2" s="180"/>
      <c r="IN2" s="180"/>
      <c r="IO2" s="180"/>
      <c r="IP2" s="180"/>
      <c r="IQ2" s="180"/>
      <c r="IR2" s="180"/>
      <c r="IS2" s="180"/>
      <c r="IT2" s="180"/>
      <c r="IU2" s="180"/>
      <c r="IV2" s="180"/>
      <c r="IW2" s="180"/>
      <c r="IX2" s="180"/>
      <c r="IY2" s="180"/>
      <c r="IZ2" s="180"/>
      <c r="JA2" s="180"/>
      <c r="JB2" s="180"/>
      <c r="JC2" s="180"/>
      <c r="JD2" s="180"/>
      <c r="JE2" s="180"/>
      <c r="JF2" s="180"/>
      <c r="JG2" s="180"/>
      <c r="JH2" s="180"/>
      <c r="JI2" s="180"/>
      <c r="JJ2" s="180"/>
      <c r="JK2" s="180"/>
      <c r="JL2" s="180"/>
      <c r="JM2" s="180"/>
      <c r="JN2" s="180"/>
      <c r="JO2" s="180"/>
      <c r="JP2" s="180"/>
      <c r="JQ2" s="180"/>
      <c r="JR2" s="180"/>
      <c r="JS2" s="180"/>
      <c r="JT2" s="180"/>
      <c r="JU2" s="180"/>
      <c r="JV2" s="180"/>
      <c r="JW2" s="180"/>
      <c r="JX2" s="180"/>
      <c r="JY2" s="180"/>
      <c r="JZ2" s="180"/>
      <c r="KA2" s="180"/>
      <c r="KB2" s="180"/>
      <c r="KC2" s="180"/>
      <c r="KD2" s="180"/>
      <c r="KE2" s="180"/>
      <c r="KF2" s="180"/>
      <c r="KG2" s="180"/>
      <c r="KH2" s="180"/>
      <c r="KI2" s="180"/>
      <c r="KJ2" s="180"/>
      <c r="KK2" s="180"/>
      <c r="KL2" s="180"/>
      <c r="KM2" s="180"/>
      <c r="KN2" s="180"/>
      <c r="KO2" s="180"/>
      <c r="KP2" s="180"/>
      <c r="KQ2" s="180"/>
      <c r="KR2" s="180"/>
      <c r="KS2" s="180"/>
      <c r="KT2" s="180"/>
      <c r="KU2" s="180"/>
      <c r="KV2" s="180"/>
      <c r="KW2" s="180"/>
      <c r="KX2" s="180"/>
      <c r="KY2" s="180"/>
      <c r="KZ2" s="180"/>
      <c r="LA2" s="180"/>
      <c r="LB2" s="180"/>
      <c r="LC2" s="180"/>
      <c r="LD2" s="180"/>
      <c r="LE2" s="180"/>
      <c r="LF2" s="180"/>
      <c r="LG2" s="180"/>
      <c r="LH2" s="180"/>
      <c r="LI2" s="180"/>
      <c r="LJ2" s="180"/>
      <c r="LK2" s="180"/>
      <c r="LL2" s="180"/>
      <c r="LM2" s="180"/>
      <c r="LN2" s="180"/>
      <c r="LO2" s="180"/>
      <c r="LP2" s="180"/>
      <c r="LQ2" s="180"/>
      <c r="LR2" s="180"/>
      <c r="LS2" s="180"/>
      <c r="LT2" s="180"/>
      <c r="LU2" s="180"/>
      <c r="LV2" s="180"/>
      <c r="LW2" s="180"/>
      <c r="LX2" s="180"/>
      <c r="LY2" s="180"/>
      <c r="LZ2" s="180"/>
      <c r="MA2" s="180"/>
      <c r="MB2" s="180"/>
      <c r="MC2" s="180"/>
      <c r="MD2" s="180"/>
      <c r="ME2" s="180"/>
      <c r="MF2" s="180"/>
      <c r="MG2" s="180"/>
      <c r="MH2" s="180"/>
      <c r="MI2" s="180"/>
      <c r="MJ2" s="180"/>
      <c r="MK2" s="180"/>
      <c r="ML2" s="180"/>
      <c r="MM2" s="180"/>
      <c r="MN2" s="180"/>
      <c r="MO2" s="180"/>
      <c r="MP2" s="180"/>
      <c r="MQ2" s="180"/>
      <c r="MR2" s="180"/>
      <c r="MS2" s="180"/>
      <c r="MT2" s="180"/>
      <c r="MU2" s="180"/>
      <c r="MV2" s="180"/>
      <c r="MW2" s="180"/>
      <c r="MX2" s="180"/>
      <c r="MY2" s="180"/>
      <c r="MZ2" s="180"/>
      <c r="NA2" s="180"/>
      <c r="NB2" s="180"/>
      <c r="NC2" s="180"/>
      <c r="ND2" s="180"/>
      <c r="NE2" s="180"/>
      <c r="NF2" s="180"/>
      <c r="NG2" s="180"/>
      <c r="NH2" s="180"/>
      <c r="NI2" s="180"/>
      <c r="NJ2" s="180"/>
      <c r="NK2" s="180"/>
      <c r="NL2" s="180"/>
      <c r="NM2" s="180"/>
      <c r="NN2" s="180"/>
      <c r="NO2" s="180"/>
      <c r="NP2" s="180"/>
      <c r="NQ2" s="180"/>
      <c r="NR2" s="180"/>
      <c r="NS2" s="180"/>
      <c r="NT2" s="180"/>
      <c r="NU2" s="180"/>
      <c r="NV2" s="180"/>
      <c r="NW2" s="180"/>
      <c r="NX2" s="180"/>
      <c r="NY2" s="180"/>
      <c r="NZ2" s="180"/>
      <c r="OA2" s="180"/>
      <c r="OB2" s="180"/>
      <c r="OC2" s="180"/>
      <c r="OD2" s="180"/>
      <c r="OE2" s="180"/>
      <c r="OF2" s="180"/>
      <c r="OG2" s="180"/>
      <c r="OH2" s="180"/>
      <c r="OI2" s="180"/>
      <c r="OJ2" s="180"/>
      <c r="OK2" s="180"/>
      <c r="OL2" s="180"/>
      <c r="OM2" s="180"/>
      <c r="ON2" s="180"/>
      <c r="OO2" s="180"/>
      <c r="OP2" s="180"/>
      <c r="OQ2" s="180"/>
      <c r="OR2" s="180"/>
      <c r="OS2" s="180"/>
      <c r="OT2" s="180"/>
      <c r="OU2" s="180"/>
      <c r="OV2" s="180"/>
      <c r="OW2" s="180"/>
      <c r="OX2" s="180"/>
      <c r="OY2" s="180"/>
      <c r="OZ2" s="180"/>
      <c r="PA2" s="180"/>
      <c r="PB2" s="180"/>
      <c r="PC2" s="180"/>
      <c r="PD2" s="180"/>
      <c r="PE2" s="180"/>
      <c r="PF2" s="180"/>
      <c r="PG2" s="180"/>
      <c r="PH2" s="180"/>
      <c r="PI2" s="180"/>
      <c r="PJ2" s="180"/>
      <c r="PK2" s="180"/>
      <c r="PL2" s="180"/>
      <c r="PM2" s="180"/>
      <c r="PN2" s="180"/>
      <c r="PO2" s="180"/>
      <c r="PP2" s="180"/>
      <c r="PQ2" s="180"/>
      <c r="PR2" s="180"/>
      <c r="PS2" s="180"/>
      <c r="PT2" s="180"/>
      <c r="PU2" s="180"/>
      <c r="PV2" s="180"/>
      <c r="PW2" s="180"/>
      <c r="PX2" s="180"/>
      <c r="PY2" s="180"/>
      <c r="PZ2" s="180"/>
      <c r="QA2" s="180"/>
      <c r="QB2" s="180"/>
      <c r="QC2" s="180"/>
      <c r="QD2" s="180"/>
      <c r="QE2" s="180"/>
      <c r="QF2" s="180"/>
      <c r="QG2" s="180"/>
      <c r="QH2" s="180"/>
      <c r="QI2" s="180"/>
      <c r="QJ2" s="180"/>
      <c r="QK2" s="180"/>
      <c r="QL2" s="180"/>
      <c r="QM2" s="180"/>
      <c r="QN2" s="180"/>
      <c r="QO2" s="180"/>
      <c r="QP2" s="180"/>
      <c r="QQ2" s="180"/>
      <c r="QR2" s="180"/>
      <c r="QS2" s="180"/>
      <c r="QT2" s="180"/>
      <c r="QU2" s="180"/>
      <c r="QV2" s="180"/>
      <c r="QW2" s="180"/>
      <c r="QX2" s="180"/>
      <c r="QY2" s="180"/>
      <c r="QZ2" s="180"/>
      <c r="RA2" s="180"/>
      <c r="RB2" s="180"/>
      <c r="RC2" s="180"/>
      <c r="RD2" s="180"/>
      <c r="RE2" s="180"/>
      <c r="RF2" s="180"/>
      <c r="RG2" s="180"/>
      <c r="RH2" s="180"/>
      <c r="RI2" s="180"/>
      <c r="RJ2" s="180"/>
      <c r="RK2" s="180"/>
      <c r="RL2" s="180"/>
      <c r="RM2" s="180"/>
      <c r="RN2" s="180"/>
      <c r="RO2" s="180"/>
      <c r="RP2" s="180"/>
      <c r="RQ2" s="180"/>
      <c r="RR2" s="180"/>
      <c r="RS2" s="180"/>
      <c r="RT2" s="180"/>
      <c r="RU2" s="180"/>
      <c r="RV2" s="180"/>
      <c r="RW2" s="180"/>
      <c r="RX2" s="180"/>
      <c r="RY2" s="180"/>
      <c r="RZ2" s="180"/>
      <c r="SA2" s="180"/>
      <c r="SB2" s="180"/>
      <c r="SC2" s="180"/>
      <c r="SD2" s="180"/>
      <c r="SE2" s="180"/>
      <c r="SF2" s="180"/>
      <c r="SG2" s="180"/>
      <c r="SH2" s="180"/>
      <c r="SI2" s="180"/>
      <c r="SJ2" s="180"/>
      <c r="SK2" s="180"/>
      <c r="SL2" s="180"/>
      <c r="SM2" s="180"/>
      <c r="SN2" s="180"/>
      <c r="SO2" s="180"/>
      <c r="SP2" s="180"/>
      <c r="SQ2" s="180"/>
      <c r="SR2" s="180"/>
      <c r="SS2" s="180"/>
      <c r="ST2" s="180"/>
      <c r="SU2" s="180"/>
      <c r="SV2" s="180"/>
      <c r="SW2" s="180"/>
      <c r="SX2" s="180"/>
      <c r="SY2" s="180"/>
      <c r="SZ2" s="180"/>
      <c r="TA2" s="180"/>
      <c r="TB2" s="180"/>
      <c r="TC2" s="180"/>
      <c r="TD2" s="180"/>
      <c r="TE2" s="180"/>
      <c r="TF2" s="180"/>
      <c r="TG2" s="180"/>
      <c r="TH2" s="180"/>
      <c r="TI2" s="180"/>
      <c r="TJ2" s="180"/>
      <c r="TK2" s="180"/>
      <c r="TL2" s="180"/>
      <c r="TM2" s="180"/>
      <c r="TN2" s="180"/>
      <c r="TO2" s="180"/>
      <c r="TP2" s="180"/>
      <c r="TQ2" s="180"/>
      <c r="TR2" s="180"/>
      <c r="TS2" s="180"/>
      <c r="TT2" s="180"/>
      <c r="TU2" s="180"/>
      <c r="TV2" s="180"/>
      <c r="TW2" s="180"/>
      <c r="TX2" s="180"/>
      <c r="TY2" s="180"/>
      <c r="TZ2" s="180"/>
      <c r="UA2" s="180"/>
      <c r="UB2" s="180"/>
      <c r="UC2" s="180"/>
      <c r="UD2" s="180"/>
      <c r="UE2" s="180"/>
      <c r="UF2" s="180"/>
      <c r="UG2" s="180"/>
      <c r="UH2" s="180"/>
      <c r="UI2" s="180"/>
      <c r="UJ2" s="180"/>
      <c r="UK2" s="180"/>
      <c r="UL2" s="180"/>
      <c r="UM2" s="180"/>
      <c r="UN2" s="180"/>
      <c r="UO2" s="180"/>
      <c r="UP2" s="180"/>
      <c r="UQ2" s="180"/>
      <c r="UR2" s="180"/>
      <c r="US2" s="180"/>
      <c r="UT2" s="180"/>
      <c r="UU2" s="180"/>
      <c r="UV2" s="180"/>
      <c r="UW2" s="180"/>
    </row>
    <row r="3" spans="1:569" x14ac:dyDescent="0.3">
      <c r="A3" s="578" t="e">
        <f>IF(LEN(VLOOKUP(B1,$L$4:$O$555,4,FALSE))=0,"",(VLOOKUP(B1,$L$4:$O$555,4,FALSE)))</f>
        <v>#N/A</v>
      </c>
      <c r="B3" s="578" t="s">
        <v>1451</v>
      </c>
      <c r="C3" s="579"/>
      <c r="D3" s="579"/>
      <c r="H3" s="579"/>
      <c r="J3" s="609" t="s">
        <v>383</v>
      </c>
      <c r="K3" s="609" t="s">
        <v>383</v>
      </c>
      <c r="M3" s="616" t="s">
        <v>1433</v>
      </c>
      <c r="N3" s="616" t="s">
        <v>1435</v>
      </c>
    </row>
    <row r="4" spans="1:569" x14ac:dyDescent="0.3">
      <c r="A4" s="1179" t="s">
        <v>557</v>
      </c>
      <c r="B4" s="1179"/>
      <c r="C4" s="1179"/>
      <c r="D4" s="579"/>
      <c r="E4" s="1180" t="s">
        <v>558</v>
      </c>
      <c r="F4" s="1180"/>
      <c r="G4" s="579"/>
      <c r="H4" s="579"/>
      <c r="L4" s="609" t="s">
        <v>470</v>
      </c>
      <c r="M4" s="609" t="s">
        <v>461</v>
      </c>
      <c r="N4" s="609" t="s">
        <v>461</v>
      </c>
      <c r="O4" s="609"/>
    </row>
    <row r="5" spans="1:569" ht="15" thickBot="1" x14ac:dyDescent="0.35">
      <c r="A5" s="581"/>
      <c r="B5" s="582"/>
      <c r="C5" s="581"/>
      <c r="D5" s="583"/>
      <c r="E5" s="581"/>
      <c r="F5" s="582"/>
      <c r="G5" s="582"/>
      <c r="H5" s="579"/>
      <c r="K5" s="618"/>
      <c r="L5" s="609" t="s">
        <v>1084</v>
      </c>
      <c r="M5" s="609" t="s">
        <v>461</v>
      </c>
      <c r="N5" s="609" t="s">
        <v>461</v>
      </c>
      <c r="O5" s="609"/>
    </row>
    <row r="6" spans="1:569" ht="15" thickBot="1" x14ac:dyDescent="0.35">
      <c r="A6" s="584" t="s">
        <v>559</v>
      </c>
      <c r="B6" s="585" t="e">
        <f>VLOOKUP(B1,$L$4:$M$555,2,FALSE)</f>
        <v>#N/A</v>
      </c>
      <c r="C6" s="585"/>
      <c r="D6" s="585"/>
      <c r="H6" s="585"/>
      <c r="L6" s="609" t="s">
        <v>1085</v>
      </c>
      <c r="M6" s="609" t="s">
        <v>461</v>
      </c>
      <c r="N6" s="609" t="s">
        <v>461</v>
      </c>
      <c r="O6" s="609"/>
    </row>
    <row r="7" spans="1:569" ht="15" thickBot="1" x14ac:dyDescent="0.35">
      <c r="A7" s="579" t="s">
        <v>652</v>
      </c>
      <c r="B7" s="252" t="e">
        <f>HLOOKUP(B1,'PY1 Data(H)'!D1:CZ277,127,FALSE)+HLOOKUP(B1,'PY1 Data(H)'!D1:CZ277,70,FALSE)</f>
        <v>#N/A</v>
      </c>
      <c r="C7" s="253"/>
      <c r="D7" s="253"/>
      <c r="E7" s="579" t="s">
        <v>563</v>
      </c>
      <c r="F7" s="635">
        <f>Import!L135</f>
        <v>0</v>
      </c>
      <c r="G7" s="585"/>
      <c r="H7" s="579"/>
      <c r="J7" s="609">
        <v>527</v>
      </c>
      <c r="K7" s="618">
        <v>366</v>
      </c>
      <c r="L7" s="612" t="s">
        <v>1086</v>
      </c>
      <c r="M7" s="612" t="s">
        <v>461</v>
      </c>
      <c r="N7" s="612">
        <v>0.05</v>
      </c>
      <c r="O7" s="609" t="s">
        <v>1452</v>
      </c>
    </row>
    <row r="8" spans="1:569" ht="15" thickBot="1" x14ac:dyDescent="0.35">
      <c r="A8" s="579" t="s">
        <v>561</v>
      </c>
      <c r="B8" s="629" t="e">
        <f>IF(B6="N/A","N/A",B6*B7)</f>
        <v>#N/A</v>
      </c>
      <c r="C8" s="254"/>
      <c r="D8" s="254"/>
      <c r="E8" s="631" t="s">
        <v>1088</v>
      </c>
      <c r="F8" s="635">
        <f>Import!L195</f>
        <v>0</v>
      </c>
      <c r="G8" s="578"/>
      <c r="H8" s="579"/>
      <c r="J8" s="617">
        <v>356</v>
      </c>
      <c r="K8" s="609">
        <v>1051</v>
      </c>
      <c r="L8" s="609" t="s">
        <v>1087</v>
      </c>
      <c r="M8" s="609" t="s">
        <v>461</v>
      </c>
      <c r="N8" s="609" t="s">
        <v>461</v>
      </c>
      <c r="O8" s="609"/>
    </row>
    <row r="9" spans="1:569" ht="15" thickBot="1" x14ac:dyDescent="0.35">
      <c r="A9" s="579"/>
      <c r="B9" s="579"/>
      <c r="C9" s="579"/>
      <c r="D9" s="579"/>
      <c r="E9" s="579"/>
      <c r="F9" s="579"/>
      <c r="G9" s="579"/>
      <c r="H9" s="579"/>
      <c r="L9" s="609" t="s">
        <v>471</v>
      </c>
      <c r="M9" s="609" t="s">
        <v>461</v>
      </c>
      <c r="N9" s="609" t="s">
        <v>461</v>
      </c>
      <c r="O9" s="609"/>
    </row>
    <row r="10" spans="1:569" ht="15" thickBot="1" x14ac:dyDescent="0.35">
      <c r="A10" s="584" t="s">
        <v>562</v>
      </c>
      <c r="B10" s="585" t="e">
        <f>VLOOKUP(B1,$L$4:$N$555,3,FALSE)</f>
        <v>#N/A</v>
      </c>
      <c r="C10" s="585"/>
      <c r="D10" s="585"/>
      <c r="E10" s="585"/>
      <c r="F10" s="585"/>
      <c r="G10" s="585"/>
      <c r="H10" s="585"/>
      <c r="L10" s="609" t="s">
        <v>1089</v>
      </c>
      <c r="M10" s="609" t="s">
        <v>461</v>
      </c>
      <c r="N10" s="609" t="s">
        <v>461</v>
      </c>
      <c r="O10" s="609"/>
    </row>
    <row r="11" spans="1:569" ht="15" thickBot="1" x14ac:dyDescent="0.35">
      <c r="A11" s="579" t="s">
        <v>653</v>
      </c>
      <c r="B11" s="586" t="e">
        <f>HLOOKUP(B1,'PY1 Data(H)'!D1:CZ277,35,FALSE)</f>
        <v>#N/A</v>
      </c>
      <c r="C11" s="587"/>
      <c r="D11" s="587"/>
      <c r="E11" s="630" t="s">
        <v>1454</v>
      </c>
      <c r="F11" s="629">
        <f>F7-F8</f>
        <v>0</v>
      </c>
      <c r="G11" s="579"/>
      <c r="H11" s="579"/>
      <c r="J11" s="609">
        <v>93</v>
      </c>
      <c r="L11" s="609" t="s">
        <v>1090</v>
      </c>
      <c r="M11" s="609" t="s">
        <v>461</v>
      </c>
      <c r="N11" s="609" t="s">
        <v>461</v>
      </c>
      <c r="O11" s="609"/>
    </row>
    <row r="12" spans="1:569" ht="15" thickBot="1" x14ac:dyDescent="0.35">
      <c r="A12" s="579" t="s">
        <v>561</v>
      </c>
      <c r="B12" s="629" t="e">
        <f>IF(B10="N/A","N/A",B10*B11)</f>
        <v>#N/A</v>
      </c>
      <c r="C12" s="254"/>
      <c r="D12" s="254"/>
      <c r="G12" s="579"/>
      <c r="H12" s="579"/>
      <c r="L12" s="611" t="s">
        <v>1091</v>
      </c>
      <c r="M12" s="611">
        <v>0.03</v>
      </c>
      <c r="N12" s="611">
        <v>0.05</v>
      </c>
      <c r="O12" s="609" t="s">
        <v>1457</v>
      </c>
      <c r="P12" s="618" t="s">
        <v>1453</v>
      </c>
    </row>
    <row r="13" spans="1:569" x14ac:dyDescent="0.3">
      <c r="A13" s="579"/>
      <c r="B13" s="588"/>
      <c r="C13" s="579"/>
      <c r="D13" s="579"/>
      <c r="E13" s="579"/>
      <c r="F13" s="579"/>
      <c r="G13" s="579"/>
      <c r="H13" s="579"/>
      <c r="L13" s="609" t="s">
        <v>1092</v>
      </c>
      <c r="M13" s="609" t="s">
        <v>461</v>
      </c>
      <c r="N13" s="609" t="s">
        <v>461</v>
      </c>
      <c r="O13" s="609"/>
    </row>
    <row r="14" spans="1:569" x14ac:dyDescent="0.3">
      <c r="A14" s="581"/>
      <c r="B14" s="582"/>
      <c r="C14" s="581"/>
      <c r="D14" s="583"/>
      <c r="E14" s="581"/>
      <c r="F14" s="582"/>
      <c r="G14" s="582"/>
      <c r="H14" s="255"/>
      <c r="L14" s="609" t="s">
        <v>1093</v>
      </c>
      <c r="M14" s="609" t="s">
        <v>461</v>
      </c>
      <c r="N14" s="609" t="s">
        <v>461</v>
      </c>
      <c r="O14" s="609"/>
    </row>
    <row r="15" spans="1:569" ht="15" thickBot="1" x14ac:dyDescent="0.35">
      <c r="A15" s="589" t="s">
        <v>564</v>
      </c>
      <c r="B15" s="579"/>
      <c r="C15" s="579"/>
      <c r="D15" s="579"/>
      <c r="E15" s="589" t="s">
        <v>564</v>
      </c>
      <c r="F15" s="578" t="s">
        <v>565</v>
      </c>
      <c r="G15" s="578" t="s">
        <v>566</v>
      </c>
      <c r="H15" s="579"/>
      <c r="L15" s="609" t="s">
        <v>1094</v>
      </c>
      <c r="M15" s="609" t="s">
        <v>461</v>
      </c>
      <c r="N15" s="609" t="s">
        <v>461</v>
      </c>
      <c r="O15" s="609"/>
    </row>
    <row r="16" spans="1:569" ht="15" thickBot="1" x14ac:dyDescent="0.35">
      <c r="A16" s="579" t="s">
        <v>560</v>
      </c>
      <c r="B16" s="252" t="e">
        <f>+B7</f>
        <v>#N/A</v>
      </c>
      <c r="C16" s="253"/>
      <c r="D16" s="253"/>
      <c r="E16" s="579" t="s">
        <v>567</v>
      </c>
      <c r="F16" s="636">
        <f>Import!L194</f>
        <v>0</v>
      </c>
      <c r="G16" s="597" t="e">
        <f>+B18</f>
        <v>#N/A</v>
      </c>
      <c r="H16" s="579"/>
      <c r="K16" s="609">
        <v>990</v>
      </c>
      <c r="L16" s="609" t="s">
        <v>1095</v>
      </c>
      <c r="M16" s="609" t="s">
        <v>461</v>
      </c>
      <c r="N16" s="609" t="s">
        <v>461</v>
      </c>
      <c r="O16" s="609"/>
    </row>
    <row r="17" spans="1:16" ht="15" thickBot="1" x14ac:dyDescent="0.35">
      <c r="A17" s="579" t="s">
        <v>568</v>
      </c>
      <c r="B17" s="664">
        <f>Import!L209</f>
        <v>0</v>
      </c>
      <c r="C17" s="579"/>
      <c r="D17" s="579"/>
      <c r="E17" s="579"/>
      <c r="F17" s="598"/>
      <c r="G17" s="598"/>
      <c r="H17" s="579"/>
      <c r="J17" s="609">
        <v>648</v>
      </c>
      <c r="L17" s="609" t="s">
        <v>1096</v>
      </c>
      <c r="M17" s="609" t="s">
        <v>461</v>
      </c>
      <c r="N17" s="609" t="s">
        <v>461</v>
      </c>
      <c r="O17" s="609"/>
    </row>
    <row r="18" spans="1:16" ht="29.4" thickBot="1" x14ac:dyDescent="0.35">
      <c r="A18" s="579" t="s">
        <v>561</v>
      </c>
      <c r="B18" s="596" t="e">
        <f>ROUND((B16/100)*B17,0)</f>
        <v>#N/A</v>
      </c>
      <c r="C18" s="256"/>
      <c r="D18" s="254"/>
      <c r="E18" s="590" t="s">
        <v>1098</v>
      </c>
      <c r="F18" s="596">
        <f>IF(F16=0,F11-F16,F11-MAX(F16,G16))</f>
        <v>0</v>
      </c>
      <c r="G18" s="598"/>
      <c r="H18" s="579"/>
      <c r="L18" s="609" t="s">
        <v>473</v>
      </c>
      <c r="M18" s="609" t="s">
        <v>461</v>
      </c>
      <c r="N18" s="609" t="s">
        <v>461</v>
      </c>
      <c r="O18" s="609"/>
    </row>
    <row r="19" spans="1:16" x14ac:dyDescent="0.3">
      <c r="A19" s="579"/>
      <c r="B19" s="579"/>
      <c r="C19" s="579"/>
      <c r="D19" s="591"/>
      <c r="E19" s="579"/>
      <c r="F19" s="526"/>
      <c r="G19" s="256"/>
      <c r="H19" s="579"/>
      <c r="L19" s="609" t="s">
        <v>1097</v>
      </c>
      <c r="M19" s="609" t="s">
        <v>461</v>
      </c>
      <c r="N19" s="609" t="s">
        <v>461</v>
      </c>
      <c r="O19" s="609"/>
    </row>
    <row r="20" spans="1:16" x14ac:dyDescent="0.3">
      <c r="A20" s="581"/>
      <c r="B20" s="582"/>
      <c r="C20" s="581"/>
      <c r="D20" s="579"/>
      <c r="E20" s="581"/>
      <c r="F20" s="582"/>
      <c r="G20" s="582"/>
      <c r="H20" s="579"/>
      <c r="L20" s="609" t="s">
        <v>1099</v>
      </c>
      <c r="M20" s="609" t="s">
        <v>461</v>
      </c>
      <c r="N20" s="609" t="s">
        <v>461</v>
      </c>
      <c r="O20" s="609"/>
    </row>
    <row r="21" spans="1:16" ht="15" thickBot="1" x14ac:dyDescent="0.35">
      <c r="A21" s="579"/>
      <c r="B21" s="579"/>
      <c r="C21" s="579"/>
      <c r="D21" s="579"/>
      <c r="E21" s="589" t="s">
        <v>569</v>
      </c>
      <c r="F21" s="589"/>
      <c r="G21" s="589"/>
      <c r="H21" s="579"/>
      <c r="L21" s="609" t="s">
        <v>800</v>
      </c>
      <c r="M21" s="609" t="s">
        <v>461</v>
      </c>
      <c r="N21" s="609" t="s">
        <v>461</v>
      </c>
      <c r="O21" s="609"/>
    </row>
    <row r="22" spans="1:16" ht="15" thickBot="1" x14ac:dyDescent="0.35">
      <c r="A22" s="579"/>
      <c r="B22" s="637"/>
      <c r="C22" s="579"/>
      <c r="D22" s="583"/>
      <c r="E22" s="579" t="s">
        <v>570</v>
      </c>
      <c r="F22" s="599" t="e">
        <f>MAX(B8,B12)</f>
        <v>#N/A</v>
      </c>
      <c r="G22" s="591"/>
      <c r="H22" s="254"/>
      <c r="L22" s="609" t="s">
        <v>1100</v>
      </c>
      <c r="M22" s="609" t="s">
        <v>461</v>
      </c>
      <c r="N22" s="609" t="s">
        <v>461</v>
      </c>
      <c r="O22" s="609"/>
    </row>
    <row r="23" spans="1:16" ht="15" thickBot="1" x14ac:dyDescent="0.35">
      <c r="A23" s="579"/>
      <c r="B23" s="637"/>
      <c r="C23" s="579"/>
      <c r="D23" s="589"/>
      <c r="E23" s="579"/>
      <c r="F23" s="649"/>
      <c r="G23" s="591"/>
      <c r="H23" s="254"/>
      <c r="L23" s="609" t="s">
        <v>1101</v>
      </c>
      <c r="M23" s="609" t="s">
        <v>461</v>
      </c>
      <c r="N23" s="609" t="s">
        <v>461</v>
      </c>
      <c r="O23" s="609"/>
    </row>
    <row r="24" spans="1:16" ht="15" thickBot="1" x14ac:dyDescent="0.35">
      <c r="B24" s="634"/>
      <c r="D24" s="591"/>
      <c r="E24" s="579" t="s">
        <v>571</v>
      </c>
      <c r="F24" s="600">
        <f>IF(F7=0,0,IF(F18&lt;=F22,"Yes", "No, unit exceeds limit by:"))</f>
        <v>0</v>
      </c>
      <c r="G24" s="579"/>
      <c r="H24" s="579"/>
      <c r="L24" s="611" t="s">
        <v>801</v>
      </c>
      <c r="M24" s="611">
        <v>0.03</v>
      </c>
      <c r="N24" s="611">
        <v>0.05</v>
      </c>
      <c r="O24" s="609" t="s">
        <v>1457</v>
      </c>
      <c r="P24" s="618" t="s">
        <v>1453</v>
      </c>
    </row>
    <row r="25" spans="1:16" ht="15" thickBot="1" x14ac:dyDescent="0.35">
      <c r="B25" s="634"/>
      <c r="C25" s="579"/>
      <c r="D25" s="591"/>
      <c r="E25" s="579"/>
      <c r="F25" s="600" t="e">
        <f>IF(F18-F22&lt;=0,0,F18-F22)</f>
        <v>#N/A</v>
      </c>
      <c r="G25" s="257"/>
      <c r="H25" s="589"/>
      <c r="L25" s="609" t="s">
        <v>474</v>
      </c>
      <c r="M25" s="609" t="s">
        <v>461</v>
      </c>
      <c r="N25" s="609" t="s">
        <v>461</v>
      </c>
      <c r="O25" s="609"/>
    </row>
    <row r="26" spans="1:16" ht="15" thickBot="1" x14ac:dyDescent="0.35">
      <c r="B26" s="634"/>
      <c r="C26" s="579"/>
      <c r="D26" s="592"/>
      <c r="E26" s="579"/>
      <c r="F26" s="598"/>
      <c r="G26" s="579"/>
      <c r="H26" s="579"/>
      <c r="L26" s="609" t="s">
        <v>802</v>
      </c>
      <c r="M26" s="609" t="s">
        <v>461</v>
      </c>
      <c r="N26" s="609" t="s">
        <v>461</v>
      </c>
      <c r="O26" s="609"/>
    </row>
    <row r="27" spans="1:16" x14ac:dyDescent="0.3">
      <c r="A27" s="579"/>
      <c r="B27" s="637"/>
      <c r="C27" s="579"/>
      <c r="D27" s="592"/>
      <c r="E27" s="593" t="s">
        <v>572</v>
      </c>
      <c r="F27" s="601">
        <f>IF(F16=0,0,F16-G16)</f>
        <v>0</v>
      </c>
      <c r="G27" s="579"/>
      <c r="H27" s="579"/>
      <c r="L27" s="609" t="s">
        <v>1102</v>
      </c>
      <c r="M27" s="609" t="s">
        <v>461</v>
      </c>
      <c r="N27" s="609" t="s">
        <v>461</v>
      </c>
      <c r="O27" s="609"/>
    </row>
    <row r="28" spans="1:16" ht="33.75" customHeight="1" thickBot="1" x14ac:dyDescent="0.35">
      <c r="A28" s="579"/>
      <c r="B28" s="637"/>
      <c r="C28" s="579"/>
      <c r="D28" s="579"/>
      <c r="E28" s="579"/>
      <c r="F28" s="258" t="str">
        <f>IF(F27=0,"","Investigate")</f>
        <v/>
      </c>
      <c r="G28" s="579"/>
      <c r="H28" s="579"/>
      <c r="L28" s="609" t="s">
        <v>1103</v>
      </c>
      <c r="M28" s="609" t="s">
        <v>461</v>
      </c>
      <c r="N28" s="609" t="s">
        <v>461</v>
      </c>
      <c r="O28" s="609"/>
    </row>
    <row r="29" spans="1:16" x14ac:dyDescent="0.3">
      <c r="A29" s="583"/>
      <c r="B29" s="579"/>
      <c r="C29" s="579"/>
      <c r="D29" s="579"/>
      <c r="E29" s="583" t="s">
        <v>573</v>
      </c>
      <c r="F29" s="579"/>
      <c r="G29" s="579"/>
      <c r="H29" s="579"/>
      <c r="L29" s="609" t="s">
        <v>1104</v>
      </c>
      <c r="M29" s="609" t="s">
        <v>461</v>
      </c>
      <c r="N29" s="609" t="s">
        <v>461</v>
      </c>
      <c r="O29" s="609"/>
    </row>
    <row r="30" spans="1:16" ht="14.4" customHeight="1" x14ac:dyDescent="0.3">
      <c r="A30" s="594"/>
      <c r="B30" s="594"/>
      <c r="C30" s="594"/>
      <c r="D30" s="579"/>
      <c r="E30" s="1181" t="s">
        <v>1489</v>
      </c>
      <c r="F30" s="1182"/>
      <c r="G30" s="1183"/>
      <c r="H30" s="579"/>
      <c r="L30" s="609" t="s">
        <v>475</v>
      </c>
      <c r="M30" s="609" t="s">
        <v>461</v>
      </c>
      <c r="N30" s="609" t="s">
        <v>461</v>
      </c>
      <c r="O30" s="609"/>
    </row>
    <row r="31" spans="1:16" x14ac:dyDescent="0.3">
      <c r="A31" s="579"/>
      <c r="B31" s="579"/>
      <c r="C31" s="594"/>
      <c r="D31" s="579"/>
      <c r="E31" s="1184"/>
      <c r="F31" s="1185"/>
      <c r="G31" s="1186"/>
      <c r="H31" s="579"/>
      <c r="L31" s="609" t="s">
        <v>1105</v>
      </c>
      <c r="M31" s="609" t="s">
        <v>461</v>
      </c>
      <c r="N31" s="609" t="s">
        <v>461</v>
      </c>
      <c r="O31" s="609"/>
    </row>
    <row r="32" spans="1:16" x14ac:dyDescent="0.3">
      <c r="A32" s="594"/>
      <c r="B32" s="594"/>
      <c r="C32" s="594"/>
      <c r="D32" s="579"/>
      <c r="E32" s="1184"/>
      <c r="F32" s="1185"/>
      <c r="G32" s="1186"/>
      <c r="L32" s="609" t="s">
        <v>1106</v>
      </c>
      <c r="M32" s="609" t="s">
        <v>461</v>
      </c>
      <c r="N32" s="609" t="s">
        <v>461</v>
      </c>
      <c r="O32" s="609"/>
    </row>
    <row r="33" spans="1:16" ht="30" customHeight="1" x14ac:dyDescent="0.3">
      <c r="A33" s="594"/>
      <c r="B33" s="594"/>
      <c r="C33" s="594"/>
      <c r="D33" s="579"/>
      <c r="E33" s="1187"/>
      <c r="F33" s="1188"/>
      <c r="G33" s="1189"/>
      <c r="L33" s="609" t="s">
        <v>1107</v>
      </c>
      <c r="M33" s="609" t="s">
        <v>461</v>
      </c>
      <c r="N33" s="609" t="s">
        <v>461</v>
      </c>
      <c r="O33" s="609"/>
    </row>
    <row r="34" spans="1:16" x14ac:dyDescent="0.3">
      <c r="A34" s="594"/>
      <c r="B34" s="594"/>
      <c r="C34" s="594"/>
      <c r="D34" s="579"/>
      <c r="E34" s="595"/>
      <c r="F34" s="595"/>
      <c r="G34" s="595"/>
      <c r="L34" s="609" t="s">
        <v>1108</v>
      </c>
      <c r="M34" s="609" t="s">
        <v>461</v>
      </c>
      <c r="N34" s="609" t="s">
        <v>461</v>
      </c>
      <c r="O34" s="609"/>
    </row>
    <row r="35" spans="1:16" x14ac:dyDescent="0.3">
      <c r="A35" s="594"/>
      <c r="B35" s="594"/>
      <c r="C35" s="594"/>
      <c r="D35" s="579"/>
      <c r="E35" s="1181" t="s">
        <v>1420</v>
      </c>
      <c r="F35" s="1182"/>
      <c r="G35" s="1183"/>
      <c r="L35" s="611" t="s">
        <v>476</v>
      </c>
      <c r="M35" s="611">
        <v>0.03</v>
      </c>
      <c r="N35" s="611">
        <v>0.05</v>
      </c>
      <c r="O35" s="609" t="s">
        <v>1457</v>
      </c>
      <c r="P35" s="618" t="s">
        <v>1453</v>
      </c>
    </row>
    <row r="36" spans="1:16" x14ac:dyDescent="0.3">
      <c r="A36" s="579"/>
      <c r="B36" s="579"/>
      <c r="C36" s="579"/>
      <c r="D36" s="579"/>
      <c r="E36" s="1184"/>
      <c r="F36" s="1190"/>
      <c r="G36" s="1186"/>
      <c r="L36" s="609" t="s">
        <v>803</v>
      </c>
      <c r="M36" s="609" t="s">
        <v>461</v>
      </c>
      <c r="N36" s="609" t="s">
        <v>461</v>
      </c>
      <c r="O36" s="609"/>
    </row>
    <row r="37" spans="1:16" x14ac:dyDescent="0.3">
      <c r="A37" s="579"/>
      <c r="B37" s="579"/>
      <c r="C37" s="579"/>
      <c r="D37" s="579"/>
      <c r="E37" s="1187"/>
      <c r="F37" s="1188"/>
      <c r="G37" s="1189"/>
      <c r="L37" s="609" t="s">
        <v>477</v>
      </c>
      <c r="M37" s="609" t="s">
        <v>461</v>
      </c>
      <c r="N37" s="609" t="s">
        <v>461</v>
      </c>
      <c r="O37" s="609"/>
    </row>
    <row r="38" spans="1:16" x14ac:dyDescent="0.3">
      <c r="A38" s="579"/>
      <c r="B38" s="579"/>
      <c r="C38" s="579"/>
      <c r="D38" s="579"/>
      <c r="E38" s="579"/>
      <c r="F38" s="579"/>
      <c r="G38" s="579"/>
      <c r="L38" s="609" t="s">
        <v>1110</v>
      </c>
      <c r="M38" s="609" t="s">
        <v>461</v>
      </c>
      <c r="N38" s="609" t="s">
        <v>461</v>
      </c>
      <c r="O38" s="609"/>
    </row>
    <row r="39" spans="1:16" ht="15" thickBot="1" x14ac:dyDescent="0.35">
      <c r="C39" s="579"/>
      <c r="D39" s="579"/>
      <c r="E39" s="1191" t="s">
        <v>574</v>
      </c>
      <c r="F39" s="1191"/>
      <c r="G39" s="1191"/>
      <c r="L39" s="611" t="s">
        <v>1111</v>
      </c>
      <c r="M39" s="611">
        <v>0.03</v>
      </c>
      <c r="N39" s="611">
        <v>0.05</v>
      </c>
      <c r="O39" s="609" t="s">
        <v>1457</v>
      </c>
      <c r="P39" s="618" t="s">
        <v>1453</v>
      </c>
    </row>
    <row r="40" spans="1:16" x14ac:dyDescent="0.3">
      <c r="A40" s="579"/>
      <c r="B40" s="579"/>
      <c r="C40" s="579"/>
      <c r="D40" s="579"/>
      <c r="E40" s="1170"/>
      <c r="F40" s="1171"/>
      <c r="G40" s="1172"/>
      <c r="L40" s="609" t="s">
        <v>1112</v>
      </c>
      <c r="M40" s="609" t="s">
        <v>461</v>
      </c>
      <c r="N40" s="609" t="s">
        <v>461</v>
      </c>
      <c r="O40" s="609"/>
    </row>
    <row r="41" spans="1:16" x14ac:dyDescent="0.3">
      <c r="A41" s="579"/>
      <c r="B41" s="579"/>
      <c r="C41" s="579"/>
      <c r="D41" s="579"/>
      <c r="E41" s="1173"/>
      <c r="F41" s="1174"/>
      <c r="G41" s="1175"/>
      <c r="L41" s="609" t="s">
        <v>1113</v>
      </c>
      <c r="M41" s="609" t="s">
        <v>461</v>
      </c>
      <c r="N41" s="609" t="s">
        <v>461</v>
      </c>
      <c r="O41" s="609"/>
    </row>
    <row r="42" spans="1:16" x14ac:dyDescent="0.3">
      <c r="A42" s="579"/>
      <c r="B42" s="579"/>
      <c r="C42" s="579"/>
      <c r="D42" s="579"/>
      <c r="E42" s="1173"/>
      <c r="F42" s="1174"/>
      <c r="G42" s="1175"/>
      <c r="L42" s="609" t="s">
        <v>1109</v>
      </c>
      <c r="M42" s="609" t="s">
        <v>461</v>
      </c>
      <c r="N42" s="609" t="s">
        <v>461</v>
      </c>
      <c r="O42" s="609"/>
    </row>
    <row r="43" spans="1:16" x14ac:dyDescent="0.3">
      <c r="A43" s="579"/>
      <c r="B43" s="579"/>
      <c r="C43" s="579"/>
      <c r="D43" s="579"/>
      <c r="E43" s="1173"/>
      <c r="F43" s="1174"/>
      <c r="G43" s="1175"/>
      <c r="L43" s="609" t="s">
        <v>479</v>
      </c>
      <c r="M43" s="609" t="s">
        <v>461</v>
      </c>
      <c r="N43" s="609" t="s">
        <v>461</v>
      </c>
      <c r="O43" s="609"/>
    </row>
    <row r="44" spans="1:16" x14ac:dyDescent="0.3">
      <c r="D44" s="579"/>
      <c r="E44" s="1173"/>
      <c r="F44" s="1174"/>
      <c r="G44" s="1175"/>
      <c r="L44" s="609" t="s">
        <v>1114</v>
      </c>
      <c r="M44" s="609" t="s">
        <v>461</v>
      </c>
      <c r="N44" s="609" t="s">
        <v>461</v>
      </c>
      <c r="O44" s="609"/>
    </row>
    <row r="45" spans="1:16" x14ac:dyDescent="0.3">
      <c r="D45" s="579"/>
      <c r="E45" s="1173"/>
      <c r="F45" s="1174"/>
      <c r="G45" s="1175"/>
      <c r="L45" s="609" t="s">
        <v>1115</v>
      </c>
      <c r="M45" s="609" t="s">
        <v>461</v>
      </c>
      <c r="N45" s="609" t="s">
        <v>461</v>
      </c>
      <c r="O45" s="609"/>
    </row>
    <row r="46" spans="1:16" x14ac:dyDescent="0.3">
      <c r="E46" s="1173"/>
      <c r="F46" s="1174"/>
      <c r="G46" s="1175"/>
      <c r="L46" s="609" t="s">
        <v>1116</v>
      </c>
      <c r="M46" s="609" t="s">
        <v>461</v>
      </c>
      <c r="N46" s="609" t="s">
        <v>461</v>
      </c>
      <c r="O46" s="609"/>
    </row>
    <row r="47" spans="1:16" x14ac:dyDescent="0.3">
      <c r="E47" s="1173"/>
      <c r="F47" s="1174"/>
      <c r="G47" s="1175"/>
      <c r="L47" s="609" t="s">
        <v>480</v>
      </c>
      <c r="M47" s="609" t="s">
        <v>461</v>
      </c>
      <c r="N47" s="609" t="s">
        <v>461</v>
      </c>
      <c r="O47" s="609" t="s">
        <v>1548</v>
      </c>
    </row>
    <row r="48" spans="1:16" x14ac:dyDescent="0.3">
      <c r="E48" s="1173"/>
      <c r="F48" s="1174"/>
      <c r="G48" s="1175"/>
      <c r="L48" s="609" t="s">
        <v>1117</v>
      </c>
      <c r="M48" s="609" t="s">
        <v>461</v>
      </c>
      <c r="N48" s="609" t="s">
        <v>461</v>
      </c>
      <c r="O48" s="609"/>
    </row>
    <row r="49" spans="5:15" x14ac:dyDescent="0.3">
      <c r="E49" s="1173"/>
      <c r="F49" s="1174"/>
      <c r="G49" s="1175"/>
      <c r="L49" s="609" t="s">
        <v>1118</v>
      </c>
      <c r="M49" s="609" t="s">
        <v>461</v>
      </c>
      <c r="N49" s="609" t="s">
        <v>461</v>
      </c>
      <c r="O49" s="609"/>
    </row>
    <row r="50" spans="5:15" x14ac:dyDescent="0.3">
      <c r="E50" s="1173"/>
      <c r="F50" s="1174"/>
      <c r="G50" s="1175"/>
      <c r="L50" s="609" t="s">
        <v>1119</v>
      </c>
      <c r="M50" s="609" t="s">
        <v>461</v>
      </c>
      <c r="N50" s="609" t="s">
        <v>461</v>
      </c>
      <c r="O50" s="609"/>
    </row>
    <row r="51" spans="5:15" ht="15" thickBot="1" x14ac:dyDescent="0.35">
      <c r="E51" s="1176"/>
      <c r="F51" s="1177"/>
      <c r="G51" s="1178"/>
      <c r="L51" s="609" t="s">
        <v>481</v>
      </c>
      <c r="M51" s="609" t="s">
        <v>461</v>
      </c>
      <c r="N51" s="609" t="s">
        <v>461</v>
      </c>
      <c r="O51" s="609"/>
    </row>
    <row r="52" spans="5:15" x14ac:dyDescent="0.3">
      <c r="L52" s="609" t="s">
        <v>1120</v>
      </c>
      <c r="M52" s="609" t="s">
        <v>461</v>
      </c>
      <c r="N52" s="609" t="s">
        <v>461</v>
      </c>
      <c r="O52" s="609"/>
    </row>
    <row r="53" spans="5:15" x14ac:dyDescent="0.3">
      <c r="L53" s="609" t="s">
        <v>1122</v>
      </c>
      <c r="M53" s="609" t="s">
        <v>461</v>
      </c>
      <c r="N53" s="609" t="s">
        <v>461</v>
      </c>
      <c r="O53" s="609"/>
    </row>
    <row r="54" spans="5:15" x14ac:dyDescent="0.3">
      <c r="L54" s="609" t="s">
        <v>1121</v>
      </c>
      <c r="M54" s="609" t="s">
        <v>461</v>
      </c>
      <c r="N54" s="609" t="s">
        <v>461</v>
      </c>
      <c r="O54" s="609"/>
    </row>
    <row r="55" spans="5:15" x14ac:dyDescent="0.3">
      <c r="L55" s="609" t="s">
        <v>1123</v>
      </c>
      <c r="M55" s="609" t="s">
        <v>461</v>
      </c>
      <c r="N55" s="609" t="s">
        <v>461</v>
      </c>
      <c r="O55" s="609"/>
    </row>
    <row r="56" spans="5:15" x14ac:dyDescent="0.3">
      <c r="L56" s="609" t="s">
        <v>482</v>
      </c>
      <c r="M56" s="609" t="s">
        <v>461</v>
      </c>
      <c r="N56" s="609" t="s">
        <v>461</v>
      </c>
      <c r="O56" s="609"/>
    </row>
    <row r="57" spans="5:15" x14ac:dyDescent="0.3">
      <c r="L57" s="609" t="s">
        <v>1124</v>
      </c>
      <c r="M57" s="609" t="s">
        <v>461</v>
      </c>
      <c r="N57" s="609" t="s">
        <v>461</v>
      </c>
      <c r="O57" s="609"/>
    </row>
    <row r="58" spans="5:15" x14ac:dyDescent="0.3">
      <c r="L58" s="609" t="s">
        <v>1125</v>
      </c>
      <c r="M58" s="609" t="s">
        <v>461</v>
      </c>
      <c r="N58" s="609" t="s">
        <v>461</v>
      </c>
      <c r="O58" s="609"/>
    </row>
    <row r="59" spans="5:15" x14ac:dyDescent="0.3">
      <c r="L59" s="612" t="s">
        <v>1126</v>
      </c>
      <c r="M59" s="612">
        <v>0.15</v>
      </c>
      <c r="N59" s="612" t="s">
        <v>461</v>
      </c>
      <c r="O59" s="609" t="s">
        <v>1452</v>
      </c>
    </row>
    <row r="60" spans="5:15" x14ac:dyDescent="0.3">
      <c r="L60" s="609" t="s">
        <v>483</v>
      </c>
      <c r="M60" s="609" t="s">
        <v>461</v>
      </c>
      <c r="N60" s="609" t="s">
        <v>461</v>
      </c>
      <c r="O60" s="609"/>
    </row>
    <row r="61" spans="5:15" x14ac:dyDescent="0.3">
      <c r="L61" s="609" t="s">
        <v>1127</v>
      </c>
      <c r="M61" s="609" t="s">
        <v>461</v>
      </c>
      <c r="N61" s="609" t="s">
        <v>461</v>
      </c>
      <c r="O61" s="609"/>
    </row>
    <row r="62" spans="5:15" x14ac:dyDescent="0.3">
      <c r="L62" s="609" t="s">
        <v>1128</v>
      </c>
      <c r="M62" s="609" t="s">
        <v>461</v>
      </c>
      <c r="N62" s="609" t="s">
        <v>461</v>
      </c>
      <c r="O62" s="609"/>
    </row>
    <row r="63" spans="5:15" x14ac:dyDescent="0.3">
      <c r="L63" s="609" t="s">
        <v>1129</v>
      </c>
      <c r="M63" s="609" t="s">
        <v>461</v>
      </c>
      <c r="N63" s="609" t="s">
        <v>461</v>
      </c>
      <c r="O63" s="609"/>
    </row>
    <row r="64" spans="5:15" x14ac:dyDescent="0.3">
      <c r="L64" s="609" t="s">
        <v>1130</v>
      </c>
      <c r="M64" s="609" t="s">
        <v>461</v>
      </c>
      <c r="N64" s="609" t="s">
        <v>461</v>
      </c>
      <c r="O64" s="609"/>
    </row>
    <row r="65" spans="12:15" x14ac:dyDescent="0.3">
      <c r="L65" s="609" t="s">
        <v>1131</v>
      </c>
      <c r="M65" s="609" t="s">
        <v>461</v>
      </c>
      <c r="N65" s="609" t="s">
        <v>461</v>
      </c>
      <c r="O65" s="609"/>
    </row>
    <row r="66" spans="12:15" x14ac:dyDescent="0.3">
      <c r="L66" s="609" t="s">
        <v>804</v>
      </c>
      <c r="M66" s="609" t="s">
        <v>461</v>
      </c>
      <c r="N66" s="609" t="s">
        <v>461</v>
      </c>
      <c r="O66" s="609"/>
    </row>
    <row r="67" spans="12:15" x14ac:dyDescent="0.3">
      <c r="L67" s="609" t="s">
        <v>1132</v>
      </c>
      <c r="M67" s="609" t="s">
        <v>461</v>
      </c>
      <c r="N67" s="609" t="s">
        <v>461</v>
      </c>
      <c r="O67" s="609"/>
    </row>
    <row r="68" spans="12:15" x14ac:dyDescent="0.3">
      <c r="L68" s="609" t="s">
        <v>1133</v>
      </c>
      <c r="M68" s="609" t="s">
        <v>461</v>
      </c>
      <c r="N68" s="609" t="s">
        <v>461</v>
      </c>
      <c r="O68" s="609"/>
    </row>
    <row r="69" spans="12:15" x14ac:dyDescent="0.3">
      <c r="L69" s="609" t="s">
        <v>1134</v>
      </c>
      <c r="M69" s="609" t="s">
        <v>461</v>
      </c>
      <c r="N69" s="609" t="s">
        <v>461</v>
      </c>
      <c r="O69" s="609"/>
    </row>
    <row r="70" spans="12:15" x14ac:dyDescent="0.3">
      <c r="L70" s="609" t="s">
        <v>1135</v>
      </c>
      <c r="M70" s="609" t="s">
        <v>461</v>
      </c>
      <c r="N70" s="609" t="s">
        <v>461</v>
      </c>
      <c r="O70" s="609"/>
    </row>
    <row r="71" spans="12:15" x14ac:dyDescent="0.3">
      <c r="L71" s="609" t="s">
        <v>1136</v>
      </c>
      <c r="M71" s="609" t="s">
        <v>461</v>
      </c>
      <c r="N71" s="609" t="s">
        <v>461</v>
      </c>
      <c r="O71" s="609"/>
    </row>
    <row r="72" spans="12:15" x14ac:dyDescent="0.3">
      <c r="L72" s="609" t="s">
        <v>1137</v>
      </c>
      <c r="M72" s="609" t="s">
        <v>461</v>
      </c>
      <c r="N72" s="609" t="s">
        <v>461</v>
      </c>
      <c r="O72" s="609"/>
    </row>
    <row r="73" spans="12:15" x14ac:dyDescent="0.3">
      <c r="L73" s="609" t="s">
        <v>1138</v>
      </c>
      <c r="M73" s="609" t="s">
        <v>461</v>
      </c>
      <c r="N73" s="609" t="s">
        <v>461</v>
      </c>
      <c r="O73" s="609"/>
    </row>
    <row r="74" spans="12:15" x14ac:dyDescent="0.3">
      <c r="L74" s="609" t="s">
        <v>1139</v>
      </c>
      <c r="M74" s="609" t="s">
        <v>461</v>
      </c>
      <c r="N74" s="609" t="s">
        <v>461</v>
      </c>
      <c r="O74" s="609"/>
    </row>
    <row r="75" spans="12:15" x14ac:dyDescent="0.3">
      <c r="L75" s="609" t="s">
        <v>1140</v>
      </c>
      <c r="M75" s="609" t="s">
        <v>461</v>
      </c>
      <c r="N75" s="609" t="s">
        <v>461</v>
      </c>
      <c r="O75" s="609"/>
    </row>
    <row r="76" spans="12:15" x14ac:dyDescent="0.3">
      <c r="L76" s="609" t="s">
        <v>1141</v>
      </c>
      <c r="M76" s="609" t="s">
        <v>461</v>
      </c>
      <c r="N76" s="609" t="s">
        <v>461</v>
      </c>
      <c r="O76" s="609"/>
    </row>
    <row r="77" spans="12:15" x14ac:dyDescent="0.3">
      <c r="L77" s="609" t="s">
        <v>1142</v>
      </c>
      <c r="M77" s="609" t="s">
        <v>461</v>
      </c>
      <c r="N77" s="609" t="s">
        <v>461</v>
      </c>
      <c r="O77" s="609"/>
    </row>
    <row r="78" spans="12:15" x14ac:dyDescent="0.3">
      <c r="L78" s="609" t="s">
        <v>1143</v>
      </c>
      <c r="M78" s="609" t="s">
        <v>461</v>
      </c>
      <c r="N78" s="609" t="s">
        <v>461</v>
      </c>
      <c r="O78" s="609"/>
    </row>
    <row r="79" spans="12:15" x14ac:dyDescent="0.3">
      <c r="L79" s="609" t="s">
        <v>1144</v>
      </c>
      <c r="M79" s="609" t="s">
        <v>461</v>
      </c>
      <c r="N79" s="609" t="s">
        <v>461</v>
      </c>
      <c r="O79" s="609"/>
    </row>
    <row r="80" spans="12:15" x14ac:dyDescent="0.3">
      <c r="L80" s="609" t="s">
        <v>1145</v>
      </c>
      <c r="M80" s="609" t="s">
        <v>461</v>
      </c>
      <c r="N80" s="609" t="s">
        <v>461</v>
      </c>
      <c r="O80" s="609"/>
    </row>
    <row r="81" spans="12:15" x14ac:dyDescent="0.3">
      <c r="L81" s="609" t="s">
        <v>1146</v>
      </c>
      <c r="M81" s="609" t="s">
        <v>461</v>
      </c>
      <c r="N81" s="609" t="s">
        <v>461</v>
      </c>
      <c r="O81" s="609"/>
    </row>
    <row r="82" spans="12:15" x14ac:dyDescent="0.3">
      <c r="L82" s="609" t="s">
        <v>1147</v>
      </c>
      <c r="M82" s="609" t="s">
        <v>461</v>
      </c>
      <c r="N82" s="609" t="s">
        <v>461</v>
      </c>
      <c r="O82" s="609"/>
    </row>
    <row r="83" spans="12:15" x14ac:dyDescent="0.3">
      <c r="L83" s="609" t="s">
        <v>805</v>
      </c>
      <c r="M83" s="609" t="s">
        <v>461</v>
      </c>
      <c r="N83" s="609" t="s">
        <v>461</v>
      </c>
      <c r="O83" s="609"/>
    </row>
    <row r="84" spans="12:15" x14ac:dyDescent="0.3">
      <c r="L84" s="609" t="s">
        <v>484</v>
      </c>
      <c r="M84" s="609" t="s">
        <v>461</v>
      </c>
      <c r="N84" s="609" t="s">
        <v>461</v>
      </c>
      <c r="O84" s="609"/>
    </row>
    <row r="85" spans="12:15" x14ac:dyDescent="0.3">
      <c r="L85" s="609" t="s">
        <v>1148</v>
      </c>
      <c r="M85" s="609" t="s">
        <v>461</v>
      </c>
      <c r="N85" s="609" t="s">
        <v>461</v>
      </c>
      <c r="O85" s="609"/>
    </row>
    <row r="86" spans="12:15" x14ac:dyDescent="0.3">
      <c r="L86" s="609" t="s">
        <v>1149</v>
      </c>
      <c r="M86" s="609" t="s">
        <v>461</v>
      </c>
      <c r="N86" s="609" t="s">
        <v>461</v>
      </c>
      <c r="O86" s="609"/>
    </row>
    <row r="87" spans="12:15" x14ac:dyDescent="0.3">
      <c r="L87" s="609" t="s">
        <v>1150</v>
      </c>
      <c r="M87" s="609" t="s">
        <v>461</v>
      </c>
      <c r="N87" s="609" t="s">
        <v>461</v>
      </c>
      <c r="O87" s="609"/>
    </row>
    <row r="88" spans="12:15" x14ac:dyDescent="0.3">
      <c r="L88" s="609" t="s">
        <v>1151</v>
      </c>
      <c r="M88" s="609" t="s">
        <v>461</v>
      </c>
      <c r="N88" s="609" t="s">
        <v>461</v>
      </c>
      <c r="O88" s="609"/>
    </row>
    <row r="89" spans="12:15" x14ac:dyDescent="0.3">
      <c r="L89" s="609" t="s">
        <v>485</v>
      </c>
      <c r="M89" s="609" t="s">
        <v>461</v>
      </c>
      <c r="N89" s="609" t="s">
        <v>461</v>
      </c>
      <c r="O89" s="609"/>
    </row>
    <row r="90" spans="12:15" x14ac:dyDescent="0.3">
      <c r="L90" s="609" t="s">
        <v>1152</v>
      </c>
      <c r="M90" s="609" t="s">
        <v>461</v>
      </c>
      <c r="N90" s="609" t="s">
        <v>461</v>
      </c>
      <c r="O90" s="609"/>
    </row>
    <row r="91" spans="12:15" x14ac:dyDescent="0.3">
      <c r="L91" s="609" t="s">
        <v>392</v>
      </c>
      <c r="M91" s="609" t="s">
        <v>461</v>
      </c>
      <c r="N91" s="609" t="s">
        <v>461</v>
      </c>
      <c r="O91" s="609"/>
    </row>
    <row r="92" spans="12:15" x14ac:dyDescent="0.3">
      <c r="L92" s="609" t="s">
        <v>393</v>
      </c>
      <c r="M92" s="609" t="s">
        <v>461</v>
      </c>
      <c r="N92" s="609" t="s">
        <v>461</v>
      </c>
      <c r="O92" s="609"/>
    </row>
    <row r="93" spans="12:15" x14ac:dyDescent="0.3">
      <c r="L93" s="612" t="s">
        <v>1153</v>
      </c>
      <c r="M93" s="612">
        <v>0.05</v>
      </c>
      <c r="N93" s="612" t="s">
        <v>461</v>
      </c>
      <c r="O93" s="609" t="s">
        <v>1452</v>
      </c>
    </row>
    <row r="94" spans="12:15" x14ac:dyDescent="0.3">
      <c r="L94" s="609" t="s">
        <v>486</v>
      </c>
      <c r="M94" s="609" t="s">
        <v>461</v>
      </c>
      <c r="N94" s="609" t="s">
        <v>461</v>
      </c>
      <c r="O94" s="609"/>
    </row>
    <row r="95" spans="12:15" x14ac:dyDescent="0.3">
      <c r="L95" s="609" t="s">
        <v>1154</v>
      </c>
      <c r="M95" s="609" t="s">
        <v>461</v>
      </c>
      <c r="N95" s="609" t="s">
        <v>461</v>
      </c>
      <c r="O95" s="609"/>
    </row>
    <row r="96" spans="12:15" x14ac:dyDescent="0.3">
      <c r="L96" s="609" t="s">
        <v>806</v>
      </c>
      <c r="M96" s="609" t="s">
        <v>461</v>
      </c>
      <c r="N96" s="609" t="s">
        <v>461</v>
      </c>
      <c r="O96" s="609"/>
    </row>
    <row r="97" spans="12:16" x14ac:dyDescent="0.3">
      <c r="L97" s="609" t="s">
        <v>1155</v>
      </c>
      <c r="M97" s="609" t="s">
        <v>461</v>
      </c>
      <c r="N97" s="609" t="s">
        <v>461</v>
      </c>
      <c r="O97" s="609"/>
    </row>
    <row r="98" spans="12:16" x14ac:dyDescent="0.3">
      <c r="L98" s="609" t="s">
        <v>807</v>
      </c>
      <c r="M98" s="609" t="s">
        <v>461</v>
      </c>
      <c r="N98" s="609" t="s">
        <v>461</v>
      </c>
      <c r="O98" s="609"/>
    </row>
    <row r="99" spans="12:16" x14ac:dyDescent="0.3">
      <c r="L99" s="611" t="s">
        <v>1156</v>
      </c>
      <c r="M99" s="611">
        <v>0.03</v>
      </c>
      <c r="N99" s="611">
        <v>0.05</v>
      </c>
      <c r="O99" s="609" t="s">
        <v>1457</v>
      </c>
      <c r="P99" s="618" t="s">
        <v>1453</v>
      </c>
    </row>
    <row r="100" spans="12:16" x14ac:dyDescent="0.3">
      <c r="L100" s="609" t="s">
        <v>1157</v>
      </c>
      <c r="M100" s="609" t="s">
        <v>461</v>
      </c>
      <c r="N100" s="609" t="s">
        <v>461</v>
      </c>
      <c r="O100" s="609"/>
    </row>
    <row r="101" spans="12:16" x14ac:dyDescent="0.3">
      <c r="L101" s="609" t="s">
        <v>1158</v>
      </c>
      <c r="M101" s="609" t="s">
        <v>461</v>
      </c>
      <c r="N101" s="609" t="s">
        <v>461</v>
      </c>
      <c r="O101" s="609"/>
    </row>
    <row r="102" spans="12:16" x14ac:dyDescent="0.3">
      <c r="L102" s="609" t="s">
        <v>1159</v>
      </c>
      <c r="M102" s="609" t="s">
        <v>461</v>
      </c>
      <c r="N102" s="609" t="s">
        <v>461</v>
      </c>
      <c r="O102" s="609"/>
    </row>
    <row r="103" spans="12:16" x14ac:dyDescent="0.3">
      <c r="L103" s="609" t="s">
        <v>1160</v>
      </c>
      <c r="M103" s="609" t="s">
        <v>461</v>
      </c>
      <c r="N103" s="609" t="s">
        <v>461</v>
      </c>
      <c r="O103" s="609"/>
    </row>
    <row r="104" spans="12:16" x14ac:dyDescent="0.3">
      <c r="L104" s="609" t="s">
        <v>1161</v>
      </c>
      <c r="M104" s="609" t="s">
        <v>461</v>
      </c>
      <c r="N104" s="609" t="s">
        <v>461</v>
      </c>
      <c r="O104" s="609"/>
    </row>
    <row r="105" spans="12:16" x14ac:dyDescent="0.3">
      <c r="L105" s="609" t="s">
        <v>808</v>
      </c>
      <c r="M105" s="609" t="s">
        <v>461</v>
      </c>
      <c r="N105" s="609" t="s">
        <v>461</v>
      </c>
      <c r="O105" s="609"/>
    </row>
    <row r="106" spans="12:16" x14ac:dyDescent="0.3">
      <c r="L106" s="609" t="s">
        <v>487</v>
      </c>
      <c r="M106" s="609" t="s">
        <v>461</v>
      </c>
      <c r="N106" s="609" t="s">
        <v>461</v>
      </c>
      <c r="O106" s="609"/>
    </row>
    <row r="107" spans="12:16" x14ac:dyDescent="0.3">
      <c r="L107" s="609" t="s">
        <v>488</v>
      </c>
      <c r="M107" s="609" t="s">
        <v>461</v>
      </c>
      <c r="N107" s="609" t="s">
        <v>461</v>
      </c>
      <c r="O107" s="609"/>
    </row>
    <row r="108" spans="12:16" x14ac:dyDescent="0.3">
      <c r="L108" s="609" t="s">
        <v>1162</v>
      </c>
      <c r="M108" s="609" t="s">
        <v>461</v>
      </c>
      <c r="N108" s="609" t="s">
        <v>461</v>
      </c>
      <c r="O108" s="609"/>
    </row>
    <row r="109" spans="12:16" x14ac:dyDescent="0.3">
      <c r="L109" s="609" t="s">
        <v>1163</v>
      </c>
      <c r="M109" s="609" t="s">
        <v>461</v>
      </c>
      <c r="N109" s="609" t="s">
        <v>461</v>
      </c>
      <c r="O109" s="609"/>
    </row>
    <row r="110" spans="12:16" x14ac:dyDescent="0.3">
      <c r="L110" s="609" t="s">
        <v>1164</v>
      </c>
      <c r="M110" s="609" t="s">
        <v>461</v>
      </c>
      <c r="N110" s="609" t="s">
        <v>461</v>
      </c>
      <c r="O110" s="609" t="s">
        <v>1548</v>
      </c>
    </row>
    <row r="111" spans="12:16" x14ac:dyDescent="0.3">
      <c r="L111" s="609" t="s">
        <v>809</v>
      </c>
      <c r="M111" s="609" t="s">
        <v>461</v>
      </c>
      <c r="N111" s="609" t="s">
        <v>461</v>
      </c>
      <c r="O111" s="609"/>
    </row>
    <row r="112" spans="12:16" x14ac:dyDescent="0.3">
      <c r="L112" s="609" t="s">
        <v>1165</v>
      </c>
      <c r="M112" s="609" t="s">
        <v>461</v>
      </c>
      <c r="N112" s="609" t="s">
        <v>461</v>
      </c>
      <c r="O112" s="609"/>
    </row>
    <row r="113" spans="12:15" x14ac:dyDescent="0.3">
      <c r="L113" s="609" t="s">
        <v>1166</v>
      </c>
      <c r="M113" s="609" t="s">
        <v>461</v>
      </c>
      <c r="N113" s="609" t="s">
        <v>461</v>
      </c>
      <c r="O113" s="609"/>
    </row>
    <row r="114" spans="12:15" x14ac:dyDescent="0.3">
      <c r="L114" s="609" t="s">
        <v>1167</v>
      </c>
      <c r="M114" s="609" t="s">
        <v>461</v>
      </c>
      <c r="N114" s="609" t="s">
        <v>461</v>
      </c>
      <c r="O114" s="609"/>
    </row>
    <row r="115" spans="12:15" x14ac:dyDescent="0.3">
      <c r="L115" s="609" t="s">
        <v>1168</v>
      </c>
      <c r="M115" s="609" t="s">
        <v>461</v>
      </c>
      <c r="N115" s="609" t="s">
        <v>461</v>
      </c>
      <c r="O115" s="609"/>
    </row>
    <row r="116" spans="12:15" x14ac:dyDescent="0.3">
      <c r="L116" s="612" t="s">
        <v>1169</v>
      </c>
      <c r="M116" s="612">
        <v>0.03</v>
      </c>
      <c r="N116" s="612" t="s">
        <v>461</v>
      </c>
      <c r="O116" s="609" t="s">
        <v>1452</v>
      </c>
    </row>
    <row r="117" spans="12:15" x14ac:dyDescent="0.3">
      <c r="L117" s="609" t="s">
        <v>1170</v>
      </c>
      <c r="M117" s="609" t="s">
        <v>461</v>
      </c>
      <c r="N117" s="609" t="s">
        <v>461</v>
      </c>
      <c r="O117" s="609"/>
    </row>
    <row r="118" spans="12:15" x14ac:dyDescent="0.3">
      <c r="L118" s="609" t="s">
        <v>1171</v>
      </c>
      <c r="M118" s="609" t="s">
        <v>461</v>
      </c>
      <c r="N118" s="609" t="s">
        <v>461</v>
      </c>
      <c r="O118" s="609"/>
    </row>
    <row r="119" spans="12:15" x14ac:dyDescent="0.3">
      <c r="L119" s="609" t="s">
        <v>1172</v>
      </c>
      <c r="M119" s="609" t="s">
        <v>461</v>
      </c>
      <c r="N119" s="609" t="s">
        <v>461</v>
      </c>
      <c r="O119" s="609"/>
    </row>
    <row r="120" spans="12:15" x14ac:dyDescent="0.3">
      <c r="L120" s="609" t="s">
        <v>810</v>
      </c>
      <c r="M120" s="609" t="s">
        <v>461</v>
      </c>
      <c r="N120" s="609" t="s">
        <v>461</v>
      </c>
      <c r="O120" s="609"/>
    </row>
    <row r="121" spans="12:15" x14ac:dyDescent="0.3">
      <c r="L121" s="609" t="s">
        <v>1173</v>
      </c>
      <c r="M121" s="609" t="s">
        <v>461</v>
      </c>
      <c r="N121" s="609" t="s">
        <v>461</v>
      </c>
      <c r="O121" s="609"/>
    </row>
    <row r="122" spans="12:15" x14ac:dyDescent="0.3">
      <c r="L122" s="609" t="s">
        <v>811</v>
      </c>
      <c r="M122" s="609" t="s">
        <v>461</v>
      </c>
      <c r="N122" s="609" t="s">
        <v>461</v>
      </c>
      <c r="O122" s="609" t="s">
        <v>1548</v>
      </c>
    </row>
    <row r="123" spans="12:15" x14ac:dyDescent="0.3">
      <c r="L123" s="609" t="s">
        <v>1174</v>
      </c>
      <c r="M123" s="609" t="s">
        <v>461</v>
      </c>
      <c r="N123" s="609" t="s">
        <v>461</v>
      </c>
      <c r="O123" s="609"/>
    </row>
    <row r="124" spans="12:15" x14ac:dyDescent="0.3">
      <c r="L124" s="609" t="s">
        <v>1175</v>
      </c>
      <c r="M124" s="609" t="s">
        <v>461</v>
      </c>
      <c r="N124" s="609" t="s">
        <v>461</v>
      </c>
      <c r="O124" s="609"/>
    </row>
    <row r="125" spans="12:15" x14ac:dyDescent="0.3">
      <c r="L125" s="609" t="s">
        <v>1176</v>
      </c>
      <c r="M125" s="609" t="s">
        <v>461</v>
      </c>
      <c r="N125" s="609" t="s">
        <v>461</v>
      </c>
      <c r="O125" s="609"/>
    </row>
    <row r="126" spans="12:15" x14ac:dyDescent="0.3">
      <c r="L126" s="609" t="s">
        <v>1177</v>
      </c>
      <c r="M126" s="609" t="s">
        <v>461</v>
      </c>
      <c r="N126" s="609" t="s">
        <v>461</v>
      </c>
      <c r="O126" s="609"/>
    </row>
    <row r="127" spans="12:15" x14ac:dyDescent="0.3">
      <c r="L127" s="609" t="s">
        <v>489</v>
      </c>
      <c r="M127" s="609" t="s">
        <v>461</v>
      </c>
      <c r="N127" s="609" t="s">
        <v>461</v>
      </c>
      <c r="O127" s="609"/>
    </row>
    <row r="128" spans="12:15" x14ac:dyDescent="0.3">
      <c r="L128" s="609" t="s">
        <v>1178</v>
      </c>
      <c r="M128" s="609" t="s">
        <v>461</v>
      </c>
      <c r="N128" s="609" t="s">
        <v>461</v>
      </c>
      <c r="O128" s="609"/>
    </row>
    <row r="129" spans="12:16" x14ac:dyDescent="0.3">
      <c r="L129" s="609" t="s">
        <v>1179</v>
      </c>
      <c r="M129" s="609" t="s">
        <v>461</v>
      </c>
      <c r="N129" s="609" t="s">
        <v>461</v>
      </c>
      <c r="O129" s="609"/>
    </row>
    <row r="130" spans="12:16" x14ac:dyDescent="0.3">
      <c r="L130" s="609" t="s">
        <v>490</v>
      </c>
      <c r="M130" s="609" t="s">
        <v>461</v>
      </c>
      <c r="N130" s="609" t="s">
        <v>461</v>
      </c>
      <c r="O130" s="609"/>
    </row>
    <row r="131" spans="12:16" x14ac:dyDescent="0.3">
      <c r="L131" s="612" t="s">
        <v>1180</v>
      </c>
      <c r="M131" s="612">
        <v>0.03</v>
      </c>
      <c r="N131" s="612" t="s">
        <v>461</v>
      </c>
      <c r="O131" s="609" t="s">
        <v>1452</v>
      </c>
    </row>
    <row r="132" spans="12:16" x14ac:dyDescent="0.3">
      <c r="L132" s="609" t="s">
        <v>1181</v>
      </c>
      <c r="M132" s="609" t="s">
        <v>461</v>
      </c>
      <c r="N132" s="609" t="s">
        <v>461</v>
      </c>
      <c r="O132" s="609"/>
    </row>
    <row r="133" spans="12:16" x14ac:dyDescent="0.3">
      <c r="L133" s="609" t="s">
        <v>1182</v>
      </c>
      <c r="M133" s="609" t="s">
        <v>461</v>
      </c>
      <c r="N133" s="609" t="s">
        <v>461</v>
      </c>
      <c r="O133" s="609"/>
    </row>
    <row r="134" spans="12:16" x14ac:dyDescent="0.3">
      <c r="L134" s="609" t="s">
        <v>1183</v>
      </c>
      <c r="M134" s="609" t="s">
        <v>461</v>
      </c>
      <c r="N134" s="609" t="s">
        <v>461</v>
      </c>
      <c r="O134" s="609"/>
    </row>
    <row r="135" spans="12:16" x14ac:dyDescent="0.3">
      <c r="L135" s="609" t="s">
        <v>387</v>
      </c>
      <c r="M135" s="609" t="s">
        <v>461</v>
      </c>
      <c r="N135" s="609" t="s">
        <v>461</v>
      </c>
      <c r="O135" s="609"/>
    </row>
    <row r="136" spans="12:16" x14ac:dyDescent="0.3">
      <c r="L136" s="609" t="s">
        <v>491</v>
      </c>
      <c r="M136" s="609" t="s">
        <v>461</v>
      </c>
      <c r="N136" s="609" t="s">
        <v>461</v>
      </c>
      <c r="O136" s="609"/>
    </row>
    <row r="137" spans="12:16" x14ac:dyDescent="0.3">
      <c r="L137" s="609" t="s">
        <v>1184</v>
      </c>
      <c r="M137" s="609" t="s">
        <v>461</v>
      </c>
      <c r="N137" s="609" t="s">
        <v>461</v>
      </c>
      <c r="O137" s="609"/>
    </row>
    <row r="138" spans="12:16" x14ac:dyDescent="0.3">
      <c r="L138" s="609" t="s">
        <v>1185</v>
      </c>
      <c r="M138" s="609" t="s">
        <v>461</v>
      </c>
      <c r="N138" s="609" t="s">
        <v>461</v>
      </c>
      <c r="O138" s="609"/>
    </row>
    <row r="139" spans="12:16" x14ac:dyDescent="0.3">
      <c r="L139" s="609" t="s">
        <v>492</v>
      </c>
      <c r="M139" s="609" t="s">
        <v>461</v>
      </c>
      <c r="N139" s="609" t="s">
        <v>461</v>
      </c>
      <c r="O139" s="609"/>
    </row>
    <row r="140" spans="12:16" x14ac:dyDescent="0.3">
      <c r="L140" s="609" t="s">
        <v>493</v>
      </c>
      <c r="M140" s="609" t="s">
        <v>461</v>
      </c>
      <c r="N140" s="609" t="s">
        <v>461</v>
      </c>
      <c r="O140" s="609"/>
    </row>
    <row r="141" spans="12:16" x14ac:dyDescent="0.3">
      <c r="L141" s="609" t="s">
        <v>1186</v>
      </c>
      <c r="M141" s="609" t="s">
        <v>461</v>
      </c>
      <c r="N141" s="609" t="s">
        <v>461</v>
      </c>
      <c r="O141" s="609"/>
    </row>
    <row r="142" spans="12:16" x14ac:dyDescent="0.3">
      <c r="L142" s="609" t="s">
        <v>1187</v>
      </c>
      <c r="M142" s="609" t="s">
        <v>461</v>
      </c>
      <c r="N142" s="609" t="s">
        <v>461</v>
      </c>
      <c r="O142" s="609"/>
    </row>
    <row r="143" spans="12:16" x14ac:dyDescent="0.3">
      <c r="L143" s="611" t="s">
        <v>1188</v>
      </c>
      <c r="M143" s="611">
        <v>0.03</v>
      </c>
      <c r="N143" s="611">
        <v>0.05</v>
      </c>
      <c r="O143" s="609" t="s">
        <v>1457</v>
      </c>
      <c r="P143" s="618" t="s">
        <v>1453</v>
      </c>
    </row>
    <row r="144" spans="12:16" x14ac:dyDescent="0.3">
      <c r="L144" s="611" t="s">
        <v>812</v>
      </c>
      <c r="M144" s="611">
        <v>0.03</v>
      </c>
      <c r="N144" s="611">
        <v>0.05</v>
      </c>
      <c r="O144" s="609" t="s">
        <v>1457</v>
      </c>
      <c r="P144" s="618" t="s">
        <v>1453</v>
      </c>
    </row>
    <row r="145" spans="12:15" x14ac:dyDescent="0.3">
      <c r="L145" s="609" t="s">
        <v>1189</v>
      </c>
      <c r="M145" s="609" t="s">
        <v>461</v>
      </c>
      <c r="N145" s="609" t="s">
        <v>461</v>
      </c>
      <c r="O145" s="609"/>
    </row>
    <row r="146" spans="12:15" x14ac:dyDescent="0.3">
      <c r="L146" s="609" t="s">
        <v>1190</v>
      </c>
      <c r="M146" s="609" t="s">
        <v>461</v>
      </c>
      <c r="N146" s="609" t="s">
        <v>461</v>
      </c>
      <c r="O146" s="609"/>
    </row>
    <row r="147" spans="12:15" x14ac:dyDescent="0.3">
      <c r="L147" s="609" t="s">
        <v>1191</v>
      </c>
      <c r="M147" s="609" t="s">
        <v>461</v>
      </c>
      <c r="N147" s="609" t="s">
        <v>461</v>
      </c>
      <c r="O147" s="609"/>
    </row>
    <row r="148" spans="12:15" x14ac:dyDescent="0.3">
      <c r="L148" s="609" t="s">
        <v>1192</v>
      </c>
      <c r="M148" s="609" t="s">
        <v>461</v>
      </c>
      <c r="N148" s="609" t="s">
        <v>461</v>
      </c>
      <c r="O148" s="609"/>
    </row>
    <row r="149" spans="12:15" x14ac:dyDescent="0.3">
      <c r="L149" s="609" t="s">
        <v>495</v>
      </c>
      <c r="M149" s="609" t="s">
        <v>461</v>
      </c>
      <c r="N149" s="609" t="s">
        <v>461</v>
      </c>
      <c r="O149" s="609"/>
    </row>
    <row r="150" spans="12:15" x14ac:dyDescent="0.3">
      <c r="L150" s="609" t="s">
        <v>496</v>
      </c>
      <c r="M150" s="609" t="s">
        <v>461</v>
      </c>
      <c r="N150" s="609" t="s">
        <v>461</v>
      </c>
      <c r="O150" s="609"/>
    </row>
    <row r="151" spans="12:15" x14ac:dyDescent="0.3">
      <c r="L151" s="609" t="s">
        <v>1193</v>
      </c>
      <c r="M151" s="609" t="s">
        <v>461</v>
      </c>
      <c r="N151" s="609" t="s">
        <v>461</v>
      </c>
      <c r="O151" s="609"/>
    </row>
    <row r="152" spans="12:15" x14ac:dyDescent="0.3">
      <c r="L152" s="609" t="s">
        <v>1194</v>
      </c>
      <c r="M152" s="609" t="s">
        <v>461</v>
      </c>
      <c r="N152" s="609" t="s">
        <v>461</v>
      </c>
      <c r="O152" s="609"/>
    </row>
    <row r="153" spans="12:15" x14ac:dyDescent="0.3">
      <c r="L153" s="609" t="s">
        <v>497</v>
      </c>
      <c r="M153" s="609" t="s">
        <v>461</v>
      </c>
      <c r="N153" s="609" t="s">
        <v>461</v>
      </c>
      <c r="O153" s="609" t="s">
        <v>1548</v>
      </c>
    </row>
    <row r="154" spans="12:15" x14ac:dyDescent="0.3">
      <c r="L154" s="609" t="s">
        <v>813</v>
      </c>
      <c r="M154" s="609" t="s">
        <v>461</v>
      </c>
      <c r="N154" s="609" t="s">
        <v>461</v>
      </c>
      <c r="O154" s="609"/>
    </row>
    <row r="155" spans="12:15" x14ac:dyDescent="0.3">
      <c r="L155" s="609" t="s">
        <v>814</v>
      </c>
      <c r="M155" s="609" t="s">
        <v>461</v>
      </c>
      <c r="N155" s="609" t="s">
        <v>461</v>
      </c>
      <c r="O155" s="609"/>
    </row>
    <row r="156" spans="12:15" x14ac:dyDescent="0.3">
      <c r="L156" s="609" t="s">
        <v>498</v>
      </c>
      <c r="M156" s="609" t="s">
        <v>461</v>
      </c>
      <c r="N156" s="609" t="s">
        <v>461</v>
      </c>
      <c r="O156" s="609"/>
    </row>
    <row r="157" spans="12:15" x14ac:dyDescent="0.3">
      <c r="L157" s="609" t="s">
        <v>499</v>
      </c>
      <c r="M157" s="609" t="s">
        <v>461</v>
      </c>
      <c r="N157" s="609" t="s">
        <v>461</v>
      </c>
      <c r="O157" s="609"/>
    </row>
    <row r="158" spans="12:15" x14ac:dyDescent="0.3">
      <c r="L158" s="609" t="s">
        <v>500</v>
      </c>
      <c r="M158" s="609" t="s">
        <v>461</v>
      </c>
      <c r="N158" s="609" t="s">
        <v>461</v>
      </c>
      <c r="O158" s="609"/>
    </row>
    <row r="159" spans="12:15" x14ac:dyDescent="0.3">
      <c r="L159" s="609" t="s">
        <v>1195</v>
      </c>
      <c r="M159" s="609" t="s">
        <v>461</v>
      </c>
      <c r="N159" s="609" t="s">
        <v>461</v>
      </c>
      <c r="O159" s="609"/>
    </row>
    <row r="160" spans="12:15" x14ac:dyDescent="0.3">
      <c r="L160" s="609" t="s">
        <v>1196</v>
      </c>
      <c r="M160" s="609" t="s">
        <v>461</v>
      </c>
      <c r="N160" s="609" t="s">
        <v>461</v>
      </c>
      <c r="O160" s="609"/>
    </row>
    <row r="161" spans="12:16" x14ac:dyDescent="0.3">
      <c r="L161" s="609" t="s">
        <v>1197</v>
      </c>
      <c r="M161" s="609" t="s">
        <v>461</v>
      </c>
      <c r="N161" s="609" t="s">
        <v>461</v>
      </c>
      <c r="O161" s="609"/>
    </row>
    <row r="162" spans="12:16" x14ac:dyDescent="0.3">
      <c r="L162" s="609" t="s">
        <v>1198</v>
      </c>
      <c r="M162" s="609" t="s">
        <v>461</v>
      </c>
      <c r="N162" s="609" t="s">
        <v>461</v>
      </c>
      <c r="O162" s="609"/>
    </row>
    <row r="163" spans="12:16" x14ac:dyDescent="0.3">
      <c r="L163" s="609" t="s">
        <v>1199</v>
      </c>
      <c r="M163" s="609" t="s">
        <v>461</v>
      </c>
      <c r="N163" s="609" t="s">
        <v>461</v>
      </c>
      <c r="O163" s="609"/>
    </row>
    <row r="164" spans="12:16" x14ac:dyDescent="0.3">
      <c r="L164" s="609" t="s">
        <v>1200</v>
      </c>
      <c r="M164" s="609" t="s">
        <v>461</v>
      </c>
      <c r="N164" s="609" t="s">
        <v>461</v>
      </c>
      <c r="O164" s="609"/>
    </row>
    <row r="165" spans="12:16" x14ac:dyDescent="0.3">
      <c r="L165" s="611" t="s">
        <v>1201</v>
      </c>
      <c r="M165" s="611">
        <v>0.03</v>
      </c>
      <c r="N165" s="611">
        <v>0.05</v>
      </c>
      <c r="O165" s="609" t="s">
        <v>1457</v>
      </c>
      <c r="P165" s="618" t="s">
        <v>1453</v>
      </c>
    </row>
    <row r="166" spans="12:16" x14ac:dyDescent="0.3">
      <c r="L166" s="609" t="s">
        <v>1202</v>
      </c>
      <c r="M166" s="609" t="s">
        <v>461</v>
      </c>
      <c r="N166" s="609" t="s">
        <v>461</v>
      </c>
      <c r="O166" s="609" t="s">
        <v>1548</v>
      </c>
    </row>
    <row r="167" spans="12:16" x14ac:dyDescent="0.3">
      <c r="L167" s="609" t="s">
        <v>1203</v>
      </c>
      <c r="M167" s="609" t="s">
        <v>461</v>
      </c>
      <c r="N167" s="609" t="s">
        <v>461</v>
      </c>
      <c r="O167" s="609"/>
    </row>
    <row r="168" spans="12:16" x14ac:dyDescent="0.3">
      <c r="L168" s="609" t="s">
        <v>1204</v>
      </c>
      <c r="M168" s="609" t="s">
        <v>461</v>
      </c>
      <c r="N168" s="609" t="s">
        <v>461</v>
      </c>
      <c r="O168" s="609"/>
    </row>
    <row r="169" spans="12:16" x14ac:dyDescent="0.3">
      <c r="L169" s="609" t="s">
        <v>501</v>
      </c>
      <c r="M169" s="609" t="s">
        <v>461</v>
      </c>
      <c r="N169" s="609" t="s">
        <v>461</v>
      </c>
      <c r="O169" s="609"/>
    </row>
    <row r="170" spans="12:16" x14ac:dyDescent="0.3">
      <c r="L170" s="609" t="s">
        <v>1205</v>
      </c>
      <c r="M170" s="609" t="s">
        <v>461</v>
      </c>
      <c r="N170" s="609" t="s">
        <v>461</v>
      </c>
      <c r="O170" s="609" t="s">
        <v>1548</v>
      </c>
    </row>
    <row r="171" spans="12:16" x14ac:dyDescent="0.3">
      <c r="L171" s="609" t="s">
        <v>1206</v>
      </c>
      <c r="M171" s="609" t="s">
        <v>461</v>
      </c>
      <c r="N171" s="609" t="s">
        <v>461</v>
      </c>
      <c r="O171" s="609"/>
    </row>
    <row r="172" spans="12:16" x14ac:dyDescent="0.3">
      <c r="L172" s="609" t="s">
        <v>1207</v>
      </c>
      <c r="M172" s="609" t="s">
        <v>461</v>
      </c>
      <c r="N172" s="609" t="s">
        <v>461</v>
      </c>
      <c r="O172" s="609" t="s">
        <v>1548</v>
      </c>
    </row>
    <row r="173" spans="12:16" x14ac:dyDescent="0.3">
      <c r="L173" s="609" t="s">
        <v>502</v>
      </c>
      <c r="M173" s="609" t="s">
        <v>461</v>
      </c>
      <c r="N173" s="609" t="s">
        <v>461</v>
      </c>
      <c r="O173" s="609"/>
    </row>
    <row r="174" spans="12:16" x14ac:dyDescent="0.3">
      <c r="L174" s="609" t="s">
        <v>1208</v>
      </c>
      <c r="M174" s="609" t="s">
        <v>461</v>
      </c>
      <c r="N174" s="609" t="s">
        <v>461</v>
      </c>
      <c r="O174" s="609"/>
    </row>
    <row r="175" spans="12:16" x14ac:dyDescent="0.3">
      <c r="L175" s="609" t="s">
        <v>1209</v>
      </c>
      <c r="M175" s="609" t="s">
        <v>461</v>
      </c>
      <c r="N175" s="609" t="s">
        <v>461</v>
      </c>
      <c r="O175" s="609"/>
    </row>
    <row r="176" spans="12:16" x14ac:dyDescent="0.3">
      <c r="L176" s="609" t="s">
        <v>1210</v>
      </c>
      <c r="M176" s="609" t="s">
        <v>461</v>
      </c>
      <c r="N176" s="609" t="s">
        <v>461</v>
      </c>
      <c r="O176" s="609"/>
    </row>
    <row r="177" spans="12:16" x14ac:dyDescent="0.3">
      <c r="L177" s="609" t="s">
        <v>503</v>
      </c>
      <c r="M177" s="609" t="s">
        <v>461</v>
      </c>
      <c r="N177" s="609" t="s">
        <v>461</v>
      </c>
      <c r="O177" s="609"/>
    </row>
    <row r="178" spans="12:16" x14ac:dyDescent="0.3">
      <c r="L178" s="611" t="s">
        <v>504</v>
      </c>
      <c r="M178" s="611">
        <v>0.03</v>
      </c>
      <c r="N178" s="611">
        <v>0.05</v>
      </c>
      <c r="O178" s="609" t="s">
        <v>1457</v>
      </c>
      <c r="P178" s="618" t="s">
        <v>1453</v>
      </c>
    </row>
    <row r="179" spans="12:16" x14ac:dyDescent="0.3">
      <c r="L179" s="609" t="s">
        <v>1211</v>
      </c>
      <c r="M179" s="609" t="s">
        <v>461</v>
      </c>
      <c r="N179" s="609" t="s">
        <v>461</v>
      </c>
      <c r="O179" s="609"/>
    </row>
    <row r="180" spans="12:16" x14ac:dyDescent="0.3">
      <c r="L180" s="609" t="s">
        <v>1212</v>
      </c>
      <c r="M180" s="609" t="s">
        <v>461</v>
      </c>
      <c r="N180" s="609" t="s">
        <v>461</v>
      </c>
      <c r="O180" s="609"/>
    </row>
    <row r="181" spans="12:16" x14ac:dyDescent="0.3">
      <c r="L181" s="609" t="s">
        <v>1213</v>
      </c>
      <c r="M181" s="609" t="s">
        <v>461</v>
      </c>
      <c r="N181" s="609" t="s">
        <v>461</v>
      </c>
      <c r="O181" s="609"/>
    </row>
    <row r="182" spans="12:16" x14ac:dyDescent="0.3">
      <c r="L182" s="609" t="s">
        <v>1214</v>
      </c>
      <c r="M182" s="609" t="s">
        <v>461</v>
      </c>
      <c r="N182" s="609" t="s">
        <v>461</v>
      </c>
      <c r="O182" s="609"/>
    </row>
    <row r="183" spans="12:16" x14ac:dyDescent="0.3">
      <c r="L183" s="609" t="s">
        <v>1215</v>
      </c>
      <c r="M183" s="609" t="s">
        <v>461</v>
      </c>
      <c r="N183" s="609" t="s">
        <v>461</v>
      </c>
      <c r="O183" s="609"/>
    </row>
    <row r="184" spans="12:16" x14ac:dyDescent="0.3">
      <c r="L184" s="609" t="s">
        <v>388</v>
      </c>
      <c r="M184" s="609" t="s">
        <v>461</v>
      </c>
      <c r="N184" s="609" t="s">
        <v>461</v>
      </c>
      <c r="O184" s="609"/>
    </row>
    <row r="185" spans="12:16" x14ac:dyDescent="0.3">
      <c r="L185" s="612" t="s">
        <v>1216</v>
      </c>
      <c r="M185" s="612">
        <v>0.03</v>
      </c>
      <c r="N185" s="612" t="s">
        <v>461</v>
      </c>
      <c r="O185" s="609" t="s">
        <v>1452</v>
      </c>
    </row>
    <row r="186" spans="12:16" x14ac:dyDescent="0.3">
      <c r="L186" s="609" t="s">
        <v>1217</v>
      </c>
      <c r="M186" s="609" t="s">
        <v>461</v>
      </c>
      <c r="N186" s="609" t="s">
        <v>461</v>
      </c>
      <c r="O186" s="609"/>
    </row>
    <row r="187" spans="12:16" x14ac:dyDescent="0.3">
      <c r="L187" s="609" t="s">
        <v>815</v>
      </c>
      <c r="M187" s="609" t="s">
        <v>461</v>
      </c>
      <c r="N187" s="609" t="s">
        <v>461</v>
      </c>
      <c r="O187" s="609"/>
    </row>
    <row r="188" spans="12:16" x14ac:dyDescent="0.3">
      <c r="L188" s="609" t="s">
        <v>1218</v>
      </c>
      <c r="M188" s="609" t="s">
        <v>461</v>
      </c>
      <c r="N188" s="609" t="s">
        <v>461</v>
      </c>
      <c r="O188" s="609"/>
    </row>
    <row r="189" spans="12:16" x14ac:dyDescent="0.3">
      <c r="L189" s="609" t="s">
        <v>505</v>
      </c>
      <c r="M189" s="609" t="s">
        <v>461</v>
      </c>
      <c r="N189" s="609" t="s">
        <v>461</v>
      </c>
      <c r="O189" s="609"/>
    </row>
    <row r="190" spans="12:16" x14ac:dyDescent="0.3">
      <c r="L190" s="609" t="s">
        <v>1219</v>
      </c>
      <c r="M190" s="609" t="s">
        <v>461</v>
      </c>
      <c r="N190" s="609" t="s">
        <v>461</v>
      </c>
      <c r="O190" s="609"/>
    </row>
    <row r="191" spans="12:16" x14ac:dyDescent="0.3">
      <c r="L191" s="609" t="s">
        <v>506</v>
      </c>
      <c r="M191" s="609" t="s">
        <v>461</v>
      </c>
      <c r="N191" s="609" t="s">
        <v>461</v>
      </c>
      <c r="O191" s="609"/>
    </row>
    <row r="192" spans="12:16" x14ac:dyDescent="0.3">
      <c r="L192" s="609" t="s">
        <v>1220</v>
      </c>
      <c r="M192" s="609" t="s">
        <v>461</v>
      </c>
      <c r="N192" s="609" t="s">
        <v>461</v>
      </c>
      <c r="O192" s="609"/>
    </row>
    <row r="193" spans="12:16" x14ac:dyDescent="0.3">
      <c r="L193" s="609" t="s">
        <v>1057</v>
      </c>
      <c r="M193" s="609" t="s">
        <v>461</v>
      </c>
      <c r="N193" s="609" t="s">
        <v>461</v>
      </c>
      <c r="O193" s="609"/>
    </row>
    <row r="194" spans="12:16" x14ac:dyDescent="0.3">
      <c r="L194" s="609" t="s">
        <v>1221</v>
      </c>
      <c r="M194" s="609" t="s">
        <v>461</v>
      </c>
      <c r="N194" s="609" t="s">
        <v>461</v>
      </c>
      <c r="O194" s="609"/>
    </row>
    <row r="195" spans="12:16" x14ac:dyDescent="0.3">
      <c r="L195" s="612" t="s">
        <v>1222</v>
      </c>
      <c r="M195" s="612">
        <v>0.03</v>
      </c>
      <c r="N195" s="612" t="s">
        <v>461</v>
      </c>
      <c r="O195" s="609" t="s">
        <v>1452</v>
      </c>
    </row>
    <row r="196" spans="12:16" x14ac:dyDescent="0.3">
      <c r="L196" s="609" t="s">
        <v>1223</v>
      </c>
      <c r="M196" s="609" t="s">
        <v>461</v>
      </c>
      <c r="N196" s="609" t="s">
        <v>461</v>
      </c>
      <c r="O196" s="609"/>
    </row>
    <row r="197" spans="12:16" x14ac:dyDescent="0.3">
      <c r="L197" s="609" t="s">
        <v>1224</v>
      </c>
      <c r="M197" s="609" t="s">
        <v>461</v>
      </c>
      <c r="N197" s="609" t="s">
        <v>461</v>
      </c>
      <c r="O197" s="609"/>
    </row>
    <row r="198" spans="12:16" x14ac:dyDescent="0.3">
      <c r="L198" s="609" t="s">
        <v>816</v>
      </c>
      <c r="M198" s="609" t="s">
        <v>461</v>
      </c>
      <c r="N198" s="609" t="s">
        <v>461</v>
      </c>
      <c r="O198" s="609"/>
    </row>
    <row r="199" spans="12:16" x14ac:dyDescent="0.3">
      <c r="L199" s="609" t="s">
        <v>507</v>
      </c>
      <c r="M199" s="609" t="s">
        <v>461</v>
      </c>
      <c r="N199" s="609" t="s">
        <v>461</v>
      </c>
      <c r="O199" s="609"/>
    </row>
    <row r="200" spans="12:16" x14ac:dyDescent="0.3">
      <c r="L200" s="609" t="s">
        <v>394</v>
      </c>
      <c r="M200" s="609" t="s">
        <v>461</v>
      </c>
      <c r="N200" s="609" t="s">
        <v>461</v>
      </c>
      <c r="O200" s="609"/>
    </row>
    <row r="201" spans="12:16" x14ac:dyDescent="0.3">
      <c r="L201" s="611" t="s">
        <v>395</v>
      </c>
      <c r="M201" s="611">
        <v>0.03</v>
      </c>
      <c r="N201" s="611">
        <v>0.05</v>
      </c>
      <c r="O201" s="609" t="s">
        <v>1457</v>
      </c>
      <c r="P201" s="618" t="s">
        <v>1453</v>
      </c>
    </row>
    <row r="202" spans="12:16" x14ac:dyDescent="0.3">
      <c r="L202" s="609" t="s">
        <v>1225</v>
      </c>
      <c r="M202" s="609" t="s">
        <v>461</v>
      </c>
      <c r="N202" s="609" t="s">
        <v>461</v>
      </c>
      <c r="O202" s="609"/>
    </row>
    <row r="203" spans="12:16" x14ac:dyDescent="0.3">
      <c r="L203" s="609" t="s">
        <v>1226</v>
      </c>
      <c r="M203" s="609" t="s">
        <v>461</v>
      </c>
      <c r="N203" s="609" t="s">
        <v>461</v>
      </c>
      <c r="O203" s="609"/>
    </row>
    <row r="204" spans="12:16" x14ac:dyDescent="0.3">
      <c r="L204" s="609" t="s">
        <v>508</v>
      </c>
      <c r="M204" s="609" t="s">
        <v>461</v>
      </c>
      <c r="N204" s="609" t="s">
        <v>461</v>
      </c>
      <c r="O204" s="609"/>
    </row>
    <row r="205" spans="12:16" x14ac:dyDescent="0.3">
      <c r="L205" s="609" t="s">
        <v>509</v>
      </c>
      <c r="M205" s="609" t="s">
        <v>461</v>
      </c>
      <c r="N205" s="609" t="s">
        <v>461</v>
      </c>
      <c r="O205" s="609"/>
    </row>
    <row r="206" spans="12:16" x14ac:dyDescent="0.3">
      <c r="L206" s="611" t="s">
        <v>510</v>
      </c>
      <c r="M206" s="611">
        <v>0.03</v>
      </c>
      <c r="N206" s="611">
        <v>0.05</v>
      </c>
      <c r="O206" s="609" t="s">
        <v>1457</v>
      </c>
      <c r="P206" s="618" t="s">
        <v>1453</v>
      </c>
    </row>
    <row r="207" spans="12:16" x14ac:dyDescent="0.3">
      <c r="L207" s="609" t="s">
        <v>511</v>
      </c>
      <c r="M207" s="609" t="s">
        <v>461</v>
      </c>
      <c r="N207" s="609" t="s">
        <v>461</v>
      </c>
      <c r="O207" s="609"/>
    </row>
    <row r="208" spans="12:16" x14ac:dyDescent="0.3">
      <c r="L208" s="609" t="s">
        <v>1227</v>
      </c>
      <c r="M208" s="609" t="s">
        <v>461</v>
      </c>
      <c r="N208" s="609" t="s">
        <v>461</v>
      </c>
      <c r="O208" s="609"/>
    </row>
    <row r="209" spans="12:16" x14ac:dyDescent="0.3">
      <c r="L209" s="609" t="s">
        <v>1228</v>
      </c>
      <c r="M209" s="609" t="s">
        <v>461</v>
      </c>
      <c r="N209" s="609" t="s">
        <v>461</v>
      </c>
      <c r="O209" s="609"/>
    </row>
    <row r="210" spans="12:16" x14ac:dyDescent="0.3">
      <c r="L210" s="609" t="s">
        <v>1229</v>
      </c>
      <c r="M210" s="609" t="s">
        <v>461</v>
      </c>
      <c r="N210" s="609" t="s">
        <v>461</v>
      </c>
      <c r="O210" s="609"/>
    </row>
    <row r="211" spans="12:16" x14ac:dyDescent="0.3">
      <c r="L211" s="609" t="s">
        <v>1230</v>
      </c>
      <c r="M211" s="609" t="s">
        <v>461</v>
      </c>
      <c r="N211" s="609" t="s">
        <v>461</v>
      </c>
      <c r="O211" s="609"/>
    </row>
    <row r="212" spans="12:16" x14ac:dyDescent="0.3">
      <c r="L212" s="609" t="s">
        <v>817</v>
      </c>
      <c r="M212" s="609" t="s">
        <v>461</v>
      </c>
      <c r="N212" s="609" t="s">
        <v>461</v>
      </c>
      <c r="O212" s="609"/>
    </row>
    <row r="213" spans="12:16" x14ac:dyDescent="0.3">
      <c r="L213" s="609" t="s">
        <v>1231</v>
      </c>
      <c r="M213" s="609" t="s">
        <v>461</v>
      </c>
      <c r="N213" s="609" t="s">
        <v>461</v>
      </c>
      <c r="O213" s="609"/>
    </row>
    <row r="214" spans="12:16" x14ac:dyDescent="0.3">
      <c r="L214" s="609" t="s">
        <v>818</v>
      </c>
      <c r="M214" s="609" t="s">
        <v>461</v>
      </c>
      <c r="N214" s="609" t="s">
        <v>461</v>
      </c>
      <c r="O214" s="609"/>
    </row>
    <row r="215" spans="12:16" x14ac:dyDescent="0.3">
      <c r="L215" s="609" t="s">
        <v>1232</v>
      </c>
      <c r="M215" s="609" t="s">
        <v>461</v>
      </c>
      <c r="N215" s="609" t="s">
        <v>461</v>
      </c>
      <c r="O215" s="609"/>
    </row>
    <row r="216" spans="12:16" x14ac:dyDescent="0.3">
      <c r="L216" s="609" t="s">
        <v>1233</v>
      </c>
      <c r="M216" s="609" t="s">
        <v>461</v>
      </c>
      <c r="N216" s="609" t="s">
        <v>461</v>
      </c>
      <c r="O216" s="609"/>
    </row>
    <row r="217" spans="12:16" x14ac:dyDescent="0.3">
      <c r="L217" s="609" t="s">
        <v>389</v>
      </c>
      <c r="M217" s="609" t="s">
        <v>461</v>
      </c>
      <c r="N217" s="609" t="s">
        <v>461</v>
      </c>
      <c r="O217" s="609"/>
    </row>
    <row r="218" spans="12:16" x14ac:dyDescent="0.3">
      <c r="L218" s="609" t="s">
        <v>1234</v>
      </c>
      <c r="M218" s="609" t="s">
        <v>461</v>
      </c>
      <c r="N218" s="609" t="s">
        <v>461</v>
      </c>
      <c r="O218" s="609"/>
    </row>
    <row r="219" spans="12:16" x14ac:dyDescent="0.3">
      <c r="L219" s="611" t="s">
        <v>819</v>
      </c>
      <c r="M219" s="611">
        <v>0.03</v>
      </c>
      <c r="N219" s="611">
        <v>0.05</v>
      </c>
      <c r="O219" s="609" t="s">
        <v>1457</v>
      </c>
      <c r="P219" s="618" t="s">
        <v>1453</v>
      </c>
    </row>
    <row r="220" spans="12:16" x14ac:dyDescent="0.3">
      <c r="L220" s="609" t="s">
        <v>1235</v>
      </c>
      <c r="M220" s="609" t="s">
        <v>461</v>
      </c>
      <c r="N220" s="609" t="s">
        <v>461</v>
      </c>
      <c r="O220" s="609"/>
    </row>
    <row r="221" spans="12:16" x14ac:dyDescent="0.3">
      <c r="L221" s="612" t="s">
        <v>396</v>
      </c>
      <c r="M221" s="612" t="s">
        <v>461</v>
      </c>
      <c r="N221" s="612" t="s">
        <v>461</v>
      </c>
      <c r="O221" s="609" t="s">
        <v>1452</v>
      </c>
    </row>
    <row r="222" spans="12:16" x14ac:dyDescent="0.3">
      <c r="L222" s="609" t="s">
        <v>1236</v>
      </c>
      <c r="M222" s="609" t="s">
        <v>461</v>
      </c>
      <c r="N222" s="609" t="s">
        <v>461</v>
      </c>
      <c r="O222" s="609"/>
    </row>
    <row r="223" spans="12:16" x14ac:dyDescent="0.3">
      <c r="L223" s="609" t="s">
        <v>1237</v>
      </c>
      <c r="M223" s="609" t="s">
        <v>461</v>
      </c>
      <c r="N223" s="609" t="s">
        <v>461</v>
      </c>
      <c r="O223" s="609" t="s">
        <v>1548</v>
      </c>
    </row>
    <row r="224" spans="12:16" x14ac:dyDescent="0.3">
      <c r="L224" s="609" t="s">
        <v>1238</v>
      </c>
      <c r="M224" s="609" t="s">
        <v>461</v>
      </c>
      <c r="N224" s="609" t="s">
        <v>461</v>
      </c>
      <c r="O224" s="609"/>
    </row>
    <row r="225" spans="12:16" x14ac:dyDescent="0.3">
      <c r="L225" s="609" t="s">
        <v>1239</v>
      </c>
      <c r="M225" s="609" t="s">
        <v>461</v>
      </c>
      <c r="N225" s="609" t="s">
        <v>461</v>
      </c>
      <c r="O225" s="609"/>
    </row>
    <row r="226" spans="12:16" x14ac:dyDescent="0.3">
      <c r="L226" s="611" t="s">
        <v>1240</v>
      </c>
      <c r="M226" s="611">
        <v>0.03</v>
      </c>
      <c r="N226" s="611">
        <v>0.05</v>
      </c>
      <c r="O226" s="609" t="s">
        <v>1457</v>
      </c>
      <c r="P226" s="618" t="s">
        <v>1453</v>
      </c>
    </row>
    <row r="227" spans="12:16" x14ac:dyDescent="0.3">
      <c r="L227" s="609" t="s">
        <v>512</v>
      </c>
      <c r="M227" s="609" t="s">
        <v>461</v>
      </c>
      <c r="N227" s="609" t="s">
        <v>461</v>
      </c>
      <c r="O227" s="609"/>
    </row>
    <row r="228" spans="12:16" x14ac:dyDescent="0.3">
      <c r="L228" s="609" t="s">
        <v>1241</v>
      </c>
      <c r="M228" s="609" t="s">
        <v>461</v>
      </c>
      <c r="N228" s="609" t="s">
        <v>461</v>
      </c>
      <c r="O228" s="609"/>
    </row>
    <row r="229" spans="12:16" x14ac:dyDescent="0.3">
      <c r="L229" s="609" t="s">
        <v>513</v>
      </c>
      <c r="M229" s="609" t="s">
        <v>461</v>
      </c>
      <c r="N229" s="609" t="s">
        <v>461</v>
      </c>
      <c r="O229" s="609"/>
    </row>
    <row r="230" spans="12:16" x14ac:dyDescent="0.3">
      <c r="L230" s="609" t="s">
        <v>1242</v>
      </c>
      <c r="M230" s="609" t="s">
        <v>461</v>
      </c>
      <c r="N230" s="609" t="s">
        <v>461</v>
      </c>
      <c r="O230" s="609"/>
    </row>
    <row r="231" spans="12:16" x14ac:dyDescent="0.3">
      <c r="L231" s="611" t="s">
        <v>514</v>
      </c>
      <c r="M231" s="611">
        <v>0.03</v>
      </c>
      <c r="N231" s="611">
        <v>0.05</v>
      </c>
      <c r="O231" s="609" t="s">
        <v>1457</v>
      </c>
      <c r="P231" s="618" t="s">
        <v>1453</v>
      </c>
    </row>
    <row r="232" spans="12:16" x14ac:dyDescent="0.3">
      <c r="L232" s="609" t="s">
        <v>1243</v>
      </c>
      <c r="M232" s="609" t="s">
        <v>461</v>
      </c>
      <c r="N232" s="609" t="s">
        <v>461</v>
      </c>
      <c r="O232" s="609"/>
    </row>
    <row r="233" spans="12:16" x14ac:dyDescent="0.3">
      <c r="L233" s="609" t="s">
        <v>1244</v>
      </c>
      <c r="M233" s="609" t="s">
        <v>461</v>
      </c>
      <c r="N233" s="609" t="s">
        <v>461</v>
      </c>
      <c r="O233" s="609"/>
    </row>
    <row r="234" spans="12:16" x14ac:dyDescent="0.3">
      <c r="L234" s="609" t="s">
        <v>1058</v>
      </c>
      <c r="M234" s="609" t="s">
        <v>461</v>
      </c>
      <c r="N234" s="609" t="s">
        <v>461</v>
      </c>
      <c r="O234" s="609"/>
    </row>
    <row r="235" spans="12:16" x14ac:dyDescent="0.3">
      <c r="L235" s="612" t="s">
        <v>1245</v>
      </c>
      <c r="M235" s="612" t="s">
        <v>461</v>
      </c>
      <c r="N235" s="612" t="s">
        <v>461</v>
      </c>
      <c r="O235" s="609" t="s">
        <v>1452</v>
      </c>
    </row>
    <row r="236" spans="12:16" x14ac:dyDescent="0.3">
      <c r="L236" s="609" t="s">
        <v>433</v>
      </c>
      <c r="M236" s="609" t="s">
        <v>461</v>
      </c>
      <c r="N236" s="609" t="s">
        <v>461</v>
      </c>
      <c r="O236" s="609"/>
    </row>
    <row r="237" spans="12:16" x14ac:dyDescent="0.3">
      <c r="L237" s="609" t="s">
        <v>1246</v>
      </c>
      <c r="M237" s="609" t="s">
        <v>461</v>
      </c>
      <c r="N237" s="609" t="s">
        <v>461</v>
      </c>
      <c r="O237" s="609"/>
    </row>
    <row r="238" spans="12:16" x14ac:dyDescent="0.3">
      <c r="L238" s="609" t="s">
        <v>434</v>
      </c>
      <c r="M238" s="609" t="s">
        <v>461</v>
      </c>
      <c r="N238" s="609" t="s">
        <v>461</v>
      </c>
      <c r="O238" s="609"/>
    </row>
    <row r="239" spans="12:16" x14ac:dyDescent="0.3">
      <c r="L239" s="609" t="s">
        <v>1247</v>
      </c>
      <c r="M239" s="609" t="s">
        <v>461</v>
      </c>
      <c r="N239" s="609" t="s">
        <v>461</v>
      </c>
      <c r="O239" s="609"/>
    </row>
    <row r="240" spans="12:16" x14ac:dyDescent="0.3">
      <c r="L240" s="609" t="s">
        <v>1248</v>
      </c>
      <c r="M240" s="609" t="s">
        <v>461</v>
      </c>
      <c r="N240" s="609" t="s">
        <v>461</v>
      </c>
      <c r="O240" s="609"/>
    </row>
    <row r="241" spans="12:16" x14ac:dyDescent="0.3">
      <c r="L241" s="609" t="s">
        <v>1249</v>
      </c>
      <c r="M241" s="609" t="s">
        <v>461</v>
      </c>
      <c r="N241" s="609" t="s">
        <v>461</v>
      </c>
      <c r="O241" s="609"/>
    </row>
    <row r="242" spans="12:16" x14ac:dyDescent="0.3">
      <c r="L242" s="609" t="s">
        <v>1250</v>
      </c>
      <c r="M242" s="609" t="s">
        <v>461</v>
      </c>
      <c r="N242" s="609" t="s">
        <v>461</v>
      </c>
      <c r="O242" s="609"/>
    </row>
    <row r="243" spans="12:16" x14ac:dyDescent="0.3">
      <c r="L243" s="609" t="s">
        <v>1251</v>
      </c>
      <c r="M243" s="609" t="s">
        <v>461</v>
      </c>
      <c r="N243" s="609" t="s">
        <v>461</v>
      </c>
      <c r="O243" s="609"/>
    </row>
    <row r="244" spans="12:16" x14ac:dyDescent="0.3">
      <c r="L244" s="609" t="s">
        <v>1252</v>
      </c>
      <c r="M244" s="609" t="s">
        <v>461</v>
      </c>
      <c r="N244" s="609" t="s">
        <v>461</v>
      </c>
      <c r="O244" s="609"/>
    </row>
    <row r="245" spans="12:16" x14ac:dyDescent="0.3">
      <c r="L245" s="609" t="s">
        <v>1253</v>
      </c>
      <c r="M245" s="609" t="s">
        <v>461</v>
      </c>
      <c r="N245" s="609" t="s">
        <v>461</v>
      </c>
      <c r="O245" s="609"/>
    </row>
    <row r="246" spans="12:16" x14ac:dyDescent="0.3">
      <c r="L246" s="609" t="s">
        <v>1254</v>
      </c>
      <c r="M246" s="609" t="s">
        <v>461</v>
      </c>
      <c r="N246" s="609" t="s">
        <v>461</v>
      </c>
      <c r="O246" s="609"/>
    </row>
    <row r="247" spans="12:16" x14ac:dyDescent="0.3">
      <c r="L247" s="609" t="s">
        <v>1255</v>
      </c>
      <c r="M247" s="609" t="s">
        <v>461</v>
      </c>
      <c r="N247" s="609" t="s">
        <v>461</v>
      </c>
      <c r="O247" s="609"/>
    </row>
    <row r="248" spans="12:16" x14ac:dyDescent="0.3">
      <c r="L248" s="609" t="s">
        <v>1256</v>
      </c>
      <c r="M248" s="609" t="s">
        <v>461</v>
      </c>
      <c r="N248" s="609" t="s">
        <v>461</v>
      </c>
      <c r="O248" s="609"/>
    </row>
    <row r="249" spans="12:16" x14ac:dyDescent="0.3">
      <c r="L249" s="609" t="s">
        <v>1257</v>
      </c>
      <c r="M249" s="609" t="s">
        <v>461</v>
      </c>
      <c r="N249" s="609" t="s">
        <v>461</v>
      </c>
      <c r="O249" s="609"/>
    </row>
    <row r="250" spans="12:16" x14ac:dyDescent="0.3">
      <c r="L250" s="609" t="s">
        <v>1258</v>
      </c>
      <c r="M250" s="609" t="s">
        <v>461</v>
      </c>
      <c r="N250" s="609" t="s">
        <v>461</v>
      </c>
      <c r="O250" s="609"/>
    </row>
    <row r="251" spans="12:16" x14ac:dyDescent="0.3">
      <c r="L251" s="609" t="s">
        <v>1259</v>
      </c>
      <c r="M251" s="609" t="s">
        <v>461</v>
      </c>
      <c r="N251" s="609" t="s">
        <v>461</v>
      </c>
      <c r="O251" s="609" t="s">
        <v>1548</v>
      </c>
    </row>
    <row r="252" spans="12:16" x14ac:dyDescent="0.3">
      <c r="L252" s="609" t="s">
        <v>435</v>
      </c>
      <c r="M252" s="609" t="s">
        <v>461</v>
      </c>
      <c r="N252" s="609" t="s">
        <v>461</v>
      </c>
      <c r="O252" s="609"/>
    </row>
    <row r="253" spans="12:16" x14ac:dyDescent="0.3">
      <c r="L253" s="611" t="s">
        <v>1260</v>
      </c>
      <c r="M253" s="611">
        <v>0.03</v>
      </c>
      <c r="N253" s="611">
        <v>0.05</v>
      </c>
      <c r="O253" s="609" t="s">
        <v>1457</v>
      </c>
      <c r="P253" s="618" t="s">
        <v>1453</v>
      </c>
    </row>
    <row r="254" spans="12:16" x14ac:dyDescent="0.3">
      <c r="L254" s="609" t="s">
        <v>1261</v>
      </c>
      <c r="M254" s="609" t="s">
        <v>461</v>
      </c>
      <c r="N254" s="609" t="s">
        <v>461</v>
      </c>
      <c r="O254" s="609"/>
    </row>
    <row r="255" spans="12:16" x14ac:dyDescent="0.3">
      <c r="L255" s="609" t="s">
        <v>1262</v>
      </c>
      <c r="M255" s="609" t="s">
        <v>461</v>
      </c>
      <c r="N255" s="609" t="s">
        <v>461</v>
      </c>
      <c r="O255" s="609"/>
    </row>
    <row r="256" spans="12:16" x14ac:dyDescent="0.3">
      <c r="L256" s="609" t="s">
        <v>1263</v>
      </c>
      <c r="M256" s="609" t="s">
        <v>461</v>
      </c>
      <c r="N256" s="609" t="s">
        <v>461</v>
      </c>
      <c r="O256" s="609"/>
    </row>
    <row r="257" spans="12:16" x14ac:dyDescent="0.3">
      <c r="L257" s="609" t="s">
        <v>1264</v>
      </c>
      <c r="M257" s="609" t="s">
        <v>461</v>
      </c>
      <c r="N257" s="609" t="s">
        <v>461</v>
      </c>
      <c r="O257" s="609"/>
    </row>
    <row r="258" spans="12:16" x14ac:dyDescent="0.3">
      <c r="L258" s="611" t="s">
        <v>1265</v>
      </c>
      <c r="M258" s="611">
        <v>0.03</v>
      </c>
      <c r="N258" s="611">
        <v>0.05</v>
      </c>
      <c r="O258" s="609" t="s">
        <v>1457</v>
      </c>
      <c r="P258" s="618" t="s">
        <v>1453</v>
      </c>
    </row>
    <row r="259" spans="12:16" x14ac:dyDescent="0.3">
      <c r="L259" s="609" t="s">
        <v>1266</v>
      </c>
      <c r="M259" s="609" t="s">
        <v>461</v>
      </c>
      <c r="N259" s="609" t="s">
        <v>461</v>
      </c>
      <c r="O259" s="609"/>
    </row>
    <row r="260" spans="12:16" x14ac:dyDescent="0.3">
      <c r="L260" s="609" t="s">
        <v>1267</v>
      </c>
      <c r="M260" s="609" t="s">
        <v>461</v>
      </c>
      <c r="N260" s="609" t="s">
        <v>461</v>
      </c>
      <c r="O260" s="609"/>
    </row>
    <row r="261" spans="12:16" x14ac:dyDescent="0.3">
      <c r="L261" s="609" t="s">
        <v>1268</v>
      </c>
      <c r="M261" s="609" t="s">
        <v>461</v>
      </c>
      <c r="N261" s="609" t="s">
        <v>461</v>
      </c>
      <c r="O261" s="609"/>
    </row>
    <row r="262" spans="12:16" x14ac:dyDescent="0.3">
      <c r="L262" s="609" t="s">
        <v>1269</v>
      </c>
      <c r="M262" s="609" t="s">
        <v>461</v>
      </c>
      <c r="N262" s="609" t="s">
        <v>461</v>
      </c>
      <c r="O262" s="609"/>
    </row>
    <row r="263" spans="12:16" x14ac:dyDescent="0.3">
      <c r="L263" s="612" t="s">
        <v>1270</v>
      </c>
      <c r="M263" s="612" t="s">
        <v>461</v>
      </c>
      <c r="N263" s="612" t="s">
        <v>461</v>
      </c>
      <c r="O263" s="609" t="s">
        <v>1452</v>
      </c>
    </row>
    <row r="264" spans="12:16" x14ac:dyDescent="0.3">
      <c r="L264" s="609" t="s">
        <v>1271</v>
      </c>
      <c r="M264" s="609" t="s">
        <v>461</v>
      </c>
      <c r="N264" s="609" t="s">
        <v>461</v>
      </c>
      <c r="O264" s="609"/>
    </row>
    <row r="265" spans="12:16" x14ac:dyDescent="0.3">
      <c r="L265" s="609" t="s">
        <v>1272</v>
      </c>
      <c r="M265" s="609" t="s">
        <v>461</v>
      </c>
      <c r="N265" s="609" t="s">
        <v>461</v>
      </c>
      <c r="O265" s="609"/>
    </row>
    <row r="266" spans="12:16" x14ac:dyDescent="0.3">
      <c r="L266" s="609" t="s">
        <v>1273</v>
      </c>
      <c r="M266" s="609" t="s">
        <v>461</v>
      </c>
      <c r="N266" s="609" t="s">
        <v>461</v>
      </c>
      <c r="O266" s="609"/>
    </row>
    <row r="267" spans="12:16" x14ac:dyDescent="0.3">
      <c r="L267" s="609" t="s">
        <v>1274</v>
      </c>
      <c r="M267" s="609" t="s">
        <v>461</v>
      </c>
      <c r="N267" s="609" t="s">
        <v>461</v>
      </c>
      <c r="O267" s="609"/>
    </row>
    <row r="268" spans="12:16" x14ac:dyDescent="0.3">
      <c r="L268" s="611" t="s">
        <v>1275</v>
      </c>
      <c r="M268" s="611">
        <v>0.03</v>
      </c>
      <c r="N268" s="611">
        <v>0.05</v>
      </c>
      <c r="O268" s="609" t="s">
        <v>1457</v>
      </c>
      <c r="P268" s="618" t="s">
        <v>1453</v>
      </c>
    </row>
    <row r="269" spans="12:16" x14ac:dyDescent="0.3">
      <c r="L269" s="609" t="s">
        <v>1276</v>
      </c>
      <c r="M269" s="609" t="s">
        <v>461</v>
      </c>
      <c r="N269" s="609" t="s">
        <v>461</v>
      </c>
      <c r="O269" s="609"/>
    </row>
    <row r="270" spans="12:16" x14ac:dyDescent="0.3">
      <c r="L270" s="609" t="s">
        <v>1277</v>
      </c>
      <c r="M270" s="609" t="s">
        <v>461</v>
      </c>
      <c r="N270" s="609" t="s">
        <v>461</v>
      </c>
      <c r="O270" s="609"/>
    </row>
    <row r="271" spans="12:16" x14ac:dyDescent="0.3">
      <c r="L271" s="609" t="s">
        <v>1278</v>
      </c>
      <c r="M271" s="609" t="s">
        <v>461</v>
      </c>
      <c r="N271" s="609" t="s">
        <v>461</v>
      </c>
      <c r="O271" s="609"/>
    </row>
    <row r="272" spans="12:16" x14ac:dyDescent="0.3">
      <c r="L272" s="609" t="s">
        <v>1279</v>
      </c>
      <c r="M272" s="609" t="s">
        <v>461</v>
      </c>
      <c r="N272" s="609" t="s">
        <v>461</v>
      </c>
      <c r="O272" s="609"/>
    </row>
    <row r="273" spans="12:16" x14ac:dyDescent="0.3">
      <c r="L273" s="609" t="s">
        <v>1280</v>
      </c>
      <c r="M273" s="609" t="s">
        <v>461</v>
      </c>
      <c r="N273" s="609" t="s">
        <v>461</v>
      </c>
      <c r="O273" s="609"/>
    </row>
    <row r="274" spans="12:16" x14ac:dyDescent="0.3">
      <c r="L274" s="609" t="s">
        <v>1281</v>
      </c>
      <c r="M274" s="609" t="s">
        <v>461</v>
      </c>
      <c r="N274" s="609" t="s">
        <v>461</v>
      </c>
      <c r="O274" s="609"/>
    </row>
    <row r="275" spans="12:16" x14ac:dyDescent="0.3">
      <c r="L275" s="612" t="s">
        <v>1282</v>
      </c>
      <c r="M275" s="612">
        <v>0.03</v>
      </c>
      <c r="N275" s="612">
        <v>0.03</v>
      </c>
      <c r="O275" s="609" t="s">
        <v>1452</v>
      </c>
    </row>
    <row r="276" spans="12:16" x14ac:dyDescent="0.3">
      <c r="L276" s="609" t="s">
        <v>1283</v>
      </c>
      <c r="M276" s="609" t="s">
        <v>461</v>
      </c>
      <c r="N276" s="609" t="s">
        <v>461</v>
      </c>
      <c r="O276" s="609"/>
    </row>
    <row r="277" spans="12:16" x14ac:dyDescent="0.3">
      <c r="L277" s="609" t="s">
        <v>1284</v>
      </c>
      <c r="M277" s="609" t="s">
        <v>461</v>
      </c>
      <c r="N277" s="609" t="s">
        <v>461</v>
      </c>
      <c r="O277" s="609"/>
    </row>
    <row r="278" spans="12:16" x14ac:dyDescent="0.3">
      <c r="L278" s="609" t="s">
        <v>1285</v>
      </c>
      <c r="M278" s="609" t="s">
        <v>461</v>
      </c>
      <c r="N278" s="609" t="s">
        <v>461</v>
      </c>
      <c r="O278" s="609"/>
    </row>
    <row r="279" spans="12:16" x14ac:dyDescent="0.3">
      <c r="L279" s="612" t="s">
        <v>1286</v>
      </c>
      <c r="M279" s="612" t="s">
        <v>461</v>
      </c>
      <c r="N279" s="612" t="s">
        <v>461</v>
      </c>
      <c r="O279" s="609" t="s">
        <v>1452</v>
      </c>
    </row>
    <row r="280" spans="12:16" x14ac:dyDescent="0.3">
      <c r="L280" s="609" t="s">
        <v>1287</v>
      </c>
      <c r="M280" s="609" t="s">
        <v>461</v>
      </c>
      <c r="N280" s="609" t="s">
        <v>461</v>
      </c>
      <c r="O280" s="609"/>
    </row>
    <row r="281" spans="12:16" x14ac:dyDescent="0.3">
      <c r="L281" s="609" t="s">
        <v>1288</v>
      </c>
      <c r="M281" s="609" t="s">
        <v>461</v>
      </c>
      <c r="N281" s="609" t="s">
        <v>461</v>
      </c>
      <c r="O281" s="609"/>
    </row>
    <row r="282" spans="12:16" x14ac:dyDescent="0.3">
      <c r="L282" s="609" t="s">
        <v>1289</v>
      </c>
      <c r="M282" s="609" t="s">
        <v>461</v>
      </c>
      <c r="N282" s="609" t="s">
        <v>461</v>
      </c>
      <c r="O282" s="609"/>
    </row>
    <row r="283" spans="12:16" x14ac:dyDescent="0.3">
      <c r="L283" s="609" t="s">
        <v>1290</v>
      </c>
      <c r="M283" s="609" t="s">
        <v>461</v>
      </c>
      <c r="N283" s="609" t="s">
        <v>461</v>
      </c>
      <c r="O283" s="609"/>
    </row>
    <row r="284" spans="12:16" x14ac:dyDescent="0.3">
      <c r="L284" s="611" t="s">
        <v>1291</v>
      </c>
      <c r="M284" s="611">
        <v>0.03</v>
      </c>
      <c r="N284" s="611">
        <v>0.05</v>
      </c>
      <c r="O284" s="609" t="s">
        <v>1457</v>
      </c>
      <c r="P284" s="618" t="s">
        <v>1453</v>
      </c>
    </row>
    <row r="285" spans="12:16" x14ac:dyDescent="0.3">
      <c r="L285" s="609" t="s">
        <v>436</v>
      </c>
      <c r="M285" s="609" t="s">
        <v>461</v>
      </c>
      <c r="N285" s="609" t="s">
        <v>461</v>
      </c>
      <c r="O285" s="609"/>
    </row>
    <row r="286" spans="12:16" x14ac:dyDescent="0.3">
      <c r="L286" s="609" t="s">
        <v>1292</v>
      </c>
      <c r="M286" s="609" t="s">
        <v>461</v>
      </c>
      <c r="N286" s="609" t="s">
        <v>461</v>
      </c>
    </row>
    <row r="287" spans="12:16" x14ac:dyDescent="0.3">
      <c r="L287" s="609" t="s">
        <v>437</v>
      </c>
      <c r="M287" s="609" t="s">
        <v>461</v>
      </c>
      <c r="N287" s="609" t="s">
        <v>461</v>
      </c>
      <c r="O287" s="609" t="s">
        <v>1548</v>
      </c>
    </row>
    <row r="288" spans="12:16" x14ac:dyDescent="0.3">
      <c r="L288" s="609" t="s">
        <v>1293</v>
      </c>
      <c r="M288" s="609" t="s">
        <v>461</v>
      </c>
      <c r="N288" s="609" t="s">
        <v>461</v>
      </c>
      <c r="O288" s="609"/>
    </row>
    <row r="289" spans="12:16" x14ac:dyDescent="0.3">
      <c r="L289" s="611" t="s">
        <v>438</v>
      </c>
      <c r="M289" s="611">
        <v>0.03</v>
      </c>
      <c r="N289" s="611">
        <v>0.05</v>
      </c>
      <c r="O289" s="609" t="s">
        <v>1457</v>
      </c>
      <c r="P289" s="618" t="s">
        <v>1453</v>
      </c>
    </row>
    <row r="290" spans="12:16" x14ac:dyDescent="0.3">
      <c r="L290" s="609" t="s">
        <v>439</v>
      </c>
      <c r="M290" s="609" t="s">
        <v>461</v>
      </c>
      <c r="N290" s="609" t="s">
        <v>461</v>
      </c>
      <c r="O290" s="609" t="s">
        <v>1548</v>
      </c>
    </row>
    <row r="291" spans="12:16" x14ac:dyDescent="0.3">
      <c r="L291" s="609" t="s">
        <v>390</v>
      </c>
      <c r="M291" s="609" t="s">
        <v>461</v>
      </c>
      <c r="N291" s="609" t="s">
        <v>461</v>
      </c>
      <c r="O291" s="609"/>
    </row>
    <row r="292" spans="12:16" x14ac:dyDescent="0.3">
      <c r="L292" s="609" t="s">
        <v>1294</v>
      </c>
      <c r="M292" s="609" t="s">
        <v>461</v>
      </c>
      <c r="N292" s="609" t="s">
        <v>461</v>
      </c>
      <c r="O292" s="609"/>
    </row>
    <row r="293" spans="12:16" x14ac:dyDescent="0.3">
      <c r="L293" s="609" t="s">
        <v>1295</v>
      </c>
      <c r="M293" s="609" t="s">
        <v>461</v>
      </c>
      <c r="N293" s="609" t="s">
        <v>461</v>
      </c>
      <c r="O293" s="609"/>
    </row>
    <row r="294" spans="12:16" x14ac:dyDescent="0.3">
      <c r="L294" s="609" t="s">
        <v>440</v>
      </c>
      <c r="M294" s="609" t="s">
        <v>461</v>
      </c>
      <c r="N294" s="609" t="s">
        <v>461</v>
      </c>
      <c r="O294" s="609"/>
    </row>
    <row r="295" spans="12:16" x14ac:dyDescent="0.3">
      <c r="L295" s="612" t="s">
        <v>1296</v>
      </c>
      <c r="M295" s="612">
        <v>0.03</v>
      </c>
      <c r="N295" s="612" t="s">
        <v>461</v>
      </c>
      <c r="O295" s="609" t="s">
        <v>1452</v>
      </c>
    </row>
    <row r="296" spans="12:16" x14ac:dyDescent="0.3">
      <c r="L296" s="609" t="s">
        <v>1297</v>
      </c>
      <c r="M296" s="609" t="s">
        <v>461</v>
      </c>
      <c r="N296" s="609" t="s">
        <v>461</v>
      </c>
      <c r="O296" s="609"/>
    </row>
    <row r="297" spans="12:16" x14ac:dyDescent="0.3">
      <c r="L297" s="609" t="s">
        <v>1298</v>
      </c>
      <c r="M297" s="609" t="s">
        <v>461</v>
      </c>
      <c r="N297" s="609" t="s">
        <v>461</v>
      </c>
      <c r="O297" s="609"/>
    </row>
    <row r="298" spans="12:16" x14ac:dyDescent="0.3">
      <c r="L298" s="609" t="s">
        <v>1299</v>
      </c>
      <c r="M298" s="609" t="s">
        <v>461</v>
      </c>
      <c r="N298" s="609" t="s">
        <v>461</v>
      </c>
      <c r="O298" s="609"/>
    </row>
    <row r="299" spans="12:16" x14ac:dyDescent="0.3">
      <c r="L299" s="609" t="s">
        <v>1300</v>
      </c>
      <c r="M299" s="609" t="s">
        <v>461</v>
      </c>
      <c r="N299" s="609" t="s">
        <v>461</v>
      </c>
      <c r="O299" s="609"/>
    </row>
    <row r="300" spans="12:16" x14ac:dyDescent="0.3">
      <c r="L300" s="609" t="s">
        <v>1301</v>
      </c>
      <c r="M300" s="609" t="s">
        <v>461</v>
      </c>
      <c r="N300" s="609" t="s">
        <v>461</v>
      </c>
      <c r="O300" s="609"/>
    </row>
    <row r="301" spans="12:16" x14ac:dyDescent="0.3">
      <c r="L301" s="609" t="s">
        <v>1302</v>
      </c>
      <c r="M301" s="609" t="s">
        <v>461</v>
      </c>
      <c r="N301" s="609" t="s">
        <v>461</v>
      </c>
      <c r="O301" s="609"/>
    </row>
    <row r="302" spans="12:16" x14ac:dyDescent="0.3">
      <c r="L302" s="609" t="s">
        <v>1303</v>
      </c>
      <c r="M302" s="609" t="s">
        <v>461</v>
      </c>
      <c r="N302" s="609" t="s">
        <v>461</v>
      </c>
      <c r="O302" s="609"/>
    </row>
    <row r="303" spans="12:16" x14ac:dyDescent="0.3">
      <c r="L303" s="609" t="s">
        <v>1304</v>
      </c>
      <c r="M303" s="609" t="s">
        <v>461</v>
      </c>
      <c r="N303" s="609" t="s">
        <v>461</v>
      </c>
      <c r="O303" s="609"/>
    </row>
    <row r="304" spans="12:16" x14ac:dyDescent="0.3">
      <c r="L304" s="609" t="s">
        <v>1305</v>
      </c>
      <c r="M304" s="609" t="s">
        <v>461</v>
      </c>
      <c r="N304" s="609" t="s">
        <v>461</v>
      </c>
      <c r="O304" s="609"/>
    </row>
    <row r="305" spans="12:15" x14ac:dyDescent="0.3">
      <c r="L305" s="609" t="s">
        <v>1306</v>
      </c>
      <c r="M305" s="609" t="s">
        <v>461</v>
      </c>
      <c r="N305" s="609" t="s">
        <v>461</v>
      </c>
      <c r="O305" s="609"/>
    </row>
    <row r="306" spans="12:15" x14ac:dyDescent="0.3">
      <c r="L306" s="609" t="s">
        <v>441</v>
      </c>
      <c r="M306" s="609" t="s">
        <v>461</v>
      </c>
      <c r="N306" s="609" t="s">
        <v>461</v>
      </c>
      <c r="O306" s="609"/>
    </row>
    <row r="307" spans="12:15" x14ac:dyDescent="0.3">
      <c r="L307" s="609" t="s">
        <v>1307</v>
      </c>
      <c r="M307" s="609" t="s">
        <v>461</v>
      </c>
      <c r="N307" s="609" t="s">
        <v>461</v>
      </c>
      <c r="O307" s="609"/>
    </row>
    <row r="308" spans="12:15" x14ac:dyDescent="0.3">
      <c r="L308" s="609" t="s">
        <v>1308</v>
      </c>
      <c r="M308" s="609" t="s">
        <v>461</v>
      </c>
      <c r="N308" s="609" t="s">
        <v>461</v>
      </c>
      <c r="O308" s="609"/>
    </row>
    <row r="309" spans="12:15" x14ac:dyDescent="0.3">
      <c r="L309" s="609" t="s">
        <v>1309</v>
      </c>
      <c r="M309" s="609" t="s">
        <v>461</v>
      </c>
      <c r="N309" s="609" t="s">
        <v>461</v>
      </c>
      <c r="O309" s="609"/>
    </row>
    <row r="310" spans="12:15" x14ac:dyDescent="0.3">
      <c r="L310" s="609" t="s">
        <v>1310</v>
      </c>
      <c r="M310" s="609" t="s">
        <v>461</v>
      </c>
      <c r="N310" s="609" t="s">
        <v>461</v>
      </c>
      <c r="O310" s="609"/>
    </row>
    <row r="311" spans="12:15" x14ac:dyDescent="0.3">
      <c r="L311" s="609" t="s">
        <v>1311</v>
      </c>
      <c r="M311" s="609" t="s">
        <v>461</v>
      </c>
      <c r="N311" s="609" t="s">
        <v>461</v>
      </c>
      <c r="O311" s="609"/>
    </row>
    <row r="312" spans="12:15" x14ac:dyDescent="0.3">
      <c r="L312" s="609" t="s">
        <v>820</v>
      </c>
      <c r="M312" s="609" t="s">
        <v>461</v>
      </c>
      <c r="N312" s="609" t="s">
        <v>461</v>
      </c>
      <c r="O312" s="609"/>
    </row>
    <row r="313" spans="12:15" x14ac:dyDescent="0.3">
      <c r="L313" s="609" t="s">
        <v>821</v>
      </c>
      <c r="M313" s="609" t="s">
        <v>461</v>
      </c>
      <c r="N313" s="609" t="s">
        <v>461</v>
      </c>
      <c r="O313" s="609"/>
    </row>
    <row r="314" spans="12:15" x14ac:dyDescent="0.3">
      <c r="L314" s="609" t="s">
        <v>1312</v>
      </c>
      <c r="M314" s="609" t="s">
        <v>461</v>
      </c>
      <c r="N314" s="609" t="s">
        <v>461</v>
      </c>
      <c r="O314" s="609"/>
    </row>
    <row r="315" spans="12:15" x14ac:dyDescent="0.3">
      <c r="L315" s="609" t="s">
        <v>1313</v>
      </c>
      <c r="M315" s="609" t="s">
        <v>461</v>
      </c>
      <c r="N315" s="609" t="s">
        <v>461</v>
      </c>
      <c r="O315" s="609"/>
    </row>
    <row r="316" spans="12:15" x14ac:dyDescent="0.3">
      <c r="L316" s="609" t="s">
        <v>1314</v>
      </c>
      <c r="M316" s="609" t="s">
        <v>461</v>
      </c>
      <c r="N316" s="609" t="s">
        <v>461</v>
      </c>
      <c r="O316" s="609"/>
    </row>
    <row r="317" spans="12:15" x14ac:dyDescent="0.3">
      <c r="L317" s="609" t="s">
        <v>1315</v>
      </c>
      <c r="M317" s="609" t="s">
        <v>461</v>
      </c>
      <c r="N317" s="609" t="s">
        <v>461</v>
      </c>
      <c r="O317" s="609"/>
    </row>
    <row r="318" spans="12:15" x14ac:dyDescent="0.3">
      <c r="L318" s="609" t="s">
        <v>516</v>
      </c>
      <c r="M318" s="609" t="s">
        <v>461</v>
      </c>
      <c r="N318" s="609" t="s">
        <v>461</v>
      </c>
      <c r="O318" s="609"/>
    </row>
    <row r="319" spans="12:15" x14ac:dyDescent="0.3">
      <c r="L319" s="609" t="s">
        <v>1316</v>
      </c>
      <c r="M319" s="609" t="s">
        <v>461</v>
      </c>
      <c r="N319" s="609" t="s">
        <v>461</v>
      </c>
      <c r="O319" s="609"/>
    </row>
    <row r="320" spans="12:15" x14ac:dyDescent="0.3">
      <c r="L320" s="609" t="s">
        <v>1317</v>
      </c>
      <c r="M320" s="609" t="s">
        <v>461</v>
      </c>
      <c r="N320" s="609" t="s">
        <v>461</v>
      </c>
      <c r="O320" s="609"/>
    </row>
    <row r="321" spans="12:15" x14ac:dyDescent="0.3">
      <c r="L321" s="609" t="s">
        <v>822</v>
      </c>
      <c r="M321" s="609" t="s">
        <v>461</v>
      </c>
      <c r="N321" s="609" t="s">
        <v>461</v>
      </c>
      <c r="O321" s="609"/>
    </row>
    <row r="322" spans="12:15" x14ac:dyDescent="0.3">
      <c r="L322" s="609" t="s">
        <v>1318</v>
      </c>
      <c r="M322" s="609" t="s">
        <v>461</v>
      </c>
      <c r="N322" s="609" t="s">
        <v>461</v>
      </c>
      <c r="O322" s="609"/>
    </row>
    <row r="323" spans="12:15" x14ac:dyDescent="0.3">
      <c r="L323" s="609" t="s">
        <v>1319</v>
      </c>
      <c r="M323" s="609" t="s">
        <v>461</v>
      </c>
      <c r="N323" s="609" t="s">
        <v>461</v>
      </c>
      <c r="O323" s="609"/>
    </row>
    <row r="324" spans="12:15" x14ac:dyDescent="0.3">
      <c r="L324" s="609" t="s">
        <v>1320</v>
      </c>
      <c r="M324" s="609" t="s">
        <v>461</v>
      </c>
      <c r="N324" s="609" t="s">
        <v>461</v>
      </c>
      <c r="O324" s="609"/>
    </row>
    <row r="325" spans="12:15" x14ac:dyDescent="0.3">
      <c r="L325" s="612" t="s">
        <v>1321</v>
      </c>
      <c r="M325" s="612">
        <v>0.01</v>
      </c>
      <c r="N325" s="612" t="s">
        <v>461</v>
      </c>
      <c r="O325" s="609" t="s">
        <v>1452</v>
      </c>
    </row>
    <row r="326" spans="12:15" x14ac:dyDescent="0.3">
      <c r="L326" s="609" t="s">
        <v>517</v>
      </c>
      <c r="M326" s="609" t="s">
        <v>461</v>
      </c>
      <c r="N326" s="609" t="s">
        <v>461</v>
      </c>
      <c r="O326" s="609"/>
    </row>
    <row r="327" spans="12:15" x14ac:dyDescent="0.3">
      <c r="L327" s="609" t="s">
        <v>1322</v>
      </c>
      <c r="M327" s="609" t="s">
        <v>461</v>
      </c>
      <c r="N327" s="609" t="s">
        <v>461</v>
      </c>
      <c r="O327" s="609"/>
    </row>
    <row r="328" spans="12:15" x14ac:dyDescent="0.3">
      <c r="L328" s="609" t="s">
        <v>1323</v>
      </c>
      <c r="M328" s="609" t="s">
        <v>461</v>
      </c>
      <c r="N328" s="609" t="s">
        <v>461</v>
      </c>
      <c r="O328" s="609"/>
    </row>
    <row r="329" spans="12:15" x14ac:dyDescent="0.3">
      <c r="L329" s="609" t="s">
        <v>1324</v>
      </c>
      <c r="M329" s="609" t="s">
        <v>461</v>
      </c>
      <c r="N329" s="609" t="s">
        <v>461</v>
      </c>
      <c r="O329" s="609"/>
    </row>
    <row r="330" spans="12:15" x14ac:dyDescent="0.3">
      <c r="L330" s="612" t="s">
        <v>1325</v>
      </c>
      <c r="M330" s="612">
        <v>0.05</v>
      </c>
      <c r="N330" s="612" t="s">
        <v>461</v>
      </c>
      <c r="O330" s="609" t="s">
        <v>1452</v>
      </c>
    </row>
    <row r="331" spans="12:15" x14ac:dyDescent="0.3">
      <c r="L331" s="609" t="s">
        <v>1326</v>
      </c>
      <c r="M331" s="609" t="s">
        <v>461</v>
      </c>
      <c r="N331" s="609" t="s">
        <v>461</v>
      </c>
      <c r="O331" s="609"/>
    </row>
    <row r="332" spans="12:15" x14ac:dyDescent="0.3">
      <c r="L332" s="609" t="s">
        <v>1327</v>
      </c>
      <c r="M332" s="609" t="s">
        <v>461</v>
      </c>
      <c r="N332" s="609" t="s">
        <v>461</v>
      </c>
      <c r="O332" s="609"/>
    </row>
    <row r="333" spans="12:15" x14ac:dyDescent="0.3">
      <c r="L333" s="609" t="s">
        <v>1328</v>
      </c>
      <c r="M333" s="609" t="s">
        <v>461</v>
      </c>
      <c r="N333" s="609" t="s">
        <v>461</v>
      </c>
      <c r="O333" s="609"/>
    </row>
    <row r="334" spans="12:15" x14ac:dyDescent="0.3">
      <c r="L334" s="609" t="s">
        <v>1329</v>
      </c>
      <c r="M334" s="609" t="s">
        <v>461</v>
      </c>
      <c r="N334" s="609" t="s">
        <v>461</v>
      </c>
      <c r="O334" s="609"/>
    </row>
    <row r="335" spans="12:15" x14ac:dyDescent="0.3">
      <c r="L335" s="609" t="s">
        <v>823</v>
      </c>
      <c r="M335" s="609" t="s">
        <v>461</v>
      </c>
      <c r="N335" s="609" t="s">
        <v>461</v>
      </c>
      <c r="O335" s="609"/>
    </row>
    <row r="336" spans="12:15" x14ac:dyDescent="0.3">
      <c r="L336" s="609" t="s">
        <v>518</v>
      </c>
      <c r="M336" s="609" t="s">
        <v>461</v>
      </c>
      <c r="N336" s="609" t="s">
        <v>461</v>
      </c>
      <c r="O336" s="609"/>
    </row>
    <row r="337" spans="12:16" x14ac:dyDescent="0.3">
      <c r="L337" s="609" t="s">
        <v>1330</v>
      </c>
      <c r="M337" s="609" t="s">
        <v>461</v>
      </c>
      <c r="N337" s="609" t="s">
        <v>461</v>
      </c>
      <c r="O337" s="609"/>
    </row>
    <row r="338" spans="12:16" x14ac:dyDescent="0.3">
      <c r="L338" s="609" t="s">
        <v>1331</v>
      </c>
      <c r="M338" s="609" t="s">
        <v>461</v>
      </c>
      <c r="N338" s="609" t="s">
        <v>461</v>
      </c>
      <c r="O338" s="609"/>
    </row>
    <row r="339" spans="12:16" x14ac:dyDescent="0.3">
      <c r="L339" s="609" t="s">
        <v>1332</v>
      </c>
      <c r="M339" s="609" t="s">
        <v>461</v>
      </c>
      <c r="N339" s="609" t="s">
        <v>461</v>
      </c>
      <c r="O339" s="609"/>
    </row>
    <row r="340" spans="12:16" x14ac:dyDescent="0.3">
      <c r="L340" s="609" t="s">
        <v>1333</v>
      </c>
      <c r="M340" s="609" t="s">
        <v>461</v>
      </c>
      <c r="N340" s="609" t="s">
        <v>461</v>
      </c>
      <c r="O340" s="609"/>
    </row>
    <row r="341" spans="12:16" x14ac:dyDescent="0.3">
      <c r="L341" s="609" t="s">
        <v>1334</v>
      </c>
      <c r="M341" s="609" t="s">
        <v>461</v>
      </c>
      <c r="N341" s="609" t="s">
        <v>461</v>
      </c>
      <c r="O341" s="609"/>
    </row>
    <row r="342" spans="12:16" x14ac:dyDescent="0.3">
      <c r="L342" s="609" t="s">
        <v>519</v>
      </c>
      <c r="M342" s="609" t="s">
        <v>461</v>
      </c>
      <c r="N342" s="609" t="s">
        <v>461</v>
      </c>
      <c r="O342" s="609"/>
    </row>
    <row r="343" spans="12:16" x14ac:dyDescent="0.3">
      <c r="L343" s="611" t="s">
        <v>1335</v>
      </c>
      <c r="M343" s="611">
        <v>0.03</v>
      </c>
      <c r="N343" s="611">
        <v>0.05</v>
      </c>
      <c r="O343" s="609" t="s">
        <v>1457</v>
      </c>
      <c r="P343" s="618" t="s">
        <v>1453</v>
      </c>
    </row>
    <row r="344" spans="12:16" x14ac:dyDescent="0.3">
      <c r="L344" s="609" t="s">
        <v>1336</v>
      </c>
      <c r="M344" s="609" t="s">
        <v>461</v>
      </c>
      <c r="N344" s="609" t="s">
        <v>461</v>
      </c>
      <c r="O344" s="609"/>
    </row>
    <row r="345" spans="12:16" x14ac:dyDescent="0.3">
      <c r="L345" s="609" t="s">
        <v>1337</v>
      </c>
      <c r="M345" s="609" t="s">
        <v>461</v>
      </c>
      <c r="N345" s="609" t="s">
        <v>461</v>
      </c>
      <c r="O345" s="609"/>
    </row>
    <row r="346" spans="12:16" x14ac:dyDescent="0.3">
      <c r="L346" s="609" t="s">
        <v>520</v>
      </c>
      <c r="M346" s="609" t="s">
        <v>461</v>
      </c>
      <c r="N346" s="609" t="s">
        <v>461</v>
      </c>
      <c r="O346" s="609"/>
    </row>
    <row r="347" spans="12:16" x14ac:dyDescent="0.3">
      <c r="L347" s="612" t="s">
        <v>1338</v>
      </c>
      <c r="M347" s="612">
        <v>0.03</v>
      </c>
      <c r="N347" s="612">
        <v>0.05</v>
      </c>
      <c r="O347" s="609" t="s">
        <v>1452</v>
      </c>
    </row>
    <row r="348" spans="12:16" x14ac:dyDescent="0.3">
      <c r="L348" s="609" t="s">
        <v>521</v>
      </c>
      <c r="M348" s="609" t="s">
        <v>461</v>
      </c>
      <c r="N348" s="609" t="s">
        <v>461</v>
      </c>
      <c r="O348" s="609"/>
    </row>
    <row r="349" spans="12:16" x14ac:dyDescent="0.3">
      <c r="L349" s="609" t="s">
        <v>522</v>
      </c>
      <c r="M349" s="609" t="s">
        <v>461</v>
      </c>
      <c r="N349" s="609" t="s">
        <v>461</v>
      </c>
      <c r="O349" s="609"/>
    </row>
    <row r="350" spans="12:16" x14ac:dyDescent="0.3">
      <c r="L350" s="609" t="s">
        <v>523</v>
      </c>
      <c r="M350" s="609" t="s">
        <v>461</v>
      </c>
      <c r="N350" s="609" t="s">
        <v>461</v>
      </c>
      <c r="O350" s="609"/>
    </row>
    <row r="351" spans="12:16" x14ac:dyDescent="0.3">
      <c r="L351" s="609" t="s">
        <v>1339</v>
      </c>
      <c r="M351" s="609" t="s">
        <v>461</v>
      </c>
      <c r="N351" s="609" t="s">
        <v>461</v>
      </c>
      <c r="O351" s="609"/>
    </row>
    <row r="352" spans="12:16" x14ac:dyDescent="0.3">
      <c r="L352" s="609" t="s">
        <v>1340</v>
      </c>
      <c r="M352" s="609" t="s">
        <v>461</v>
      </c>
      <c r="N352" s="609" t="s">
        <v>461</v>
      </c>
      <c r="O352" s="609"/>
    </row>
    <row r="353" spans="12:15" x14ac:dyDescent="0.3">
      <c r="L353" s="609" t="s">
        <v>1341</v>
      </c>
      <c r="M353" s="609" t="s">
        <v>461</v>
      </c>
      <c r="N353" s="609" t="s">
        <v>461</v>
      </c>
      <c r="O353" s="609"/>
    </row>
    <row r="354" spans="12:15" x14ac:dyDescent="0.3">
      <c r="L354" s="609" t="s">
        <v>525</v>
      </c>
      <c r="M354" s="609" t="s">
        <v>461</v>
      </c>
      <c r="N354" s="609" t="s">
        <v>461</v>
      </c>
      <c r="O354" s="609"/>
    </row>
    <row r="355" spans="12:15" x14ac:dyDescent="0.3">
      <c r="L355" s="609" t="s">
        <v>526</v>
      </c>
      <c r="M355" s="609" t="s">
        <v>461</v>
      </c>
      <c r="N355" s="609" t="s">
        <v>461</v>
      </c>
      <c r="O355" s="609" t="s">
        <v>1548</v>
      </c>
    </row>
    <row r="356" spans="12:15" x14ac:dyDescent="0.3">
      <c r="L356" s="609" t="s">
        <v>1342</v>
      </c>
      <c r="M356" s="609" t="s">
        <v>461</v>
      </c>
      <c r="N356" s="609" t="s">
        <v>461</v>
      </c>
      <c r="O356" s="609"/>
    </row>
    <row r="357" spans="12:15" x14ac:dyDescent="0.3">
      <c r="L357" s="609" t="s">
        <v>1343</v>
      </c>
      <c r="M357" s="609" t="s">
        <v>461</v>
      </c>
      <c r="N357" s="609" t="s">
        <v>461</v>
      </c>
      <c r="O357" s="609"/>
    </row>
    <row r="358" spans="12:15" x14ac:dyDescent="0.3">
      <c r="L358" s="609" t="s">
        <v>1344</v>
      </c>
      <c r="M358" s="609" t="s">
        <v>461</v>
      </c>
      <c r="N358" s="609" t="s">
        <v>461</v>
      </c>
      <c r="O358" s="609"/>
    </row>
    <row r="359" spans="12:15" x14ac:dyDescent="0.3">
      <c r="L359" s="609" t="s">
        <v>1345</v>
      </c>
      <c r="M359" s="609" t="s">
        <v>461</v>
      </c>
      <c r="N359" s="609" t="s">
        <v>461</v>
      </c>
      <c r="O359" s="609"/>
    </row>
    <row r="360" spans="12:15" x14ac:dyDescent="0.3">
      <c r="L360" s="609" t="s">
        <v>1346</v>
      </c>
      <c r="M360" s="609" t="s">
        <v>461</v>
      </c>
      <c r="N360" s="609" t="s">
        <v>461</v>
      </c>
      <c r="O360" s="609"/>
    </row>
    <row r="361" spans="12:15" x14ac:dyDescent="0.3">
      <c r="L361" s="609" t="s">
        <v>1347</v>
      </c>
      <c r="M361" s="609" t="s">
        <v>461</v>
      </c>
      <c r="N361" s="609" t="s">
        <v>461</v>
      </c>
      <c r="O361" s="609"/>
    </row>
    <row r="362" spans="12:15" x14ac:dyDescent="0.3">
      <c r="L362" s="609" t="s">
        <v>1348</v>
      </c>
      <c r="M362" s="609" t="s">
        <v>461</v>
      </c>
      <c r="N362" s="609" t="s">
        <v>461</v>
      </c>
      <c r="O362" s="609"/>
    </row>
    <row r="363" spans="12:15" x14ac:dyDescent="0.3">
      <c r="L363" s="609" t="s">
        <v>1349</v>
      </c>
      <c r="M363" s="609" t="s">
        <v>461</v>
      </c>
      <c r="N363" s="609" t="s">
        <v>461</v>
      </c>
      <c r="O363" s="609"/>
    </row>
    <row r="364" spans="12:15" x14ac:dyDescent="0.3">
      <c r="L364" s="609" t="s">
        <v>1350</v>
      </c>
      <c r="M364" s="609" t="s">
        <v>461</v>
      </c>
      <c r="N364" s="609" t="s">
        <v>461</v>
      </c>
      <c r="O364" s="609"/>
    </row>
    <row r="365" spans="12:15" x14ac:dyDescent="0.3">
      <c r="L365" s="609" t="s">
        <v>1351</v>
      </c>
      <c r="M365" s="609" t="s">
        <v>461</v>
      </c>
      <c r="N365" s="609" t="s">
        <v>461</v>
      </c>
      <c r="O365" s="609"/>
    </row>
    <row r="366" spans="12:15" x14ac:dyDescent="0.3">
      <c r="L366" s="609" t="s">
        <v>1352</v>
      </c>
      <c r="M366" s="609" t="s">
        <v>461</v>
      </c>
      <c r="N366" s="609" t="s">
        <v>461</v>
      </c>
      <c r="O366" s="609"/>
    </row>
    <row r="367" spans="12:15" x14ac:dyDescent="0.3">
      <c r="L367" s="609" t="s">
        <v>1353</v>
      </c>
      <c r="M367" s="609" t="s">
        <v>461</v>
      </c>
      <c r="N367" s="609" t="s">
        <v>461</v>
      </c>
      <c r="O367" s="609"/>
    </row>
    <row r="368" spans="12:15" x14ac:dyDescent="0.3">
      <c r="L368" s="609" t="s">
        <v>1354</v>
      </c>
      <c r="M368" s="609" t="s">
        <v>461</v>
      </c>
      <c r="N368" s="609" t="s">
        <v>461</v>
      </c>
      <c r="O368" s="609"/>
    </row>
    <row r="369" spans="12:16" x14ac:dyDescent="0.3">
      <c r="L369" s="609" t="s">
        <v>1355</v>
      </c>
      <c r="M369" s="609" t="s">
        <v>461</v>
      </c>
      <c r="N369" s="609" t="s">
        <v>461</v>
      </c>
      <c r="O369" s="609"/>
    </row>
    <row r="370" spans="12:16" x14ac:dyDescent="0.3">
      <c r="L370" s="609" t="s">
        <v>1356</v>
      </c>
      <c r="M370" s="609" t="s">
        <v>461</v>
      </c>
      <c r="N370" s="609" t="s">
        <v>461</v>
      </c>
      <c r="O370" s="609"/>
    </row>
    <row r="371" spans="12:16" x14ac:dyDescent="0.3">
      <c r="L371" s="609" t="s">
        <v>1357</v>
      </c>
      <c r="M371" s="609" t="s">
        <v>461</v>
      </c>
      <c r="N371" s="609" t="s">
        <v>461</v>
      </c>
      <c r="O371" s="609"/>
    </row>
    <row r="372" spans="12:16" x14ac:dyDescent="0.3">
      <c r="L372" s="611" t="s">
        <v>528</v>
      </c>
      <c r="M372" s="611">
        <v>0.03</v>
      </c>
      <c r="N372" s="611">
        <v>0.05</v>
      </c>
      <c r="O372" s="609" t="s">
        <v>1457</v>
      </c>
      <c r="P372" s="618" t="s">
        <v>1453</v>
      </c>
    </row>
    <row r="373" spans="12:16" x14ac:dyDescent="0.3">
      <c r="L373" s="609" t="s">
        <v>529</v>
      </c>
      <c r="M373" s="609" t="s">
        <v>461</v>
      </c>
      <c r="N373" s="609" t="s">
        <v>461</v>
      </c>
      <c r="O373" s="609"/>
    </row>
    <row r="374" spans="12:16" x14ac:dyDescent="0.3">
      <c r="L374" s="609" t="s">
        <v>1358</v>
      </c>
      <c r="M374" s="609" t="s">
        <v>461</v>
      </c>
      <c r="N374" s="609" t="s">
        <v>461</v>
      </c>
      <c r="O374" s="609"/>
    </row>
    <row r="375" spans="12:16" x14ac:dyDescent="0.3">
      <c r="L375" s="609" t="s">
        <v>1359</v>
      </c>
      <c r="M375" s="609" t="s">
        <v>461</v>
      </c>
      <c r="N375" s="609" t="s">
        <v>461</v>
      </c>
      <c r="O375" s="609"/>
    </row>
    <row r="376" spans="12:16" x14ac:dyDescent="0.3">
      <c r="L376" s="609" t="s">
        <v>1360</v>
      </c>
      <c r="M376" s="609" t="s">
        <v>461</v>
      </c>
      <c r="N376" s="609" t="s">
        <v>461</v>
      </c>
      <c r="O376" s="609"/>
    </row>
    <row r="377" spans="12:16" x14ac:dyDescent="0.3">
      <c r="L377" s="609" t="s">
        <v>1361</v>
      </c>
      <c r="M377" s="609" t="s">
        <v>461</v>
      </c>
      <c r="N377" s="609" t="s">
        <v>461</v>
      </c>
      <c r="O377" s="609"/>
    </row>
    <row r="378" spans="12:16" x14ac:dyDescent="0.3">
      <c r="L378" s="609" t="s">
        <v>1362</v>
      </c>
      <c r="M378" s="609" t="s">
        <v>461</v>
      </c>
      <c r="N378" s="609" t="s">
        <v>461</v>
      </c>
      <c r="O378" s="609" t="s">
        <v>1548</v>
      </c>
    </row>
    <row r="379" spans="12:16" x14ac:dyDescent="0.3">
      <c r="L379" s="612" t="s">
        <v>1363</v>
      </c>
      <c r="M379" s="612" t="s">
        <v>461</v>
      </c>
      <c r="N379" s="612" t="s">
        <v>461</v>
      </c>
      <c r="O379" s="609" t="s">
        <v>1452</v>
      </c>
    </row>
    <row r="380" spans="12:16" x14ac:dyDescent="0.3">
      <c r="L380" s="609" t="s">
        <v>1364</v>
      </c>
      <c r="M380" s="609" t="s">
        <v>461</v>
      </c>
      <c r="N380" s="609" t="s">
        <v>461</v>
      </c>
      <c r="O380" s="609"/>
    </row>
    <row r="381" spans="12:16" x14ac:dyDescent="0.3">
      <c r="L381" s="609" t="s">
        <v>1365</v>
      </c>
      <c r="M381" s="609" t="s">
        <v>461</v>
      </c>
      <c r="N381" s="609" t="s">
        <v>461</v>
      </c>
      <c r="O381" s="609"/>
    </row>
    <row r="382" spans="12:16" x14ac:dyDescent="0.3">
      <c r="L382" s="609" t="s">
        <v>1366</v>
      </c>
      <c r="M382" s="609" t="s">
        <v>461</v>
      </c>
      <c r="N382" s="609" t="s">
        <v>461</v>
      </c>
      <c r="O382" s="609"/>
    </row>
    <row r="383" spans="12:16" x14ac:dyDescent="0.3">
      <c r="L383" s="609" t="s">
        <v>824</v>
      </c>
      <c r="M383" s="609" t="s">
        <v>461</v>
      </c>
      <c r="N383" s="609" t="s">
        <v>461</v>
      </c>
      <c r="O383" s="609"/>
    </row>
    <row r="384" spans="12:16" x14ac:dyDescent="0.3">
      <c r="L384" s="609" t="s">
        <v>1367</v>
      </c>
      <c r="M384" s="609" t="s">
        <v>461</v>
      </c>
      <c r="N384" s="609" t="s">
        <v>461</v>
      </c>
      <c r="O384" s="609"/>
    </row>
    <row r="385" spans="12:16" x14ac:dyDescent="0.3">
      <c r="L385" s="609" t="s">
        <v>530</v>
      </c>
      <c r="M385" s="609" t="s">
        <v>461</v>
      </c>
      <c r="N385" s="609" t="s">
        <v>461</v>
      </c>
      <c r="O385" s="609"/>
    </row>
    <row r="386" spans="12:16" x14ac:dyDescent="0.3">
      <c r="L386" s="609" t="s">
        <v>531</v>
      </c>
      <c r="M386" s="609" t="s">
        <v>461</v>
      </c>
      <c r="N386" s="609" t="s">
        <v>461</v>
      </c>
      <c r="O386" s="609"/>
    </row>
    <row r="387" spans="12:16" x14ac:dyDescent="0.3">
      <c r="L387" s="609" t="s">
        <v>1368</v>
      </c>
      <c r="M387" s="609" t="s">
        <v>461</v>
      </c>
      <c r="N387" s="609" t="s">
        <v>461</v>
      </c>
      <c r="O387" s="609"/>
    </row>
    <row r="388" spans="12:16" x14ac:dyDescent="0.3">
      <c r="L388" s="609" t="s">
        <v>1369</v>
      </c>
      <c r="M388" s="609" t="s">
        <v>461</v>
      </c>
      <c r="N388" s="609" t="s">
        <v>461</v>
      </c>
      <c r="O388" s="609"/>
    </row>
    <row r="389" spans="12:16" x14ac:dyDescent="0.3">
      <c r="L389" s="609" t="s">
        <v>532</v>
      </c>
      <c r="M389" s="609" t="s">
        <v>461</v>
      </c>
      <c r="N389" s="609" t="s">
        <v>461</v>
      </c>
      <c r="O389" s="609"/>
    </row>
    <row r="390" spans="12:16" x14ac:dyDescent="0.3">
      <c r="L390" s="609" t="s">
        <v>533</v>
      </c>
      <c r="M390" s="609" t="s">
        <v>461</v>
      </c>
      <c r="N390" s="609" t="s">
        <v>461</v>
      </c>
      <c r="O390" s="609"/>
    </row>
    <row r="391" spans="12:16" x14ac:dyDescent="0.3">
      <c r="L391" s="609" t="s">
        <v>1370</v>
      </c>
      <c r="M391" s="609" t="s">
        <v>461</v>
      </c>
      <c r="N391" s="609" t="s">
        <v>461</v>
      </c>
      <c r="O391" s="609"/>
    </row>
    <row r="392" spans="12:16" x14ac:dyDescent="0.3">
      <c r="L392" s="609" t="s">
        <v>1371</v>
      </c>
      <c r="M392" s="609" t="s">
        <v>461</v>
      </c>
      <c r="N392" s="609" t="s">
        <v>461</v>
      </c>
      <c r="O392" s="609"/>
    </row>
    <row r="393" spans="12:16" x14ac:dyDescent="0.3">
      <c r="L393" s="609" t="s">
        <v>534</v>
      </c>
      <c r="M393" s="609" t="s">
        <v>461</v>
      </c>
      <c r="N393" s="609" t="s">
        <v>461</v>
      </c>
      <c r="O393" s="609"/>
    </row>
    <row r="394" spans="12:16" x14ac:dyDescent="0.3">
      <c r="L394" s="609" t="s">
        <v>1372</v>
      </c>
      <c r="M394" s="609" t="s">
        <v>461</v>
      </c>
      <c r="N394" s="609" t="s">
        <v>461</v>
      </c>
      <c r="O394" s="609"/>
    </row>
    <row r="395" spans="12:16" x14ac:dyDescent="0.3">
      <c r="L395" s="609" t="s">
        <v>535</v>
      </c>
      <c r="M395" s="609" t="s">
        <v>461</v>
      </c>
      <c r="N395" s="609" t="s">
        <v>461</v>
      </c>
      <c r="O395" s="609"/>
    </row>
    <row r="396" spans="12:16" x14ac:dyDescent="0.3">
      <c r="L396" s="609" t="s">
        <v>1373</v>
      </c>
      <c r="M396" s="609" t="s">
        <v>461</v>
      </c>
      <c r="N396" s="609" t="s">
        <v>461</v>
      </c>
      <c r="O396" s="609"/>
    </row>
    <row r="397" spans="12:16" x14ac:dyDescent="0.3">
      <c r="L397" s="609" t="s">
        <v>1374</v>
      </c>
      <c r="M397" s="609" t="s">
        <v>461</v>
      </c>
      <c r="N397" s="609" t="s">
        <v>461</v>
      </c>
      <c r="O397" s="609"/>
    </row>
    <row r="398" spans="12:16" x14ac:dyDescent="0.3">
      <c r="L398" s="609" t="s">
        <v>1375</v>
      </c>
      <c r="M398" s="609" t="s">
        <v>461</v>
      </c>
      <c r="N398" s="609" t="s">
        <v>461</v>
      </c>
      <c r="O398" s="609"/>
    </row>
    <row r="399" spans="12:16" x14ac:dyDescent="0.3">
      <c r="L399" s="611" t="s">
        <v>536</v>
      </c>
      <c r="M399" s="611">
        <v>0.03</v>
      </c>
      <c r="N399" s="611">
        <v>0.05</v>
      </c>
      <c r="O399" s="609" t="s">
        <v>1457</v>
      </c>
      <c r="P399" s="618" t="s">
        <v>1453</v>
      </c>
    </row>
    <row r="400" spans="12:16" x14ac:dyDescent="0.3">
      <c r="L400" s="609" t="s">
        <v>1376</v>
      </c>
      <c r="M400" s="609" t="s">
        <v>461</v>
      </c>
      <c r="N400" s="609" t="s">
        <v>461</v>
      </c>
      <c r="O400" s="609"/>
    </row>
    <row r="401" spans="12:16" x14ac:dyDescent="0.3">
      <c r="L401" s="609" t="s">
        <v>1377</v>
      </c>
      <c r="M401" s="609" t="s">
        <v>461</v>
      </c>
      <c r="N401" s="609" t="s">
        <v>461</v>
      </c>
      <c r="O401" s="609"/>
    </row>
    <row r="402" spans="12:16" x14ac:dyDescent="0.3">
      <c r="L402" s="609" t="s">
        <v>1378</v>
      </c>
      <c r="M402" s="609" t="s">
        <v>461</v>
      </c>
      <c r="N402" s="609" t="s">
        <v>461</v>
      </c>
      <c r="O402" s="609"/>
    </row>
    <row r="403" spans="12:16" x14ac:dyDescent="0.3">
      <c r="L403" s="609" t="s">
        <v>537</v>
      </c>
      <c r="M403" s="609" t="s">
        <v>461</v>
      </c>
      <c r="N403" s="609" t="s">
        <v>461</v>
      </c>
      <c r="O403" s="609"/>
    </row>
    <row r="404" spans="12:16" x14ac:dyDescent="0.3">
      <c r="L404" s="609" t="s">
        <v>825</v>
      </c>
      <c r="M404" s="609" t="s">
        <v>461</v>
      </c>
      <c r="N404" s="609" t="s">
        <v>461</v>
      </c>
      <c r="O404" s="609"/>
    </row>
    <row r="405" spans="12:16" x14ac:dyDescent="0.3">
      <c r="L405" s="609" t="s">
        <v>1379</v>
      </c>
      <c r="M405" s="609" t="s">
        <v>461</v>
      </c>
      <c r="N405" s="609" t="s">
        <v>461</v>
      </c>
      <c r="O405" s="609"/>
    </row>
    <row r="406" spans="12:16" x14ac:dyDescent="0.3">
      <c r="L406" s="609" t="s">
        <v>1380</v>
      </c>
      <c r="M406" s="609" t="s">
        <v>461</v>
      </c>
      <c r="N406" s="609" t="s">
        <v>461</v>
      </c>
      <c r="O406" s="609"/>
    </row>
    <row r="407" spans="12:16" x14ac:dyDescent="0.3">
      <c r="L407" s="609" t="s">
        <v>1381</v>
      </c>
      <c r="M407" s="609" t="s">
        <v>461</v>
      </c>
      <c r="N407" s="609" t="s">
        <v>461</v>
      </c>
      <c r="O407" s="609"/>
    </row>
    <row r="408" spans="12:16" x14ac:dyDescent="0.3">
      <c r="L408" s="609" t="s">
        <v>538</v>
      </c>
      <c r="M408" s="609" t="s">
        <v>461</v>
      </c>
      <c r="N408" s="609" t="s">
        <v>461</v>
      </c>
      <c r="O408" s="609"/>
    </row>
    <row r="409" spans="12:16" x14ac:dyDescent="0.3">
      <c r="L409" s="609" t="s">
        <v>1382</v>
      </c>
      <c r="M409" s="609" t="s">
        <v>461</v>
      </c>
      <c r="N409" s="609" t="s">
        <v>461</v>
      </c>
      <c r="O409" s="609"/>
    </row>
    <row r="410" spans="12:16" x14ac:dyDescent="0.3">
      <c r="L410" s="611" t="s">
        <v>539</v>
      </c>
      <c r="M410" s="611">
        <v>0.03</v>
      </c>
      <c r="N410" s="611">
        <v>0.05</v>
      </c>
      <c r="O410" s="609" t="s">
        <v>1457</v>
      </c>
      <c r="P410" s="618" t="s">
        <v>1453</v>
      </c>
    </row>
    <row r="411" spans="12:16" x14ac:dyDescent="0.3">
      <c r="L411" s="609" t="s">
        <v>391</v>
      </c>
      <c r="M411" s="609" t="s">
        <v>461</v>
      </c>
      <c r="N411" s="609" t="s">
        <v>461</v>
      </c>
      <c r="O411" s="609"/>
    </row>
    <row r="412" spans="12:16" x14ac:dyDescent="0.3">
      <c r="L412" s="609" t="s">
        <v>1383</v>
      </c>
      <c r="M412" s="609" t="s">
        <v>461</v>
      </c>
      <c r="N412" s="609" t="s">
        <v>461</v>
      </c>
      <c r="O412" s="609"/>
    </row>
    <row r="413" spans="12:16" x14ac:dyDescent="0.3">
      <c r="L413" s="611" t="s">
        <v>1384</v>
      </c>
      <c r="M413" s="611">
        <v>0.03</v>
      </c>
      <c r="N413" s="611">
        <v>0.05</v>
      </c>
      <c r="O413" s="609" t="s">
        <v>1457</v>
      </c>
      <c r="P413" s="618" t="s">
        <v>1453</v>
      </c>
    </row>
    <row r="414" spans="12:16" x14ac:dyDescent="0.3">
      <c r="L414" s="609" t="s">
        <v>1385</v>
      </c>
      <c r="M414" s="609" t="s">
        <v>461</v>
      </c>
      <c r="N414" s="609" t="s">
        <v>461</v>
      </c>
      <c r="O414" s="609"/>
    </row>
    <row r="415" spans="12:16" x14ac:dyDescent="0.3">
      <c r="L415" s="609" t="s">
        <v>540</v>
      </c>
      <c r="M415" s="609" t="s">
        <v>461</v>
      </c>
      <c r="N415" s="609" t="s">
        <v>461</v>
      </c>
      <c r="O415" s="609"/>
    </row>
    <row r="416" spans="12:16" x14ac:dyDescent="0.3">
      <c r="L416" s="609" t="s">
        <v>1386</v>
      </c>
      <c r="M416" s="609" t="s">
        <v>461</v>
      </c>
      <c r="N416" s="609" t="s">
        <v>461</v>
      </c>
      <c r="O416" s="609"/>
    </row>
    <row r="417" spans="12:15" x14ac:dyDescent="0.3">
      <c r="L417" s="609" t="s">
        <v>1387</v>
      </c>
      <c r="M417" s="609" t="s">
        <v>461</v>
      </c>
      <c r="N417" s="609" t="s">
        <v>461</v>
      </c>
      <c r="O417" s="609"/>
    </row>
    <row r="418" spans="12:15" x14ac:dyDescent="0.3">
      <c r="L418" s="609" t="s">
        <v>826</v>
      </c>
      <c r="M418" s="609" t="s">
        <v>461</v>
      </c>
      <c r="N418" s="609" t="s">
        <v>461</v>
      </c>
      <c r="O418" s="609"/>
    </row>
    <row r="419" spans="12:15" x14ac:dyDescent="0.3">
      <c r="L419" s="609" t="s">
        <v>827</v>
      </c>
      <c r="M419" s="609" t="s">
        <v>461</v>
      </c>
      <c r="N419" s="609" t="s">
        <v>461</v>
      </c>
      <c r="O419" s="609"/>
    </row>
    <row r="420" spans="12:15" x14ac:dyDescent="0.3">
      <c r="L420" s="609" t="s">
        <v>828</v>
      </c>
      <c r="M420" s="609" t="s">
        <v>461</v>
      </c>
      <c r="N420" s="609" t="s">
        <v>461</v>
      </c>
      <c r="O420" s="609"/>
    </row>
    <row r="421" spans="12:15" x14ac:dyDescent="0.3">
      <c r="L421" s="609" t="s">
        <v>829</v>
      </c>
      <c r="M421" s="609" t="s">
        <v>461</v>
      </c>
      <c r="N421" s="609" t="s">
        <v>461</v>
      </c>
      <c r="O421" s="609"/>
    </row>
    <row r="422" spans="12:15" x14ac:dyDescent="0.3">
      <c r="L422" s="609" t="s">
        <v>1388</v>
      </c>
      <c r="M422" s="609" t="s">
        <v>461</v>
      </c>
      <c r="N422" s="609" t="s">
        <v>461</v>
      </c>
      <c r="O422" s="609"/>
    </row>
    <row r="423" spans="12:15" x14ac:dyDescent="0.3">
      <c r="L423" s="609" t="s">
        <v>1389</v>
      </c>
      <c r="M423" s="609" t="s">
        <v>461</v>
      </c>
      <c r="N423" s="609" t="s">
        <v>461</v>
      </c>
      <c r="O423" s="609"/>
    </row>
    <row r="424" spans="12:15" x14ac:dyDescent="0.3">
      <c r="L424" s="609" t="s">
        <v>830</v>
      </c>
      <c r="M424" s="609" t="s">
        <v>461</v>
      </c>
      <c r="N424" s="609" t="s">
        <v>461</v>
      </c>
      <c r="O424" s="609"/>
    </row>
    <row r="425" spans="12:15" x14ac:dyDescent="0.3">
      <c r="L425" s="609" t="s">
        <v>1390</v>
      </c>
      <c r="M425" s="609" t="s">
        <v>461</v>
      </c>
      <c r="N425" s="609" t="s">
        <v>461</v>
      </c>
      <c r="O425" s="609"/>
    </row>
    <row r="426" spans="12:15" x14ac:dyDescent="0.3">
      <c r="L426" s="609" t="s">
        <v>1391</v>
      </c>
      <c r="M426" s="609" t="s">
        <v>461</v>
      </c>
      <c r="N426" s="609" t="s">
        <v>461</v>
      </c>
      <c r="O426" s="609"/>
    </row>
    <row r="427" spans="12:15" x14ac:dyDescent="0.3">
      <c r="L427" s="609" t="s">
        <v>1392</v>
      </c>
      <c r="M427" s="609" t="s">
        <v>461</v>
      </c>
      <c r="N427" s="609" t="s">
        <v>461</v>
      </c>
      <c r="O427" s="609"/>
    </row>
    <row r="428" spans="12:15" x14ac:dyDescent="0.3">
      <c r="L428" s="609" t="s">
        <v>1393</v>
      </c>
      <c r="M428" s="609" t="s">
        <v>461</v>
      </c>
      <c r="N428" s="609" t="s">
        <v>461</v>
      </c>
      <c r="O428" s="609"/>
    </row>
    <row r="429" spans="12:15" x14ac:dyDescent="0.3">
      <c r="L429" s="609" t="s">
        <v>1394</v>
      </c>
      <c r="M429" s="609" t="s">
        <v>461</v>
      </c>
      <c r="N429" s="609" t="s">
        <v>461</v>
      </c>
      <c r="O429" s="609"/>
    </row>
    <row r="430" spans="12:15" x14ac:dyDescent="0.3">
      <c r="L430" s="609" t="s">
        <v>1395</v>
      </c>
      <c r="M430" s="609" t="s">
        <v>461</v>
      </c>
      <c r="N430" s="609" t="s">
        <v>461</v>
      </c>
      <c r="O430" s="609"/>
    </row>
    <row r="431" spans="12:15" x14ac:dyDescent="0.3">
      <c r="L431" s="609" t="s">
        <v>1396</v>
      </c>
      <c r="M431" s="609" t="s">
        <v>461</v>
      </c>
      <c r="N431" s="609" t="s">
        <v>461</v>
      </c>
      <c r="O431" s="609"/>
    </row>
    <row r="432" spans="12:15" x14ac:dyDescent="0.3">
      <c r="L432" s="609" t="s">
        <v>1397</v>
      </c>
      <c r="M432" s="609" t="s">
        <v>461</v>
      </c>
      <c r="N432" s="609" t="s">
        <v>461</v>
      </c>
      <c r="O432" s="609"/>
    </row>
    <row r="433" spans="12:16" x14ac:dyDescent="0.3">
      <c r="L433" s="609" t="s">
        <v>1398</v>
      </c>
      <c r="M433" s="609" t="s">
        <v>461</v>
      </c>
      <c r="N433" s="609" t="s">
        <v>461</v>
      </c>
      <c r="O433" s="609"/>
    </row>
    <row r="434" spans="12:16" x14ac:dyDescent="0.3">
      <c r="L434" s="609" t="s">
        <v>1399</v>
      </c>
      <c r="M434" s="609" t="s">
        <v>461</v>
      </c>
      <c r="N434" s="609" t="s">
        <v>461</v>
      </c>
      <c r="O434" s="609"/>
    </row>
    <row r="435" spans="12:16" x14ac:dyDescent="0.3">
      <c r="L435" s="611" t="s">
        <v>542</v>
      </c>
      <c r="M435" s="611">
        <v>0.03</v>
      </c>
      <c r="N435" s="611">
        <v>0.05</v>
      </c>
      <c r="O435" s="609" t="s">
        <v>1457</v>
      </c>
      <c r="P435" s="618" t="s">
        <v>1453</v>
      </c>
    </row>
    <row r="436" spans="12:16" x14ac:dyDescent="0.3">
      <c r="L436" s="609" t="s">
        <v>1400</v>
      </c>
      <c r="M436" s="609" t="s">
        <v>461</v>
      </c>
      <c r="N436" s="609" t="s">
        <v>461</v>
      </c>
      <c r="O436" s="609"/>
    </row>
    <row r="437" spans="12:16" x14ac:dyDescent="0.3">
      <c r="L437" s="609" t="s">
        <v>1401</v>
      </c>
      <c r="M437" s="609" t="s">
        <v>461</v>
      </c>
      <c r="N437" s="609" t="s">
        <v>461</v>
      </c>
      <c r="O437" s="609"/>
    </row>
    <row r="438" spans="12:16" x14ac:dyDescent="0.3">
      <c r="L438" s="609" t="s">
        <v>543</v>
      </c>
      <c r="M438" s="609" t="s">
        <v>461</v>
      </c>
      <c r="N438" s="609" t="s">
        <v>461</v>
      </c>
      <c r="O438" s="609"/>
    </row>
    <row r="439" spans="12:16" x14ac:dyDescent="0.3">
      <c r="L439" s="611" t="s">
        <v>1402</v>
      </c>
      <c r="M439" s="611">
        <v>0.03</v>
      </c>
      <c r="N439" s="611">
        <v>0.05</v>
      </c>
      <c r="O439" s="609" t="s">
        <v>1457</v>
      </c>
      <c r="P439" s="618" t="s">
        <v>1453</v>
      </c>
    </row>
    <row r="440" spans="12:16" x14ac:dyDescent="0.3">
      <c r="L440" s="609" t="s">
        <v>1403</v>
      </c>
      <c r="M440" s="609" t="s">
        <v>461</v>
      </c>
      <c r="N440" s="609" t="s">
        <v>461</v>
      </c>
      <c r="O440" s="609"/>
    </row>
    <row r="441" spans="12:16" x14ac:dyDescent="0.3">
      <c r="L441" s="609" t="s">
        <v>1404</v>
      </c>
      <c r="M441" s="609" t="s">
        <v>461</v>
      </c>
      <c r="N441" s="609" t="s">
        <v>461</v>
      </c>
      <c r="O441" s="609"/>
    </row>
    <row r="442" spans="12:16" x14ac:dyDescent="0.3">
      <c r="L442" s="609" t="s">
        <v>1405</v>
      </c>
      <c r="M442" s="609" t="s">
        <v>461</v>
      </c>
      <c r="N442" s="609" t="s">
        <v>461</v>
      </c>
      <c r="O442" s="609"/>
    </row>
    <row r="443" spans="12:16" x14ac:dyDescent="0.3">
      <c r="L443" s="609" t="s">
        <v>1406</v>
      </c>
      <c r="M443" s="609" t="s">
        <v>461</v>
      </c>
      <c r="N443" s="609" t="s">
        <v>461</v>
      </c>
      <c r="O443" s="609"/>
    </row>
    <row r="444" spans="12:16" x14ac:dyDescent="0.3">
      <c r="L444" s="609" t="s">
        <v>544</v>
      </c>
      <c r="M444" s="609" t="s">
        <v>461</v>
      </c>
      <c r="N444" s="609" t="s">
        <v>461</v>
      </c>
      <c r="O444" s="609" t="s">
        <v>1548</v>
      </c>
    </row>
    <row r="445" spans="12:16" x14ac:dyDescent="0.3">
      <c r="L445" s="612" t="s">
        <v>1407</v>
      </c>
      <c r="M445" s="612">
        <v>0.03</v>
      </c>
      <c r="N445" s="613" t="s">
        <v>461</v>
      </c>
      <c r="O445" s="609" t="s">
        <v>1452</v>
      </c>
    </row>
    <row r="446" spans="12:16" x14ac:dyDescent="0.3">
      <c r="L446" s="609" t="s">
        <v>831</v>
      </c>
      <c r="M446" s="609" t="s">
        <v>461</v>
      </c>
      <c r="N446" s="609" t="s">
        <v>461</v>
      </c>
      <c r="O446" s="609"/>
    </row>
    <row r="447" spans="12:16" x14ac:dyDescent="0.3">
      <c r="L447" s="609" t="s">
        <v>1408</v>
      </c>
      <c r="M447" s="609" t="s">
        <v>461</v>
      </c>
      <c r="N447" s="609" t="s">
        <v>461</v>
      </c>
      <c r="O447" s="609"/>
    </row>
    <row r="448" spans="12:16" x14ac:dyDescent="0.3">
      <c r="L448" s="609" t="s">
        <v>1409</v>
      </c>
      <c r="M448" s="609" t="s">
        <v>461</v>
      </c>
      <c r="N448" s="609" t="s">
        <v>461</v>
      </c>
      <c r="O448" s="609"/>
    </row>
    <row r="449" spans="12:16" x14ac:dyDescent="0.3">
      <c r="L449" s="611" t="s">
        <v>1410</v>
      </c>
      <c r="M449" s="611">
        <v>0.03</v>
      </c>
      <c r="N449" s="611">
        <v>0.05</v>
      </c>
      <c r="O449" s="609" t="s">
        <v>1457</v>
      </c>
      <c r="P449" s="618" t="s">
        <v>1453</v>
      </c>
    </row>
    <row r="450" spans="12:16" x14ac:dyDescent="0.3">
      <c r="L450" s="609" t="s">
        <v>545</v>
      </c>
      <c r="M450" s="609" t="s">
        <v>461</v>
      </c>
      <c r="N450" s="609" t="s">
        <v>461</v>
      </c>
      <c r="O450" s="609"/>
    </row>
    <row r="451" spans="12:16" x14ac:dyDescent="0.3">
      <c r="L451" s="609" t="s">
        <v>1411</v>
      </c>
      <c r="M451" s="609" t="s">
        <v>461</v>
      </c>
      <c r="N451" s="609" t="s">
        <v>461</v>
      </c>
      <c r="O451" s="609"/>
    </row>
    <row r="452" spans="12:16" x14ac:dyDescent="0.3">
      <c r="L452" s="609" t="s">
        <v>1412</v>
      </c>
      <c r="M452" s="609" t="s">
        <v>461</v>
      </c>
      <c r="N452" s="609" t="s">
        <v>461</v>
      </c>
      <c r="O452" s="609"/>
    </row>
    <row r="453" spans="12:16" x14ac:dyDescent="0.3">
      <c r="L453" s="611" t="s">
        <v>1413</v>
      </c>
      <c r="M453" s="611">
        <v>0.03</v>
      </c>
      <c r="N453" s="611">
        <v>0.05</v>
      </c>
      <c r="O453" s="609" t="s">
        <v>1457</v>
      </c>
      <c r="P453" s="618" t="s">
        <v>1453</v>
      </c>
    </row>
    <row r="454" spans="12:16" x14ac:dyDescent="0.3">
      <c r="L454" s="609" t="s">
        <v>1414</v>
      </c>
      <c r="M454" s="609" t="s">
        <v>461</v>
      </c>
      <c r="N454" s="609" t="s">
        <v>461</v>
      </c>
      <c r="O454" s="609"/>
    </row>
    <row r="455" spans="12:16" x14ac:dyDescent="0.3">
      <c r="L455" s="609" t="s">
        <v>1415</v>
      </c>
      <c r="M455" s="609" t="s">
        <v>461</v>
      </c>
      <c r="N455" s="609" t="s">
        <v>461</v>
      </c>
      <c r="O455" s="609"/>
    </row>
    <row r="456" spans="12:16" x14ac:dyDescent="0.3">
      <c r="L456" s="609" t="s">
        <v>1416</v>
      </c>
      <c r="M456" s="609" t="s">
        <v>461</v>
      </c>
      <c r="N456" s="609" t="s">
        <v>461</v>
      </c>
      <c r="O456" s="609"/>
    </row>
    <row r="457" spans="12:16" x14ac:dyDescent="0.3">
      <c r="L457" s="609" t="s">
        <v>1427</v>
      </c>
      <c r="M457" s="609" t="s">
        <v>461</v>
      </c>
      <c r="N457" s="609" t="s">
        <v>461</v>
      </c>
      <c r="O457" s="609"/>
    </row>
    <row r="458" spans="12:16" x14ac:dyDescent="0.3">
      <c r="L458" s="609" t="s">
        <v>1417</v>
      </c>
      <c r="M458" s="609" t="s">
        <v>461</v>
      </c>
      <c r="N458" s="609" t="s">
        <v>461</v>
      </c>
      <c r="O458" s="609"/>
    </row>
    <row r="459" spans="12:16" x14ac:dyDescent="0.3">
      <c r="L459" s="609" t="s">
        <v>1418</v>
      </c>
      <c r="M459" s="609" t="s">
        <v>461</v>
      </c>
      <c r="N459" s="609" t="s">
        <v>461</v>
      </c>
      <c r="O459" s="609"/>
    </row>
    <row r="460" spans="12:16" x14ac:dyDescent="0.3">
      <c r="L460" s="609" t="s">
        <v>546</v>
      </c>
      <c r="M460" s="609" t="s">
        <v>461</v>
      </c>
      <c r="N460" s="609" t="s">
        <v>461</v>
      </c>
      <c r="O460" s="609"/>
    </row>
    <row r="461" spans="12:16" x14ac:dyDescent="0.3">
      <c r="L461" s="609" t="s">
        <v>1419</v>
      </c>
      <c r="M461" s="609" t="s">
        <v>461</v>
      </c>
      <c r="N461" s="609" t="s">
        <v>461</v>
      </c>
      <c r="O461" s="609"/>
    </row>
    <row r="462" spans="12:16" x14ac:dyDescent="0.3">
      <c r="L462" s="609" t="s">
        <v>983</v>
      </c>
      <c r="M462" s="609" t="s">
        <v>461</v>
      </c>
      <c r="N462" s="609" t="s">
        <v>461</v>
      </c>
      <c r="O462" s="609"/>
    </row>
    <row r="463" spans="12:16" x14ac:dyDescent="0.3">
      <c r="L463" s="609" t="s">
        <v>984</v>
      </c>
      <c r="M463" s="609" t="s">
        <v>461</v>
      </c>
      <c r="N463" s="609" t="s">
        <v>461</v>
      </c>
      <c r="O463" s="609"/>
    </row>
    <row r="464" spans="12:16" x14ac:dyDescent="0.3">
      <c r="L464" s="609" t="s">
        <v>985</v>
      </c>
      <c r="M464" s="609" t="s">
        <v>461</v>
      </c>
      <c r="N464" s="609" t="s">
        <v>461</v>
      </c>
      <c r="O464" s="609"/>
    </row>
    <row r="465" spans="12:15" x14ac:dyDescent="0.3">
      <c r="L465" s="609" t="s">
        <v>986</v>
      </c>
      <c r="M465" s="609" t="s">
        <v>461</v>
      </c>
      <c r="N465" s="609" t="s">
        <v>461</v>
      </c>
      <c r="O465" s="609"/>
    </row>
    <row r="466" spans="12:15" x14ac:dyDescent="0.3">
      <c r="L466" s="609" t="s">
        <v>987</v>
      </c>
      <c r="M466" s="609" t="s">
        <v>461</v>
      </c>
      <c r="N466" s="609" t="s">
        <v>461</v>
      </c>
      <c r="O466" s="609"/>
    </row>
    <row r="467" spans="12:15" x14ac:dyDescent="0.3">
      <c r="L467" s="609" t="s">
        <v>988</v>
      </c>
      <c r="M467" s="609" t="s">
        <v>461</v>
      </c>
      <c r="N467" s="609" t="s">
        <v>461</v>
      </c>
      <c r="O467" s="609"/>
    </row>
    <row r="468" spans="12:15" x14ac:dyDescent="0.3">
      <c r="L468" s="609" t="s">
        <v>832</v>
      </c>
      <c r="M468" s="609" t="s">
        <v>461</v>
      </c>
      <c r="N468" s="609" t="s">
        <v>461</v>
      </c>
      <c r="O468" s="609"/>
    </row>
    <row r="469" spans="12:15" x14ac:dyDescent="0.3">
      <c r="L469" s="609" t="s">
        <v>989</v>
      </c>
      <c r="M469" s="609" t="s">
        <v>461</v>
      </c>
      <c r="N469" s="609" t="s">
        <v>461</v>
      </c>
      <c r="O469" s="609" t="s">
        <v>1548</v>
      </c>
    </row>
    <row r="470" spans="12:15" x14ac:dyDescent="0.3">
      <c r="L470" s="609" t="s">
        <v>990</v>
      </c>
      <c r="M470" s="609" t="s">
        <v>461</v>
      </c>
      <c r="N470" s="609" t="s">
        <v>461</v>
      </c>
      <c r="O470" s="609"/>
    </row>
    <row r="471" spans="12:15" x14ac:dyDescent="0.3">
      <c r="L471" s="612" t="s">
        <v>991</v>
      </c>
      <c r="M471" s="612" t="s">
        <v>461</v>
      </c>
      <c r="N471" s="612" t="s">
        <v>461</v>
      </c>
      <c r="O471" s="609" t="s">
        <v>1452</v>
      </c>
    </row>
    <row r="472" spans="12:15" x14ac:dyDescent="0.3">
      <c r="L472" s="609" t="s">
        <v>992</v>
      </c>
      <c r="M472" s="609" t="s">
        <v>461</v>
      </c>
      <c r="N472" s="609" t="s">
        <v>461</v>
      </c>
      <c r="O472" s="609"/>
    </row>
    <row r="473" spans="12:15" x14ac:dyDescent="0.3">
      <c r="L473" s="609" t="s">
        <v>993</v>
      </c>
      <c r="M473" s="609" t="s">
        <v>461</v>
      </c>
      <c r="N473" s="609" t="s">
        <v>461</v>
      </c>
      <c r="O473" s="609"/>
    </row>
    <row r="474" spans="12:15" x14ac:dyDescent="0.3">
      <c r="L474" s="609" t="s">
        <v>994</v>
      </c>
      <c r="M474" s="609" t="s">
        <v>461</v>
      </c>
      <c r="N474" s="609" t="s">
        <v>461</v>
      </c>
      <c r="O474" s="609"/>
    </row>
    <row r="475" spans="12:15" x14ac:dyDescent="0.3">
      <c r="L475" s="609" t="s">
        <v>995</v>
      </c>
      <c r="M475" s="609" t="s">
        <v>461</v>
      </c>
      <c r="N475" s="609" t="s">
        <v>461</v>
      </c>
      <c r="O475" s="609"/>
    </row>
    <row r="476" spans="12:15" x14ac:dyDescent="0.3">
      <c r="L476" s="609" t="s">
        <v>833</v>
      </c>
      <c r="M476" s="609" t="s">
        <v>461</v>
      </c>
      <c r="N476" s="609" t="s">
        <v>461</v>
      </c>
      <c r="O476" s="609"/>
    </row>
    <row r="477" spans="12:15" x14ac:dyDescent="0.3">
      <c r="L477" s="609" t="s">
        <v>996</v>
      </c>
      <c r="M477" s="609" t="s">
        <v>461</v>
      </c>
      <c r="N477" s="609" t="s">
        <v>461</v>
      </c>
      <c r="O477" s="609"/>
    </row>
    <row r="478" spans="12:15" x14ac:dyDescent="0.3">
      <c r="L478" s="609" t="s">
        <v>997</v>
      </c>
      <c r="M478" s="609" t="s">
        <v>461</v>
      </c>
      <c r="N478" s="609" t="s">
        <v>461</v>
      </c>
      <c r="O478" s="609"/>
    </row>
    <row r="479" spans="12:15" x14ac:dyDescent="0.3">
      <c r="L479" s="609" t="s">
        <v>998</v>
      </c>
      <c r="M479" s="609" t="s">
        <v>461</v>
      </c>
      <c r="N479" s="609" t="s">
        <v>461</v>
      </c>
      <c r="O479" s="609"/>
    </row>
    <row r="480" spans="12:15" x14ac:dyDescent="0.3">
      <c r="L480" s="609" t="s">
        <v>999</v>
      </c>
      <c r="M480" s="609" t="s">
        <v>461</v>
      </c>
      <c r="N480" s="609" t="s">
        <v>461</v>
      </c>
      <c r="O480" s="609"/>
    </row>
    <row r="481" spans="12:16" x14ac:dyDescent="0.3">
      <c r="L481" s="609" t="s">
        <v>1000</v>
      </c>
      <c r="M481" s="609" t="s">
        <v>461</v>
      </c>
      <c r="N481" s="609" t="s">
        <v>461</v>
      </c>
      <c r="O481" s="609"/>
    </row>
    <row r="482" spans="12:16" x14ac:dyDescent="0.3">
      <c r="L482" s="609" t="s">
        <v>1001</v>
      </c>
      <c r="M482" s="609" t="s">
        <v>461</v>
      </c>
      <c r="N482" s="609" t="s">
        <v>461</v>
      </c>
      <c r="O482" s="609"/>
    </row>
    <row r="483" spans="12:16" x14ac:dyDescent="0.3">
      <c r="L483" s="609" t="s">
        <v>1002</v>
      </c>
      <c r="M483" s="609" t="s">
        <v>461</v>
      </c>
      <c r="N483" s="609" t="s">
        <v>461</v>
      </c>
      <c r="O483" s="609"/>
    </row>
    <row r="484" spans="12:16" x14ac:dyDescent="0.3">
      <c r="L484" s="609" t="s">
        <v>1003</v>
      </c>
      <c r="M484" s="609" t="s">
        <v>461</v>
      </c>
      <c r="N484" s="609" t="s">
        <v>461</v>
      </c>
      <c r="O484" s="609"/>
    </row>
    <row r="485" spans="12:16" x14ac:dyDescent="0.3">
      <c r="L485" s="609" t="s">
        <v>834</v>
      </c>
      <c r="M485" s="609" t="s">
        <v>461</v>
      </c>
      <c r="N485" s="609" t="s">
        <v>461</v>
      </c>
      <c r="O485" s="609"/>
    </row>
    <row r="486" spans="12:16" x14ac:dyDescent="0.3">
      <c r="L486" s="609" t="s">
        <v>1004</v>
      </c>
      <c r="M486" s="609" t="s">
        <v>461</v>
      </c>
      <c r="N486" s="609" t="s">
        <v>461</v>
      </c>
      <c r="O486" s="609"/>
    </row>
    <row r="487" spans="12:16" x14ac:dyDescent="0.3">
      <c r="L487" s="611" t="s">
        <v>1005</v>
      </c>
      <c r="M487" s="611">
        <v>0.03</v>
      </c>
      <c r="N487" s="611">
        <v>0.05</v>
      </c>
      <c r="O487" s="609" t="s">
        <v>1457</v>
      </c>
      <c r="P487" s="618" t="s">
        <v>1453</v>
      </c>
    </row>
    <row r="488" spans="12:16" x14ac:dyDescent="0.3">
      <c r="L488" s="609" t="s">
        <v>547</v>
      </c>
      <c r="M488" s="609" t="s">
        <v>461</v>
      </c>
      <c r="N488" s="609" t="s">
        <v>461</v>
      </c>
      <c r="O488" s="609"/>
    </row>
    <row r="489" spans="12:16" x14ac:dyDescent="0.3">
      <c r="L489" s="609" t="s">
        <v>548</v>
      </c>
      <c r="M489" s="609" t="s">
        <v>461</v>
      </c>
      <c r="N489" s="609" t="s">
        <v>461</v>
      </c>
      <c r="O489" s="609"/>
    </row>
    <row r="490" spans="12:16" x14ac:dyDescent="0.3">
      <c r="L490" s="609" t="s">
        <v>835</v>
      </c>
      <c r="M490" s="609" t="s">
        <v>461</v>
      </c>
      <c r="N490" s="609" t="s">
        <v>461</v>
      </c>
      <c r="O490" s="609"/>
    </row>
    <row r="491" spans="12:16" x14ac:dyDescent="0.3">
      <c r="L491" s="609" t="s">
        <v>1006</v>
      </c>
      <c r="M491" s="609" t="s">
        <v>461</v>
      </c>
      <c r="N491" s="609" t="s">
        <v>461</v>
      </c>
      <c r="O491" s="609"/>
    </row>
    <row r="492" spans="12:16" x14ac:dyDescent="0.3">
      <c r="L492" s="609" t="s">
        <v>1007</v>
      </c>
      <c r="M492" s="609" t="s">
        <v>461</v>
      </c>
      <c r="N492" s="609" t="s">
        <v>461</v>
      </c>
      <c r="O492" s="609"/>
    </row>
    <row r="493" spans="12:16" x14ac:dyDescent="0.3">
      <c r="L493" s="609" t="s">
        <v>1008</v>
      </c>
      <c r="M493" s="609" t="s">
        <v>461</v>
      </c>
      <c r="N493" s="609" t="s">
        <v>461</v>
      </c>
      <c r="O493" s="609"/>
    </row>
    <row r="494" spans="12:16" x14ac:dyDescent="0.3">
      <c r="L494" s="609" t="s">
        <v>1009</v>
      </c>
      <c r="M494" s="609" t="s">
        <v>461</v>
      </c>
      <c r="N494" s="609" t="s">
        <v>461</v>
      </c>
      <c r="O494" s="609"/>
    </row>
    <row r="495" spans="12:16" x14ac:dyDescent="0.3">
      <c r="L495" s="609" t="s">
        <v>1010</v>
      </c>
      <c r="M495" s="609" t="s">
        <v>461</v>
      </c>
      <c r="N495" s="609" t="s">
        <v>461</v>
      </c>
      <c r="O495" s="609"/>
    </row>
    <row r="496" spans="12:16" x14ac:dyDescent="0.3">
      <c r="L496" s="609" t="s">
        <v>1011</v>
      </c>
      <c r="M496" s="609" t="s">
        <v>461</v>
      </c>
      <c r="N496" s="609" t="s">
        <v>461</v>
      </c>
      <c r="O496" s="609"/>
    </row>
    <row r="497" spans="12:16" x14ac:dyDescent="0.3">
      <c r="L497" s="609" t="s">
        <v>1012</v>
      </c>
      <c r="M497" s="609" t="s">
        <v>461</v>
      </c>
      <c r="N497" s="609" t="s">
        <v>461</v>
      </c>
      <c r="O497" s="609"/>
    </row>
    <row r="498" spans="12:16" x14ac:dyDescent="0.3">
      <c r="L498" s="609" t="s">
        <v>1013</v>
      </c>
      <c r="M498" s="609" t="s">
        <v>461</v>
      </c>
      <c r="N498" s="609" t="s">
        <v>461</v>
      </c>
      <c r="O498" s="609"/>
    </row>
    <row r="499" spans="12:16" x14ac:dyDescent="0.3">
      <c r="L499" s="609" t="s">
        <v>549</v>
      </c>
      <c r="M499" s="609" t="s">
        <v>461</v>
      </c>
      <c r="N499" s="609" t="s">
        <v>461</v>
      </c>
      <c r="O499" s="609"/>
    </row>
    <row r="500" spans="12:16" x14ac:dyDescent="0.3">
      <c r="L500" s="609" t="s">
        <v>1014</v>
      </c>
      <c r="M500" s="609" t="s">
        <v>461</v>
      </c>
      <c r="N500" s="609" t="s">
        <v>461</v>
      </c>
      <c r="O500" s="609"/>
    </row>
    <row r="501" spans="12:16" x14ac:dyDescent="0.3">
      <c r="L501" s="609" t="s">
        <v>1015</v>
      </c>
      <c r="M501" s="609" t="s">
        <v>461</v>
      </c>
      <c r="N501" s="609" t="s">
        <v>461</v>
      </c>
      <c r="O501" s="609"/>
    </row>
    <row r="502" spans="12:16" x14ac:dyDescent="0.3">
      <c r="L502" s="609" t="s">
        <v>1016</v>
      </c>
      <c r="M502" s="609" t="s">
        <v>461</v>
      </c>
      <c r="N502" s="609" t="s">
        <v>461</v>
      </c>
      <c r="O502" s="609"/>
    </row>
    <row r="503" spans="12:16" x14ac:dyDescent="0.3">
      <c r="L503" s="609" t="s">
        <v>551</v>
      </c>
      <c r="M503" s="609" t="s">
        <v>461</v>
      </c>
      <c r="N503" s="609" t="s">
        <v>461</v>
      </c>
      <c r="O503" s="609"/>
    </row>
    <row r="504" spans="12:16" x14ac:dyDescent="0.3">
      <c r="L504" s="609" t="s">
        <v>1017</v>
      </c>
      <c r="M504" s="609" t="s">
        <v>461</v>
      </c>
      <c r="N504" s="609" t="s">
        <v>461</v>
      </c>
      <c r="O504" s="609"/>
    </row>
    <row r="505" spans="12:16" x14ac:dyDescent="0.3">
      <c r="L505" s="609" t="s">
        <v>1018</v>
      </c>
      <c r="M505" s="609" t="s">
        <v>461</v>
      </c>
      <c r="N505" s="609" t="s">
        <v>461</v>
      </c>
      <c r="O505" s="609"/>
    </row>
    <row r="506" spans="12:16" x14ac:dyDescent="0.3">
      <c r="L506" s="609" t="s">
        <v>552</v>
      </c>
      <c r="M506" s="609" t="s">
        <v>461</v>
      </c>
      <c r="N506" s="609" t="s">
        <v>461</v>
      </c>
      <c r="O506" s="609"/>
    </row>
    <row r="507" spans="12:16" x14ac:dyDescent="0.3">
      <c r="L507" s="609" t="s">
        <v>836</v>
      </c>
      <c r="M507" s="609" t="s">
        <v>461</v>
      </c>
      <c r="N507" s="609" t="s">
        <v>461</v>
      </c>
      <c r="O507" s="609"/>
    </row>
    <row r="508" spans="12:16" x14ac:dyDescent="0.3">
      <c r="L508" s="609" t="s">
        <v>1019</v>
      </c>
      <c r="M508" s="609" t="s">
        <v>461</v>
      </c>
      <c r="N508" s="609" t="s">
        <v>461</v>
      </c>
      <c r="O508" s="609"/>
    </row>
    <row r="509" spans="12:16" x14ac:dyDescent="0.3">
      <c r="L509" s="609" t="s">
        <v>1020</v>
      </c>
      <c r="M509" s="609" t="s">
        <v>461</v>
      </c>
      <c r="N509" s="609" t="s">
        <v>461</v>
      </c>
      <c r="O509" s="609"/>
    </row>
    <row r="510" spans="12:16" x14ac:dyDescent="0.3">
      <c r="L510" s="609" t="s">
        <v>1021</v>
      </c>
      <c r="M510" s="609" t="s">
        <v>461</v>
      </c>
      <c r="N510" s="609" t="s">
        <v>461</v>
      </c>
      <c r="O510" s="609"/>
    </row>
    <row r="511" spans="12:16" x14ac:dyDescent="0.3">
      <c r="L511" s="611" t="s">
        <v>397</v>
      </c>
      <c r="M511" s="611">
        <v>0.03</v>
      </c>
      <c r="N511" s="611">
        <v>0.05</v>
      </c>
      <c r="O511" s="609" t="s">
        <v>1457</v>
      </c>
      <c r="P511" s="618" t="s">
        <v>1453</v>
      </c>
    </row>
    <row r="512" spans="12:16" x14ac:dyDescent="0.3">
      <c r="L512" s="609" t="s">
        <v>1022</v>
      </c>
      <c r="M512" s="609" t="s">
        <v>461</v>
      </c>
      <c r="N512" s="609" t="s">
        <v>461</v>
      </c>
      <c r="O512" s="609"/>
    </row>
    <row r="513" spans="12:16" x14ac:dyDescent="0.3">
      <c r="L513" s="609" t="s">
        <v>1023</v>
      </c>
      <c r="M513" s="609" t="s">
        <v>461</v>
      </c>
      <c r="N513" s="609" t="s">
        <v>461</v>
      </c>
      <c r="O513" s="609"/>
    </row>
    <row r="514" spans="12:16" x14ac:dyDescent="0.3">
      <c r="L514" s="609" t="s">
        <v>1024</v>
      </c>
      <c r="M514" s="609" t="s">
        <v>461</v>
      </c>
      <c r="N514" s="609" t="s">
        <v>461</v>
      </c>
      <c r="O514" s="609"/>
    </row>
    <row r="515" spans="12:16" x14ac:dyDescent="0.3">
      <c r="L515" s="609" t="s">
        <v>1025</v>
      </c>
      <c r="M515" s="609" t="s">
        <v>461</v>
      </c>
      <c r="N515" s="609" t="s">
        <v>461</v>
      </c>
      <c r="O515" s="609"/>
    </row>
    <row r="516" spans="12:16" x14ac:dyDescent="0.3">
      <c r="L516" s="609" t="s">
        <v>837</v>
      </c>
      <c r="M516" s="609" t="s">
        <v>461</v>
      </c>
      <c r="N516" s="609" t="s">
        <v>461</v>
      </c>
      <c r="O516" s="609"/>
    </row>
    <row r="517" spans="12:16" x14ac:dyDescent="0.3">
      <c r="L517" s="609" t="s">
        <v>1026</v>
      </c>
      <c r="M517" s="609" t="s">
        <v>461</v>
      </c>
      <c r="N517" s="609" t="s">
        <v>461</v>
      </c>
      <c r="O517" s="609" t="s">
        <v>1548</v>
      </c>
    </row>
    <row r="518" spans="12:16" x14ac:dyDescent="0.3">
      <c r="L518" s="609" t="s">
        <v>838</v>
      </c>
      <c r="M518" s="609" t="s">
        <v>461</v>
      </c>
      <c r="N518" s="609" t="s">
        <v>461</v>
      </c>
      <c r="O518" s="609"/>
    </row>
    <row r="519" spans="12:16" x14ac:dyDescent="0.3">
      <c r="L519" s="609" t="s">
        <v>1027</v>
      </c>
      <c r="M519" s="609" t="s">
        <v>461</v>
      </c>
      <c r="N519" s="609" t="s">
        <v>461</v>
      </c>
      <c r="O519" s="609"/>
    </row>
    <row r="520" spans="12:16" x14ac:dyDescent="0.3">
      <c r="L520" s="611" t="s">
        <v>1028</v>
      </c>
      <c r="M520" s="611">
        <v>0.03</v>
      </c>
      <c r="N520" s="611">
        <v>0.05</v>
      </c>
      <c r="O520" s="609" t="s">
        <v>1457</v>
      </c>
      <c r="P520" s="618" t="s">
        <v>1453</v>
      </c>
    </row>
    <row r="521" spans="12:16" x14ac:dyDescent="0.3">
      <c r="L521" s="609" t="s">
        <v>1029</v>
      </c>
      <c r="M521" s="609" t="s">
        <v>461</v>
      </c>
      <c r="N521" s="609" t="s">
        <v>461</v>
      </c>
      <c r="O521" s="609"/>
    </row>
    <row r="522" spans="12:16" x14ac:dyDescent="0.3">
      <c r="L522" s="609" t="s">
        <v>1030</v>
      </c>
      <c r="M522" s="609" t="s">
        <v>461</v>
      </c>
      <c r="N522" s="609" t="s">
        <v>461</v>
      </c>
      <c r="O522" s="609"/>
    </row>
    <row r="523" spans="12:16" x14ac:dyDescent="0.3">
      <c r="L523" s="609" t="s">
        <v>1031</v>
      </c>
      <c r="M523" s="609" t="s">
        <v>461</v>
      </c>
      <c r="N523" s="609" t="s">
        <v>461</v>
      </c>
      <c r="O523" s="609"/>
    </row>
    <row r="524" spans="12:16" x14ac:dyDescent="0.3">
      <c r="L524" s="609" t="s">
        <v>1032</v>
      </c>
      <c r="M524" s="609" t="s">
        <v>461</v>
      </c>
      <c r="N524" s="609" t="s">
        <v>461</v>
      </c>
      <c r="O524" s="609" t="s">
        <v>1548</v>
      </c>
    </row>
    <row r="525" spans="12:16" x14ac:dyDescent="0.3">
      <c r="L525" s="609" t="s">
        <v>1033</v>
      </c>
      <c r="M525" s="609" t="s">
        <v>461</v>
      </c>
      <c r="N525" s="609" t="s">
        <v>461</v>
      </c>
      <c r="O525" s="609"/>
    </row>
    <row r="526" spans="12:16" x14ac:dyDescent="0.3">
      <c r="L526" s="609" t="s">
        <v>1034</v>
      </c>
      <c r="M526" s="609" t="s">
        <v>461</v>
      </c>
      <c r="N526" s="609" t="s">
        <v>461</v>
      </c>
      <c r="O526" s="609"/>
    </row>
    <row r="527" spans="12:16" x14ac:dyDescent="0.3">
      <c r="L527" s="609" t="s">
        <v>1035</v>
      </c>
      <c r="M527" s="609" t="s">
        <v>461</v>
      </c>
      <c r="N527" s="609" t="s">
        <v>461</v>
      </c>
      <c r="O527" s="609"/>
    </row>
    <row r="528" spans="12:16" x14ac:dyDescent="0.3">
      <c r="L528" s="609" t="s">
        <v>1036</v>
      </c>
      <c r="M528" s="609" t="s">
        <v>461</v>
      </c>
      <c r="N528" s="609" t="s">
        <v>461</v>
      </c>
      <c r="O528" s="609"/>
    </row>
    <row r="529" spans="12:16" x14ac:dyDescent="0.3">
      <c r="L529" s="609" t="s">
        <v>1037</v>
      </c>
      <c r="M529" s="609" t="s">
        <v>461</v>
      </c>
      <c r="N529" s="609" t="s">
        <v>461</v>
      </c>
      <c r="O529" s="609"/>
    </row>
    <row r="530" spans="12:16" x14ac:dyDescent="0.3">
      <c r="L530" s="609" t="s">
        <v>1038</v>
      </c>
      <c r="M530" s="609" t="s">
        <v>461</v>
      </c>
      <c r="N530" s="609" t="s">
        <v>461</v>
      </c>
      <c r="O530" s="609"/>
    </row>
    <row r="531" spans="12:16" x14ac:dyDescent="0.3">
      <c r="L531" s="609" t="s">
        <v>1039</v>
      </c>
      <c r="M531" s="609" t="s">
        <v>461</v>
      </c>
      <c r="N531" s="609" t="s">
        <v>461</v>
      </c>
      <c r="O531" s="609"/>
    </row>
    <row r="532" spans="12:16" x14ac:dyDescent="0.3">
      <c r="L532" s="609" t="s">
        <v>1040</v>
      </c>
      <c r="M532" s="609" t="s">
        <v>461</v>
      </c>
      <c r="N532" s="609" t="s">
        <v>461</v>
      </c>
      <c r="O532" s="609"/>
    </row>
    <row r="533" spans="12:16" x14ac:dyDescent="0.3">
      <c r="L533" s="609" t="s">
        <v>1041</v>
      </c>
      <c r="M533" s="609" t="s">
        <v>461</v>
      </c>
      <c r="N533" s="609" t="s">
        <v>461</v>
      </c>
      <c r="O533" s="609"/>
    </row>
    <row r="534" spans="12:16" x14ac:dyDescent="0.3">
      <c r="L534" s="609" t="s">
        <v>553</v>
      </c>
      <c r="M534" s="609" t="s">
        <v>461</v>
      </c>
      <c r="N534" s="609" t="s">
        <v>461</v>
      </c>
      <c r="O534" s="609"/>
    </row>
    <row r="535" spans="12:16" x14ac:dyDescent="0.3">
      <c r="L535" s="609" t="s">
        <v>839</v>
      </c>
      <c r="M535" s="609" t="s">
        <v>461</v>
      </c>
      <c r="N535" s="609" t="s">
        <v>461</v>
      </c>
      <c r="O535" s="609"/>
    </row>
    <row r="536" spans="12:16" x14ac:dyDescent="0.3">
      <c r="L536" s="609" t="s">
        <v>1042</v>
      </c>
      <c r="M536" s="609" t="s">
        <v>461</v>
      </c>
      <c r="N536" s="609" t="s">
        <v>461</v>
      </c>
      <c r="O536" s="609"/>
    </row>
    <row r="537" spans="12:16" x14ac:dyDescent="0.3">
      <c r="L537" s="609" t="s">
        <v>1043</v>
      </c>
      <c r="M537" s="609" t="s">
        <v>461</v>
      </c>
      <c r="N537" s="609" t="s">
        <v>461</v>
      </c>
      <c r="O537" s="609"/>
    </row>
    <row r="538" spans="12:16" x14ac:dyDescent="0.3">
      <c r="L538" s="609" t="s">
        <v>554</v>
      </c>
      <c r="M538" s="609" t="s">
        <v>461</v>
      </c>
      <c r="N538" s="609" t="s">
        <v>461</v>
      </c>
      <c r="O538" s="609"/>
    </row>
    <row r="539" spans="12:16" x14ac:dyDescent="0.3">
      <c r="L539" s="609" t="s">
        <v>1044</v>
      </c>
      <c r="M539" s="609" t="s">
        <v>461</v>
      </c>
      <c r="N539" s="609" t="s">
        <v>461</v>
      </c>
      <c r="O539" s="609"/>
    </row>
    <row r="540" spans="12:16" x14ac:dyDescent="0.3">
      <c r="L540" s="609" t="s">
        <v>398</v>
      </c>
      <c r="M540" s="609" t="s">
        <v>461</v>
      </c>
      <c r="N540" s="609" t="s">
        <v>461</v>
      </c>
      <c r="O540" s="609"/>
    </row>
    <row r="541" spans="12:16" x14ac:dyDescent="0.3">
      <c r="L541" s="611" t="s">
        <v>1045</v>
      </c>
      <c r="M541" s="611">
        <v>0.03</v>
      </c>
      <c r="N541" s="611">
        <v>0.05</v>
      </c>
      <c r="O541" s="609" t="s">
        <v>1457</v>
      </c>
      <c r="P541" s="618" t="s">
        <v>1453</v>
      </c>
    </row>
    <row r="542" spans="12:16" x14ac:dyDescent="0.3">
      <c r="L542" s="609" t="s">
        <v>1046</v>
      </c>
      <c r="M542" s="609" t="s">
        <v>461</v>
      </c>
      <c r="N542" s="609" t="s">
        <v>461</v>
      </c>
      <c r="O542" s="609"/>
    </row>
    <row r="543" spans="12:16" x14ac:dyDescent="0.3">
      <c r="L543" s="609" t="s">
        <v>1047</v>
      </c>
      <c r="M543" s="609" t="s">
        <v>461</v>
      </c>
      <c r="N543" s="609" t="s">
        <v>461</v>
      </c>
      <c r="O543" s="609" t="s">
        <v>1548</v>
      </c>
    </row>
    <row r="544" spans="12:16" x14ac:dyDescent="0.3">
      <c r="L544" s="609" t="s">
        <v>1048</v>
      </c>
      <c r="M544" s="609" t="s">
        <v>461</v>
      </c>
      <c r="N544" s="609" t="s">
        <v>461</v>
      </c>
      <c r="O544" s="609"/>
    </row>
    <row r="545" spans="12:15" x14ac:dyDescent="0.3">
      <c r="L545" s="609" t="s">
        <v>1049</v>
      </c>
      <c r="M545" s="609" t="s">
        <v>461</v>
      </c>
      <c r="N545" s="609" t="s">
        <v>461</v>
      </c>
      <c r="O545" s="609"/>
    </row>
    <row r="546" spans="12:15" x14ac:dyDescent="0.3">
      <c r="L546" s="609" t="s">
        <v>399</v>
      </c>
      <c r="M546" s="609" t="s">
        <v>461</v>
      </c>
      <c r="N546" s="609" t="s">
        <v>461</v>
      </c>
      <c r="O546" s="609"/>
    </row>
    <row r="547" spans="12:15" x14ac:dyDescent="0.3">
      <c r="L547" s="609" t="s">
        <v>1050</v>
      </c>
      <c r="M547" s="609" t="s">
        <v>461</v>
      </c>
      <c r="N547" s="609" t="s">
        <v>461</v>
      </c>
      <c r="O547" s="609" t="s">
        <v>1548</v>
      </c>
    </row>
    <row r="548" spans="12:15" x14ac:dyDescent="0.3">
      <c r="L548" s="609" t="s">
        <v>840</v>
      </c>
      <c r="M548" s="609" t="s">
        <v>461</v>
      </c>
      <c r="N548" s="609" t="s">
        <v>461</v>
      </c>
      <c r="O548" s="609"/>
    </row>
    <row r="549" spans="12:15" x14ac:dyDescent="0.3">
      <c r="L549" s="609" t="s">
        <v>1051</v>
      </c>
      <c r="M549" s="609" t="s">
        <v>461</v>
      </c>
      <c r="N549" s="609" t="s">
        <v>461</v>
      </c>
      <c r="O549" s="609"/>
    </row>
    <row r="550" spans="12:15" x14ac:dyDescent="0.3">
      <c r="L550" s="609" t="s">
        <v>1052</v>
      </c>
      <c r="M550" s="609" t="s">
        <v>461</v>
      </c>
      <c r="N550" s="609" t="s">
        <v>461</v>
      </c>
      <c r="O550" s="609"/>
    </row>
    <row r="551" spans="12:15" x14ac:dyDescent="0.3">
      <c r="L551" s="609" t="s">
        <v>1053</v>
      </c>
      <c r="M551" s="609" t="s">
        <v>461</v>
      </c>
      <c r="N551" s="609" t="s">
        <v>461</v>
      </c>
      <c r="O551" s="609"/>
    </row>
    <row r="552" spans="12:15" x14ac:dyDescent="0.3">
      <c r="L552" s="609" t="s">
        <v>1054</v>
      </c>
      <c r="M552" s="609" t="s">
        <v>461</v>
      </c>
      <c r="N552" s="609" t="s">
        <v>461</v>
      </c>
      <c r="O552" s="609"/>
    </row>
    <row r="553" spans="12:15" x14ac:dyDescent="0.3">
      <c r="L553" s="609" t="s">
        <v>841</v>
      </c>
      <c r="M553" s="609" t="s">
        <v>461</v>
      </c>
      <c r="N553" s="609" t="s">
        <v>461</v>
      </c>
      <c r="O553" s="609"/>
    </row>
    <row r="554" spans="12:15" x14ac:dyDescent="0.3">
      <c r="L554" s="609" t="s">
        <v>1055</v>
      </c>
      <c r="M554" s="609" t="s">
        <v>461</v>
      </c>
      <c r="N554" s="609" t="s">
        <v>461</v>
      </c>
      <c r="O554" s="609"/>
    </row>
    <row r="555" spans="12:15" x14ac:dyDescent="0.3">
      <c r="L555" s="609" t="s">
        <v>1056</v>
      </c>
      <c r="M555" s="609" t="s">
        <v>461</v>
      </c>
      <c r="N555" s="609" t="s">
        <v>461</v>
      </c>
      <c r="O555" s="609"/>
    </row>
  </sheetData>
  <sheetProtection algorithmName="SHA-512" hashValue="ovZooOCsPmnxkDaJKzQKaXMk7KgRKuHs3dWK98TC3PIAQmTmU1FPk01MjE22lSuaFWH+MtVVZzgCCUF2R9mp1g==" saltValue="3aQyGweVXnVo4brrslLbtw==" spinCount="100000" sheet="1" objects="1" scenarios="1"/>
  <mergeCells count="6">
    <mergeCell ref="E40:G51"/>
    <mergeCell ref="A4:C4"/>
    <mergeCell ref="E4:F4"/>
    <mergeCell ref="E30:G33"/>
    <mergeCell ref="E35:G37"/>
    <mergeCell ref="E39:G39"/>
  </mergeCells>
  <pageMargins left="0.7" right="0.7" top="0.75" bottom="0.75" header="0.3" footer="0.3"/>
  <pageSetup scale="51"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CC2CA-D998-42A4-801A-834A786678CE}">
  <dimension ref="A1:G91"/>
  <sheetViews>
    <sheetView workbookViewId="0">
      <selection activeCell="H55" sqref="H55"/>
    </sheetView>
  </sheetViews>
  <sheetFormatPr defaultRowHeight="14.4" x14ac:dyDescent="0.3"/>
  <cols>
    <col min="1" max="1" width="14.21875" customWidth="1"/>
    <col min="2" max="2" width="18.6640625" customWidth="1"/>
    <col min="3" max="3" width="19.21875" customWidth="1"/>
    <col min="4" max="4" width="32.88671875" customWidth="1"/>
    <col min="5" max="5" width="16.6640625" customWidth="1"/>
    <col min="6" max="6" width="19.6640625" customWidth="1"/>
    <col min="7" max="7" width="12.109375" customWidth="1"/>
  </cols>
  <sheetData>
    <row r="1" spans="1:7" x14ac:dyDescent="0.3">
      <c r="B1" t="s">
        <v>1431</v>
      </c>
      <c r="C1" t="s">
        <v>1431</v>
      </c>
    </row>
    <row r="2" spans="1:7" x14ac:dyDescent="0.3">
      <c r="B2" t="s">
        <v>1432</v>
      </c>
      <c r="C2" t="s">
        <v>1436</v>
      </c>
    </row>
    <row r="3" spans="1:7" x14ac:dyDescent="0.3">
      <c r="B3" t="s">
        <v>1433</v>
      </c>
      <c r="C3" t="s">
        <v>1435</v>
      </c>
    </row>
    <row r="4" spans="1:7" x14ac:dyDescent="0.3">
      <c r="A4" t="s">
        <v>1091</v>
      </c>
      <c r="B4">
        <v>0.03</v>
      </c>
      <c r="C4">
        <v>0.05</v>
      </c>
      <c r="D4" t="s">
        <v>1457</v>
      </c>
      <c r="E4" t="s">
        <v>1453</v>
      </c>
      <c r="F4" t="s">
        <v>1091</v>
      </c>
      <c r="G4">
        <v>0.08</v>
      </c>
    </row>
    <row r="5" spans="1:7" x14ac:dyDescent="0.3">
      <c r="A5" t="s">
        <v>801</v>
      </c>
      <c r="B5">
        <v>0.03</v>
      </c>
      <c r="C5">
        <v>0.05</v>
      </c>
      <c r="D5" t="s">
        <v>1457</v>
      </c>
      <c r="E5" t="s">
        <v>1453</v>
      </c>
      <c r="F5" t="s">
        <v>801</v>
      </c>
      <c r="G5" s="180">
        <v>0.08</v>
      </c>
    </row>
    <row r="6" spans="1:7" x14ac:dyDescent="0.3">
      <c r="A6" t="s">
        <v>476</v>
      </c>
      <c r="B6">
        <v>0.03</v>
      </c>
      <c r="C6">
        <v>0.05</v>
      </c>
      <c r="D6" t="s">
        <v>1457</v>
      </c>
      <c r="E6" t="s">
        <v>1453</v>
      </c>
      <c r="F6" t="s">
        <v>476</v>
      </c>
      <c r="G6" s="180">
        <v>0.08</v>
      </c>
    </row>
    <row r="7" spans="1:7" x14ac:dyDescent="0.3">
      <c r="A7" t="s">
        <v>1111</v>
      </c>
      <c r="B7">
        <v>0.03</v>
      </c>
      <c r="C7">
        <v>0.05</v>
      </c>
      <c r="D7" t="s">
        <v>1457</v>
      </c>
      <c r="E7" t="s">
        <v>1453</v>
      </c>
      <c r="F7" t="s">
        <v>1111</v>
      </c>
      <c r="G7" s="180">
        <v>0.08</v>
      </c>
    </row>
    <row r="8" spans="1:7" x14ac:dyDescent="0.3">
      <c r="A8" t="s">
        <v>1156</v>
      </c>
      <c r="B8">
        <v>0.03</v>
      </c>
      <c r="C8">
        <v>0.05</v>
      </c>
      <c r="D8" t="s">
        <v>1457</v>
      </c>
      <c r="E8" t="s">
        <v>1453</v>
      </c>
      <c r="F8" t="s">
        <v>1156</v>
      </c>
      <c r="G8" s="180">
        <v>0.08</v>
      </c>
    </row>
    <row r="9" spans="1:7" x14ac:dyDescent="0.3">
      <c r="A9" t="s">
        <v>1188</v>
      </c>
      <c r="B9">
        <v>0.03</v>
      </c>
      <c r="C9">
        <v>0.05</v>
      </c>
      <c r="D9" t="s">
        <v>1457</v>
      </c>
      <c r="E9" t="s">
        <v>1453</v>
      </c>
      <c r="F9" t="s">
        <v>1188</v>
      </c>
      <c r="G9" s="180">
        <v>0.08</v>
      </c>
    </row>
    <row r="10" spans="1:7" x14ac:dyDescent="0.3">
      <c r="A10" t="s">
        <v>812</v>
      </c>
      <c r="B10">
        <v>0.03</v>
      </c>
      <c r="C10">
        <v>0.05</v>
      </c>
      <c r="D10" t="s">
        <v>1457</v>
      </c>
      <c r="E10" t="s">
        <v>1453</v>
      </c>
      <c r="F10" t="s">
        <v>812</v>
      </c>
      <c r="G10" s="180">
        <v>0.08</v>
      </c>
    </row>
    <row r="11" spans="1:7" x14ac:dyDescent="0.3">
      <c r="A11" t="s">
        <v>1201</v>
      </c>
      <c r="B11">
        <v>0.03</v>
      </c>
      <c r="C11">
        <v>0.05</v>
      </c>
      <c r="D11" t="s">
        <v>1457</v>
      </c>
      <c r="E11" t="s">
        <v>1453</v>
      </c>
      <c r="F11" t="s">
        <v>1201</v>
      </c>
      <c r="G11" s="180">
        <v>0.08</v>
      </c>
    </row>
    <row r="12" spans="1:7" x14ac:dyDescent="0.3">
      <c r="A12" t="s">
        <v>504</v>
      </c>
      <c r="B12">
        <v>0.03</v>
      </c>
      <c r="C12">
        <v>0.05</v>
      </c>
      <c r="D12" t="s">
        <v>1457</v>
      </c>
      <c r="E12" t="s">
        <v>1453</v>
      </c>
      <c r="F12" t="s">
        <v>504</v>
      </c>
      <c r="G12" s="180">
        <v>0.08</v>
      </c>
    </row>
    <row r="13" spans="1:7" x14ac:dyDescent="0.3">
      <c r="A13" t="s">
        <v>395</v>
      </c>
      <c r="B13">
        <v>0.03</v>
      </c>
      <c r="C13">
        <v>0.05</v>
      </c>
      <c r="D13" t="s">
        <v>1457</v>
      </c>
      <c r="E13" t="s">
        <v>1453</v>
      </c>
      <c r="F13" t="s">
        <v>395</v>
      </c>
      <c r="G13" s="180">
        <v>0.08</v>
      </c>
    </row>
    <row r="14" spans="1:7" x14ac:dyDescent="0.3">
      <c r="A14" t="s">
        <v>510</v>
      </c>
      <c r="B14">
        <v>0.03</v>
      </c>
      <c r="C14">
        <v>0.05</v>
      </c>
      <c r="D14" t="s">
        <v>1457</v>
      </c>
      <c r="E14" t="s">
        <v>1453</v>
      </c>
      <c r="F14" t="s">
        <v>510</v>
      </c>
      <c r="G14" s="180">
        <v>0.08</v>
      </c>
    </row>
    <row r="15" spans="1:7" x14ac:dyDescent="0.3">
      <c r="A15" t="s">
        <v>819</v>
      </c>
      <c r="B15">
        <v>0.03</v>
      </c>
      <c r="C15">
        <v>0.05</v>
      </c>
      <c r="D15" t="s">
        <v>1457</v>
      </c>
      <c r="E15" t="s">
        <v>1453</v>
      </c>
      <c r="F15" t="s">
        <v>819</v>
      </c>
      <c r="G15" s="180">
        <v>0.08</v>
      </c>
    </row>
    <row r="16" spans="1:7" x14ac:dyDescent="0.3">
      <c r="A16" t="s">
        <v>1240</v>
      </c>
      <c r="B16">
        <v>0.03</v>
      </c>
      <c r="C16">
        <v>0.05</v>
      </c>
      <c r="D16" t="s">
        <v>1457</v>
      </c>
      <c r="E16" t="s">
        <v>1453</v>
      </c>
      <c r="F16" t="s">
        <v>1240</v>
      </c>
      <c r="G16" s="180">
        <v>0.08</v>
      </c>
    </row>
    <row r="17" spans="1:7" x14ac:dyDescent="0.3">
      <c r="A17" t="s">
        <v>514</v>
      </c>
      <c r="B17">
        <v>0.03</v>
      </c>
      <c r="C17">
        <v>0.05</v>
      </c>
      <c r="D17" t="s">
        <v>1457</v>
      </c>
      <c r="E17" t="s">
        <v>1453</v>
      </c>
      <c r="F17" t="s">
        <v>514</v>
      </c>
      <c r="G17" s="180">
        <v>0.08</v>
      </c>
    </row>
    <row r="18" spans="1:7" x14ac:dyDescent="0.3">
      <c r="A18" t="s">
        <v>1260</v>
      </c>
      <c r="B18">
        <v>0.03</v>
      </c>
      <c r="C18">
        <v>0.05</v>
      </c>
      <c r="D18" t="s">
        <v>1457</v>
      </c>
      <c r="E18" t="s">
        <v>1453</v>
      </c>
      <c r="F18" t="s">
        <v>1260</v>
      </c>
      <c r="G18" s="180">
        <v>0.08</v>
      </c>
    </row>
    <row r="19" spans="1:7" x14ac:dyDescent="0.3">
      <c r="A19" t="s">
        <v>1265</v>
      </c>
      <c r="B19">
        <v>0.03</v>
      </c>
      <c r="C19">
        <v>0.05</v>
      </c>
      <c r="D19" t="s">
        <v>1457</v>
      </c>
      <c r="E19" t="s">
        <v>1453</v>
      </c>
      <c r="F19" t="s">
        <v>1265</v>
      </c>
      <c r="G19" s="180">
        <v>0.08</v>
      </c>
    </row>
    <row r="20" spans="1:7" x14ac:dyDescent="0.3">
      <c r="A20" t="s">
        <v>1275</v>
      </c>
      <c r="B20">
        <v>0.03</v>
      </c>
      <c r="C20">
        <v>0.05</v>
      </c>
      <c r="D20" t="s">
        <v>1457</v>
      </c>
      <c r="E20" t="s">
        <v>1453</v>
      </c>
      <c r="F20" t="s">
        <v>1275</v>
      </c>
      <c r="G20" s="180">
        <v>0.08</v>
      </c>
    </row>
    <row r="21" spans="1:7" x14ac:dyDescent="0.3">
      <c r="A21" t="s">
        <v>1291</v>
      </c>
      <c r="B21">
        <v>0.03</v>
      </c>
      <c r="C21">
        <v>0.05</v>
      </c>
      <c r="D21" t="s">
        <v>1457</v>
      </c>
      <c r="E21" t="s">
        <v>1453</v>
      </c>
      <c r="F21" t="s">
        <v>1291</v>
      </c>
      <c r="G21" s="180">
        <v>0.08</v>
      </c>
    </row>
    <row r="22" spans="1:7" x14ac:dyDescent="0.3">
      <c r="A22" t="s">
        <v>438</v>
      </c>
      <c r="B22">
        <v>0.03</v>
      </c>
      <c r="C22">
        <v>0.05</v>
      </c>
      <c r="D22" t="s">
        <v>1457</v>
      </c>
      <c r="E22" t="s">
        <v>1453</v>
      </c>
      <c r="F22" t="s">
        <v>438</v>
      </c>
      <c r="G22" s="180">
        <v>0.08</v>
      </c>
    </row>
    <row r="23" spans="1:7" x14ac:dyDescent="0.3">
      <c r="A23" t="s">
        <v>1335</v>
      </c>
      <c r="B23">
        <v>0.03</v>
      </c>
      <c r="C23">
        <v>0.05</v>
      </c>
      <c r="D23" t="s">
        <v>1457</v>
      </c>
      <c r="E23" t="s">
        <v>1453</v>
      </c>
      <c r="F23" t="s">
        <v>1335</v>
      </c>
      <c r="G23" s="180">
        <v>0.08</v>
      </c>
    </row>
    <row r="24" spans="1:7" x14ac:dyDescent="0.3">
      <c r="A24" t="s">
        <v>528</v>
      </c>
      <c r="B24">
        <v>0.03</v>
      </c>
      <c r="C24">
        <v>0.05</v>
      </c>
      <c r="D24" t="s">
        <v>1457</v>
      </c>
      <c r="E24" t="s">
        <v>1453</v>
      </c>
      <c r="F24" t="s">
        <v>528</v>
      </c>
      <c r="G24" s="180">
        <v>0.08</v>
      </c>
    </row>
    <row r="25" spans="1:7" x14ac:dyDescent="0.3">
      <c r="A25" t="s">
        <v>536</v>
      </c>
      <c r="B25">
        <v>0.03</v>
      </c>
      <c r="C25">
        <v>0.05</v>
      </c>
      <c r="D25" t="s">
        <v>1457</v>
      </c>
      <c r="E25" t="s">
        <v>1453</v>
      </c>
      <c r="F25" t="s">
        <v>536</v>
      </c>
      <c r="G25" s="180">
        <v>0.08</v>
      </c>
    </row>
    <row r="26" spans="1:7" x14ac:dyDescent="0.3">
      <c r="A26" t="s">
        <v>539</v>
      </c>
      <c r="B26">
        <v>0.03</v>
      </c>
      <c r="C26">
        <v>0.05</v>
      </c>
      <c r="D26" t="s">
        <v>1457</v>
      </c>
      <c r="E26" t="s">
        <v>1453</v>
      </c>
      <c r="F26" t="s">
        <v>539</v>
      </c>
      <c r="G26" s="180">
        <v>0.08</v>
      </c>
    </row>
    <row r="27" spans="1:7" x14ac:dyDescent="0.3">
      <c r="A27" t="s">
        <v>1384</v>
      </c>
      <c r="B27">
        <v>0.03</v>
      </c>
      <c r="C27">
        <v>0.05</v>
      </c>
      <c r="D27" t="s">
        <v>1457</v>
      </c>
      <c r="E27" t="s">
        <v>1453</v>
      </c>
      <c r="F27" t="s">
        <v>1384</v>
      </c>
      <c r="G27" s="180">
        <v>0.08</v>
      </c>
    </row>
    <row r="28" spans="1:7" x14ac:dyDescent="0.3">
      <c r="A28" t="s">
        <v>542</v>
      </c>
      <c r="B28">
        <v>0.03</v>
      </c>
      <c r="C28">
        <v>0.05</v>
      </c>
      <c r="D28" t="s">
        <v>1457</v>
      </c>
      <c r="E28" t="s">
        <v>1453</v>
      </c>
      <c r="F28" t="s">
        <v>542</v>
      </c>
      <c r="G28" s="180">
        <v>0.08</v>
      </c>
    </row>
    <row r="29" spans="1:7" x14ac:dyDescent="0.3">
      <c r="A29" t="s">
        <v>1402</v>
      </c>
      <c r="B29">
        <v>0.03</v>
      </c>
      <c r="C29">
        <v>0.05</v>
      </c>
      <c r="D29" t="s">
        <v>1457</v>
      </c>
      <c r="E29" t="s">
        <v>1453</v>
      </c>
      <c r="F29" t="s">
        <v>1402</v>
      </c>
      <c r="G29" s="180">
        <v>0.08</v>
      </c>
    </row>
    <row r="30" spans="1:7" x14ac:dyDescent="0.3">
      <c r="A30" t="s">
        <v>1410</v>
      </c>
      <c r="B30">
        <v>0.03</v>
      </c>
      <c r="C30">
        <v>0.05</v>
      </c>
      <c r="D30" t="s">
        <v>1457</v>
      </c>
      <c r="E30" t="s">
        <v>1453</v>
      </c>
      <c r="F30" t="s">
        <v>1410</v>
      </c>
      <c r="G30" s="180">
        <v>0.08</v>
      </c>
    </row>
    <row r="31" spans="1:7" x14ac:dyDescent="0.3">
      <c r="A31" t="s">
        <v>1413</v>
      </c>
      <c r="B31">
        <v>0.03</v>
      </c>
      <c r="C31">
        <v>0.05</v>
      </c>
      <c r="D31" t="s">
        <v>1457</v>
      </c>
      <c r="E31" t="s">
        <v>1453</v>
      </c>
      <c r="F31" t="s">
        <v>1413</v>
      </c>
      <c r="G31" s="180">
        <v>0.08</v>
      </c>
    </row>
    <row r="32" spans="1:7" x14ac:dyDescent="0.3">
      <c r="A32" t="s">
        <v>1005</v>
      </c>
      <c r="B32">
        <v>0.03</v>
      </c>
      <c r="C32">
        <v>0.05</v>
      </c>
      <c r="D32" t="s">
        <v>1457</v>
      </c>
      <c r="E32" t="s">
        <v>1453</v>
      </c>
      <c r="F32" t="s">
        <v>1005</v>
      </c>
      <c r="G32" s="180">
        <v>0.08</v>
      </c>
    </row>
    <row r="33" spans="1:7" x14ac:dyDescent="0.3">
      <c r="A33" t="s">
        <v>397</v>
      </c>
      <c r="B33">
        <v>0.03</v>
      </c>
      <c r="C33">
        <v>0.05</v>
      </c>
      <c r="D33" t="s">
        <v>1457</v>
      </c>
      <c r="E33" t="s">
        <v>1453</v>
      </c>
      <c r="F33" t="s">
        <v>397</v>
      </c>
      <c r="G33" s="180">
        <v>0.08</v>
      </c>
    </row>
    <row r="34" spans="1:7" x14ac:dyDescent="0.3">
      <c r="A34" t="s">
        <v>1028</v>
      </c>
      <c r="B34">
        <v>0.03</v>
      </c>
      <c r="C34">
        <v>0.05</v>
      </c>
      <c r="D34" t="s">
        <v>1457</v>
      </c>
      <c r="E34" t="s">
        <v>1453</v>
      </c>
      <c r="F34" t="s">
        <v>1028</v>
      </c>
      <c r="G34" s="180">
        <v>0.08</v>
      </c>
    </row>
    <row r="35" spans="1:7" x14ac:dyDescent="0.3">
      <c r="A35" t="s">
        <v>1045</v>
      </c>
      <c r="B35">
        <v>0.03</v>
      </c>
      <c r="C35">
        <v>0.05</v>
      </c>
      <c r="D35" t="s">
        <v>1457</v>
      </c>
      <c r="E35" t="s">
        <v>1453</v>
      </c>
      <c r="F35" s="559" t="s">
        <v>1045</v>
      </c>
      <c r="G35" s="180">
        <v>0.08</v>
      </c>
    </row>
    <row r="36" spans="1:7" x14ac:dyDescent="0.3">
      <c r="A36" t="s">
        <v>1086</v>
      </c>
      <c r="B36" t="s">
        <v>461</v>
      </c>
      <c r="C36">
        <v>0.05</v>
      </c>
      <c r="D36" t="s">
        <v>1452</v>
      </c>
      <c r="F36" t="s">
        <v>1086</v>
      </c>
      <c r="G36">
        <v>7.0000000000000007E-2</v>
      </c>
    </row>
    <row r="37" spans="1:7" x14ac:dyDescent="0.3">
      <c r="A37" t="s">
        <v>1126</v>
      </c>
      <c r="B37">
        <v>0.15</v>
      </c>
      <c r="C37" t="s">
        <v>461</v>
      </c>
      <c r="D37" t="s">
        <v>1452</v>
      </c>
      <c r="F37" t="s">
        <v>1126</v>
      </c>
      <c r="G37" s="180">
        <v>7.0000000000000007E-2</v>
      </c>
    </row>
    <row r="38" spans="1:7" x14ac:dyDescent="0.3">
      <c r="A38" t="s">
        <v>1153</v>
      </c>
      <c r="B38">
        <v>0.05</v>
      </c>
      <c r="C38" t="s">
        <v>461</v>
      </c>
      <c r="D38" t="s">
        <v>1452</v>
      </c>
      <c r="F38" t="s">
        <v>1153</v>
      </c>
      <c r="G38" s="180">
        <v>7.0000000000000007E-2</v>
      </c>
    </row>
    <row r="39" spans="1:7" x14ac:dyDescent="0.3">
      <c r="A39" t="s">
        <v>1169</v>
      </c>
      <c r="B39">
        <v>0.03</v>
      </c>
      <c r="C39" t="s">
        <v>461</v>
      </c>
      <c r="D39" t="s">
        <v>1452</v>
      </c>
      <c r="F39" t="s">
        <v>1169</v>
      </c>
      <c r="G39" s="180">
        <v>7.0000000000000007E-2</v>
      </c>
    </row>
    <row r="40" spans="1:7" x14ac:dyDescent="0.3">
      <c r="A40" t="s">
        <v>1180</v>
      </c>
      <c r="B40">
        <v>0.03</v>
      </c>
      <c r="C40" t="s">
        <v>461</v>
      </c>
      <c r="D40" t="s">
        <v>1452</v>
      </c>
      <c r="F40" t="s">
        <v>1180</v>
      </c>
      <c r="G40" s="180">
        <v>7.0000000000000007E-2</v>
      </c>
    </row>
    <row r="41" spans="1:7" x14ac:dyDescent="0.3">
      <c r="A41" t="s">
        <v>1216</v>
      </c>
      <c r="B41">
        <v>0.03</v>
      </c>
      <c r="C41" t="s">
        <v>461</v>
      </c>
      <c r="D41" t="s">
        <v>1452</v>
      </c>
      <c r="F41" t="s">
        <v>1216</v>
      </c>
      <c r="G41" s="180">
        <v>7.0000000000000007E-2</v>
      </c>
    </row>
    <row r="42" spans="1:7" x14ac:dyDescent="0.3">
      <c r="A42" t="s">
        <v>1222</v>
      </c>
      <c r="B42">
        <v>0.03</v>
      </c>
      <c r="C42" t="s">
        <v>461</v>
      </c>
      <c r="D42" t="s">
        <v>1452</v>
      </c>
      <c r="F42" t="s">
        <v>1222</v>
      </c>
      <c r="G42" s="180">
        <v>7.0000000000000007E-2</v>
      </c>
    </row>
    <row r="43" spans="1:7" x14ac:dyDescent="0.3">
      <c r="A43" t="s">
        <v>396</v>
      </c>
      <c r="B43" t="s">
        <v>461</v>
      </c>
      <c r="C43" t="s">
        <v>461</v>
      </c>
      <c r="D43" t="s">
        <v>1452</v>
      </c>
      <c r="F43" t="s">
        <v>396</v>
      </c>
      <c r="G43" s="180">
        <v>7.0000000000000007E-2</v>
      </c>
    </row>
    <row r="44" spans="1:7" x14ac:dyDescent="0.3">
      <c r="A44" t="s">
        <v>1245</v>
      </c>
      <c r="B44" t="s">
        <v>461</v>
      </c>
      <c r="C44" t="s">
        <v>461</v>
      </c>
      <c r="D44" t="s">
        <v>1452</v>
      </c>
      <c r="F44" t="s">
        <v>1245</v>
      </c>
      <c r="G44" s="180">
        <v>7.0000000000000007E-2</v>
      </c>
    </row>
    <row r="45" spans="1:7" x14ac:dyDescent="0.3">
      <c r="A45" t="s">
        <v>1270</v>
      </c>
      <c r="B45" t="s">
        <v>461</v>
      </c>
      <c r="C45" t="s">
        <v>461</v>
      </c>
      <c r="D45" t="s">
        <v>1452</v>
      </c>
      <c r="F45" t="s">
        <v>1270</v>
      </c>
      <c r="G45" s="180">
        <v>7.0000000000000007E-2</v>
      </c>
    </row>
    <row r="46" spans="1:7" x14ac:dyDescent="0.3">
      <c r="A46" t="s">
        <v>1282</v>
      </c>
      <c r="B46">
        <v>0.03</v>
      </c>
      <c r="C46">
        <v>0.03</v>
      </c>
      <c r="D46" t="s">
        <v>1452</v>
      </c>
      <c r="F46" t="s">
        <v>1282</v>
      </c>
      <c r="G46" s="180">
        <v>7.0000000000000007E-2</v>
      </c>
    </row>
    <row r="47" spans="1:7" x14ac:dyDescent="0.3">
      <c r="A47" t="s">
        <v>1286</v>
      </c>
      <c r="B47" t="s">
        <v>461</v>
      </c>
      <c r="C47" t="s">
        <v>461</v>
      </c>
      <c r="D47" t="s">
        <v>1452</v>
      </c>
      <c r="F47" t="s">
        <v>1286</v>
      </c>
      <c r="G47" s="180">
        <v>7.0000000000000007E-2</v>
      </c>
    </row>
    <row r="48" spans="1:7" x14ac:dyDescent="0.3">
      <c r="A48" t="s">
        <v>1296</v>
      </c>
      <c r="B48">
        <v>0.03</v>
      </c>
      <c r="C48" t="s">
        <v>461</v>
      </c>
      <c r="D48" t="s">
        <v>1452</v>
      </c>
      <c r="F48" t="s">
        <v>1296</v>
      </c>
      <c r="G48" s="180">
        <v>7.0000000000000007E-2</v>
      </c>
    </row>
    <row r="49" spans="1:7" x14ac:dyDescent="0.3">
      <c r="A49" t="s">
        <v>1321</v>
      </c>
      <c r="B49">
        <v>0.01</v>
      </c>
      <c r="C49" t="s">
        <v>461</v>
      </c>
      <c r="D49" t="s">
        <v>1452</v>
      </c>
      <c r="F49" t="s">
        <v>1321</v>
      </c>
      <c r="G49" s="180">
        <v>7.0000000000000007E-2</v>
      </c>
    </row>
    <row r="50" spans="1:7" x14ac:dyDescent="0.3">
      <c r="A50" t="s">
        <v>1325</v>
      </c>
      <c r="B50" t="s">
        <v>461</v>
      </c>
      <c r="C50" t="s">
        <v>461</v>
      </c>
      <c r="D50" t="s">
        <v>1452</v>
      </c>
      <c r="F50" t="s">
        <v>1325</v>
      </c>
      <c r="G50" s="180">
        <v>7.0000000000000007E-2</v>
      </c>
    </row>
    <row r="51" spans="1:7" x14ac:dyDescent="0.3">
      <c r="A51" t="s">
        <v>1338</v>
      </c>
      <c r="B51" t="s">
        <v>461</v>
      </c>
      <c r="C51" t="s">
        <v>461</v>
      </c>
      <c r="D51" t="s">
        <v>1452</v>
      </c>
      <c r="F51" t="s">
        <v>1338</v>
      </c>
      <c r="G51" s="180">
        <v>7.0000000000000007E-2</v>
      </c>
    </row>
    <row r="52" spans="1:7" x14ac:dyDescent="0.3">
      <c r="A52" t="s">
        <v>1363</v>
      </c>
      <c r="B52" t="s">
        <v>461</v>
      </c>
      <c r="C52" t="s">
        <v>461</v>
      </c>
      <c r="D52" t="s">
        <v>1452</v>
      </c>
      <c r="F52" t="s">
        <v>1363</v>
      </c>
      <c r="G52" s="180">
        <v>7.0000000000000007E-2</v>
      </c>
    </row>
    <row r="53" spans="1:7" x14ac:dyDescent="0.3">
      <c r="A53" t="s">
        <v>1407</v>
      </c>
      <c r="B53">
        <v>0.03</v>
      </c>
      <c r="C53" t="s">
        <v>461</v>
      </c>
      <c r="D53" t="s">
        <v>1452</v>
      </c>
      <c r="F53" t="s">
        <v>1407</v>
      </c>
      <c r="G53" s="180">
        <v>7.0000000000000007E-2</v>
      </c>
    </row>
    <row r="54" spans="1:7" x14ac:dyDescent="0.3">
      <c r="A54" t="s">
        <v>991</v>
      </c>
      <c r="B54" t="s">
        <v>461</v>
      </c>
      <c r="C54" t="s">
        <v>461</v>
      </c>
      <c r="D54" t="s">
        <v>1452</v>
      </c>
      <c r="F54" s="559" t="s">
        <v>991</v>
      </c>
      <c r="G54" s="180">
        <v>7.0000000000000007E-2</v>
      </c>
    </row>
    <row r="55" spans="1:7" x14ac:dyDescent="0.3">
      <c r="A55" t="s">
        <v>480</v>
      </c>
      <c r="B55" t="s">
        <v>461</v>
      </c>
      <c r="C55" t="s">
        <v>461</v>
      </c>
      <c r="D55" t="s">
        <v>1548</v>
      </c>
      <c r="F55" t="s">
        <v>480</v>
      </c>
      <c r="G55">
        <v>0.09</v>
      </c>
    </row>
    <row r="56" spans="1:7" x14ac:dyDescent="0.3">
      <c r="A56" t="s">
        <v>1164</v>
      </c>
      <c r="B56" t="s">
        <v>461</v>
      </c>
      <c r="C56" t="s">
        <v>461</v>
      </c>
      <c r="D56" t="s">
        <v>1548</v>
      </c>
      <c r="F56" t="s">
        <v>1164</v>
      </c>
      <c r="G56" s="180">
        <v>0.09</v>
      </c>
    </row>
    <row r="57" spans="1:7" x14ac:dyDescent="0.3">
      <c r="A57" t="s">
        <v>811</v>
      </c>
      <c r="B57" t="s">
        <v>461</v>
      </c>
      <c r="C57" t="s">
        <v>461</v>
      </c>
      <c r="D57" t="s">
        <v>1548</v>
      </c>
      <c r="F57" t="s">
        <v>811</v>
      </c>
      <c r="G57" s="180">
        <v>0.09</v>
      </c>
    </row>
    <row r="58" spans="1:7" x14ac:dyDescent="0.3">
      <c r="A58" t="s">
        <v>497</v>
      </c>
      <c r="B58" t="s">
        <v>461</v>
      </c>
      <c r="C58" t="s">
        <v>461</v>
      </c>
      <c r="D58" t="s">
        <v>1548</v>
      </c>
      <c r="F58" t="s">
        <v>497</v>
      </c>
      <c r="G58" s="180">
        <v>0.09</v>
      </c>
    </row>
    <row r="59" spans="1:7" x14ac:dyDescent="0.3">
      <c r="A59" t="s">
        <v>1202</v>
      </c>
      <c r="B59" t="s">
        <v>461</v>
      </c>
      <c r="C59" t="s">
        <v>461</v>
      </c>
      <c r="D59" t="s">
        <v>1548</v>
      </c>
      <c r="F59" t="s">
        <v>1202</v>
      </c>
      <c r="G59" s="180">
        <v>0.09</v>
      </c>
    </row>
    <row r="60" spans="1:7" x14ac:dyDescent="0.3">
      <c r="A60" t="s">
        <v>1205</v>
      </c>
      <c r="B60" t="s">
        <v>461</v>
      </c>
      <c r="C60" t="s">
        <v>461</v>
      </c>
      <c r="D60" t="s">
        <v>1548</v>
      </c>
      <c r="F60" t="s">
        <v>1205</v>
      </c>
      <c r="G60" s="180">
        <v>0.09</v>
      </c>
    </row>
    <row r="61" spans="1:7" x14ac:dyDescent="0.3">
      <c r="A61" t="s">
        <v>1207</v>
      </c>
      <c r="B61" t="s">
        <v>461</v>
      </c>
      <c r="C61" t="s">
        <v>461</v>
      </c>
      <c r="D61" t="s">
        <v>1548</v>
      </c>
      <c r="F61" t="s">
        <v>1207</v>
      </c>
      <c r="G61" s="180">
        <v>0.09</v>
      </c>
    </row>
    <row r="62" spans="1:7" x14ac:dyDescent="0.3">
      <c r="A62" t="s">
        <v>1237</v>
      </c>
      <c r="B62" t="s">
        <v>461</v>
      </c>
      <c r="C62" t="s">
        <v>461</v>
      </c>
      <c r="D62" t="s">
        <v>1548</v>
      </c>
      <c r="F62" t="s">
        <v>1237</v>
      </c>
      <c r="G62" s="180">
        <v>0.09</v>
      </c>
    </row>
    <row r="63" spans="1:7" x14ac:dyDescent="0.3">
      <c r="A63" t="s">
        <v>1259</v>
      </c>
      <c r="B63" t="s">
        <v>461</v>
      </c>
      <c r="C63" t="s">
        <v>461</v>
      </c>
      <c r="D63" t="s">
        <v>1548</v>
      </c>
      <c r="F63" t="s">
        <v>1259</v>
      </c>
      <c r="G63" s="180">
        <v>0.09</v>
      </c>
    </row>
    <row r="64" spans="1:7" x14ac:dyDescent="0.3">
      <c r="A64" s="567" t="s">
        <v>437</v>
      </c>
      <c r="B64" s="559" t="s">
        <v>461</v>
      </c>
      <c r="C64" s="559" t="s">
        <v>461</v>
      </c>
      <c r="D64" s="559" t="s">
        <v>1548</v>
      </c>
      <c r="E64" s="559"/>
      <c r="F64" s="559" t="s">
        <v>437</v>
      </c>
      <c r="G64" s="180">
        <v>0.09</v>
      </c>
    </row>
    <row r="65" spans="1:7" x14ac:dyDescent="0.3">
      <c r="A65" t="s">
        <v>439</v>
      </c>
      <c r="B65" t="s">
        <v>461</v>
      </c>
      <c r="C65" t="s">
        <v>461</v>
      </c>
      <c r="D65" t="s">
        <v>1548</v>
      </c>
      <c r="F65" t="s">
        <v>439</v>
      </c>
      <c r="G65" s="180">
        <v>0.09</v>
      </c>
    </row>
    <row r="66" spans="1:7" x14ac:dyDescent="0.3">
      <c r="A66" t="s">
        <v>526</v>
      </c>
      <c r="B66" t="s">
        <v>461</v>
      </c>
      <c r="C66" t="s">
        <v>461</v>
      </c>
      <c r="D66" t="s">
        <v>1548</v>
      </c>
      <c r="F66" t="s">
        <v>526</v>
      </c>
      <c r="G66" s="180">
        <v>0.09</v>
      </c>
    </row>
    <row r="67" spans="1:7" x14ac:dyDescent="0.3">
      <c r="A67" t="s">
        <v>1362</v>
      </c>
      <c r="B67" t="s">
        <v>461</v>
      </c>
      <c r="C67" t="s">
        <v>461</v>
      </c>
      <c r="D67" t="s">
        <v>1548</v>
      </c>
      <c r="F67" t="s">
        <v>1362</v>
      </c>
      <c r="G67" s="180">
        <v>0.09</v>
      </c>
    </row>
    <row r="68" spans="1:7" x14ac:dyDescent="0.3">
      <c r="A68" t="s">
        <v>544</v>
      </c>
      <c r="B68" t="s">
        <v>461</v>
      </c>
      <c r="C68" t="s">
        <v>461</v>
      </c>
      <c r="D68" t="s">
        <v>1548</v>
      </c>
      <c r="F68" t="s">
        <v>544</v>
      </c>
      <c r="G68" s="180">
        <v>0.09</v>
      </c>
    </row>
    <row r="69" spans="1:7" s="180" customFormat="1" x14ac:dyDescent="0.3">
      <c r="A69" s="567" t="s">
        <v>989</v>
      </c>
      <c r="B69" t="s">
        <v>461</v>
      </c>
      <c r="C69" t="s">
        <v>461</v>
      </c>
      <c r="D69" s="180" t="s">
        <v>1548</v>
      </c>
      <c r="F69" t="s">
        <v>989</v>
      </c>
      <c r="G69" s="180">
        <v>0.09</v>
      </c>
    </row>
    <row r="70" spans="1:7" x14ac:dyDescent="0.3">
      <c r="A70" t="s">
        <v>1026</v>
      </c>
      <c r="B70" t="s">
        <v>461</v>
      </c>
      <c r="C70" t="s">
        <v>461</v>
      </c>
      <c r="D70" t="s">
        <v>1548</v>
      </c>
      <c r="F70" t="s">
        <v>1026</v>
      </c>
      <c r="G70" s="180">
        <v>0.09</v>
      </c>
    </row>
    <row r="71" spans="1:7" x14ac:dyDescent="0.3">
      <c r="A71" t="s">
        <v>1032</v>
      </c>
      <c r="B71" t="s">
        <v>461</v>
      </c>
      <c r="C71" t="s">
        <v>461</v>
      </c>
      <c r="D71" t="s">
        <v>1548</v>
      </c>
      <c r="F71" t="s">
        <v>1032</v>
      </c>
      <c r="G71" s="180">
        <v>0.09</v>
      </c>
    </row>
    <row r="72" spans="1:7" x14ac:dyDescent="0.3">
      <c r="A72" t="s">
        <v>1047</v>
      </c>
      <c r="B72" t="s">
        <v>461</v>
      </c>
      <c r="C72" t="s">
        <v>461</v>
      </c>
      <c r="D72" t="s">
        <v>1548</v>
      </c>
      <c r="F72" t="s">
        <v>1047</v>
      </c>
      <c r="G72" s="180">
        <v>0.09</v>
      </c>
    </row>
    <row r="73" spans="1:7" x14ac:dyDescent="0.3">
      <c r="A73" t="s">
        <v>1050</v>
      </c>
      <c r="B73" t="s">
        <v>461</v>
      </c>
      <c r="C73" t="s">
        <v>461</v>
      </c>
      <c r="D73" t="s">
        <v>1548</v>
      </c>
      <c r="F73" t="s">
        <v>1050</v>
      </c>
      <c r="G73" s="180">
        <v>0.09</v>
      </c>
    </row>
    <row r="89" spans="6:6" x14ac:dyDescent="0.3">
      <c r="F89" t="s">
        <v>349</v>
      </c>
    </row>
    <row r="90" spans="6:6" x14ac:dyDescent="0.3">
      <c r="F90" t="s">
        <v>349</v>
      </c>
    </row>
    <row r="91" spans="6:6" x14ac:dyDescent="0.3">
      <c r="F91" t="s">
        <v>349</v>
      </c>
    </row>
  </sheetData>
  <sortState xmlns:xlrd2="http://schemas.microsoft.com/office/spreadsheetml/2017/richdata2" ref="F55:F88">
    <sortCondition ref="F55:F88"/>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2.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Instructions</vt:lpstr>
      <vt:lpstr>Unit Data from Audit Worksheet</vt:lpstr>
      <vt:lpstr>TD Info Completed by Auditor</vt:lpstr>
      <vt:lpstr>Performance  Indicators Print</vt:lpstr>
      <vt:lpstr>Import</vt:lpstr>
      <vt:lpstr>Performance Indicator FBA%</vt:lpstr>
      <vt:lpstr>RSS</vt:lpstr>
      <vt:lpstr>Electric trans</vt:lpstr>
      <vt:lpstr>Electric Policy Info</vt:lpstr>
      <vt:lpstr>Tax Reval Rate</vt:lpstr>
      <vt:lpstr>PY1 Data(H)</vt:lpstr>
      <vt:lpstr>PY2 Data(H)</vt:lpstr>
      <vt:lpstr>Unit Names(H)</vt:lpstr>
      <vt:lpstr>Instructions!Print_Area</vt:lpstr>
      <vt:lpstr>'Performance  Indicators Print'!Print_Area</vt:lpstr>
      <vt:lpstr>'TD Info Completed by Auditor'!Print_Area</vt:lpstr>
      <vt:lpstr>'Unit Data from Audit Worksheet'!Print_Area</vt:lpstr>
      <vt:lpstr>'Performance  Indicators Print'!Print_Titles</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2023-12-01T18:32:04Z</cp:lastPrinted>
  <dcterms:created xsi:type="dcterms:W3CDTF">2011-03-11T21:05:05Z</dcterms:created>
  <dcterms:modified xsi:type="dcterms:W3CDTF">2024-10-16T22:26:21Z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