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N:\FMS\CCH\CCH Data Input Workbook Templates\2024 Data Input Workbooks\2024 DIW Master Templates\"/>
    </mc:Choice>
  </mc:AlternateContent>
  <xr:revisionPtr revIDLastSave="0" documentId="13_ncr:1_{64AC974F-2155-452C-AEDD-EEA7114796D2}" xr6:coauthVersionLast="47" xr6:coauthVersionMax="47" xr10:uidLastSave="{00000000-0000-0000-0000-000000000000}"/>
  <bookViews>
    <workbookView xWindow="57480" yWindow="-8370" windowWidth="29040" windowHeight="15840" tabRatio="840" xr2:uid="{00000000-000D-0000-FFFF-FFFF00000000}"/>
  </bookViews>
  <sheets>
    <sheet name="Instructions" sheetId="81" r:id="rId1"/>
    <sheet name="Unit Data from Audit Worksheet" sheetId="1" r:id="rId2"/>
    <sheet name="TD Info Completed by Auditor" sheetId="91" r:id="rId3"/>
    <sheet name="Performance  Indicators Print" sheetId="88" r:id="rId4"/>
    <sheet name="Performance Indicators FBA%" sheetId="94" r:id="rId5"/>
    <sheet name="RSS" sheetId="92" r:id="rId6"/>
    <sheet name="Import" sheetId="28" state="hidden" r:id="rId7"/>
    <sheet name="PY1 Data(H)" sheetId="82" state="hidden" r:id="rId8"/>
    <sheet name="PY2 Data(H)" sheetId="84" state="hidden" r:id="rId9"/>
    <sheet name="Unit Names(H)" sheetId="29" state="hidden" r:id="rId10"/>
  </sheets>
  <externalReferences>
    <externalReference r:id="rId11"/>
  </externalReferences>
  <definedNames>
    <definedName name="Audit_Dtl">[1]Database!$AC$3:$AP$413</definedName>
    <definedName name="errorCount">#REF!</definedName>
    <definedName name="ppp">#REF!</definedName>
    <definedName name="_xlnm.Print_Area" localSheetId="0">Instructions!#REF!</definedName>
    <definedName name="_xlnm.Print_Area" localSheetId="3">'Performance  Indicators Print'!$A$1:$H$37</definedName>
    <definedName name="_xlnm.Print_Area" localSheetId="2">'TD Info Completed by Auditor'!$A$1:$D$44</definedName>
    <definedName name="_xlnm.Print_Area" localSheetId="1">'Unit Data from Audit Worksheet'!$A$9:$F$221</definedName>
    <definedName name="Print_Selection_Auditor">#REF!</definedName>
    <definedName name="Print_Selection_Internal" localSheetId="3">#REF!</definedName>
    <definedName name="Print_Selection_Internal" localSheetId="4">#REF!</definedName>
    <definedName name="Print_Selection_Internal">#REF!</definedName>
    <definedName name="_xlnm.Print_Titles" localSheetId="3">'Performance  Indicators Print'!$3:$5</definedName>
    <definedName name="_xlnm.Print_Titles" localSheetId="1">'Unit Data from Audit Worksheet'!$5:$5</definedName>
    <definedName name="showError">#REF!</definedName>
    <definedName name="TD_IMPORT_RANGE" localSheetId="0">#REF!</definedName>
    <definedName name="TD_IMPORT_RANGE" localSheetId="3">#REF!</definedName>
    <definedName name="TD_IMPORT_RANGE" localSheetId="4">#REF!</definedName>
    <definedName name="TD_IMPORT_RANGE">#REF!</definedName>
    <definedName name="Temp">[1]Database!$BF$3:$EG$3</definedName>
    <definedName name="Unit_Names">#REF!</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89" i="1" l="1"/>
  <c r="CM215" i="82"/>
  <c r="CM295" i="82"/>
  <c r="E295" i="82"/>
  <c r="F295" i="82"/>
  <c r="G295" i="82"/>
  <c r="H295" i="82"/>
  <c r="I295" i="82"/>
  <c r="J295" i="82"/>
  <c r="K295" i="82"/>
  <c r="L295" i="82"/>
  <c r="M295" i="82"/>
  <c r="N295" i="82"/>
  <c r="O295" i="82"/>
  <c r="P295" i="82"/>
  <c r="Q295" i="82"/>
  <c r="R295" i="82"/>
  <c r="S295" i="82"/>
  <c r="T295" i="82"/>
  <c r="U295" i="82"/>
  <c r="V295" i="82"/>
  <c r="W295" i="82"/>
  <c r="X295" i="82"/>
  <c r="Y295" i="82"/>
  <c r="Z295" i="82"/>
  <c r="AA295" i="82"/>
  <c r="AB295" i="82"/>
  <c r="AC295" i="82"/>
  <c r="AD295" i="82"/>
  <c r="AE295" i="82"/>
  <c r="AF295" i="82"/>
  <c r="AG295" i="82"/>
  <c r="AH295" i="82"/>
  <c r="AI295" i="82"/>
  <c r="AJ295" i="82"/>
  <c r="AK295" i="82"/>
  <c r="AL295" i="82"/>
  <c r="AM295" i="82"/>
  <c r="AN295" i="82"/>
  <c r="AO295" i="82"/>
  <c r="AP295" i="82"/>
  <c r="AQ295" i="82"/>
  <c r="AR295" i="82"/>
  <c r="AS295" i="82"/>
  <c r="AT295" i="82"/>
  <c r="AU295" i="82"/>
  <c r="AV295" i="82"/>
  <c r="AW295" i="82"/>
  <c r="AX295" i="82"/>
  <c r="AY295" i="82"/>
  <c r="AZ295" i="82"/>
  <c r="BA295" i="82"/>
  <c r="BB295" i="82"/>
  <c r="BC295" i="82"/>
  <c r="BD295" i="82"/>
  <c r="BE295" i="82"/>
  <c r="BF295" i="82"/>
  <c r="BG295" i="82"/>
  <c r="BH295" i="82"/>
  <c r="BI295" i="82"/>
  <c r="BJ295" i="82"/>
  <c r="BK295" i="82"/>
  <c r="BL295" i="82"/>
  <c r="BM295" i="82"/>
  <c r="BN295" i="82"/>
  <c r="BO295" i="82"/>
  <c r="BP295" i="82"/>
  <c r="BQ295" i="82"/>
  <c r="BR295" i="82"/>
  <c r="BS295" i="82"/>
  <c r="BT295" i="82"/>
  <c r="BU295" i="82"/>
  <c r="BV295" i="82"/>
  <c r="BW295" i="82"/>
  <c r="BX295" i="82"/>
  <c r="BY295" i="82"/>
  <c r="BZ295" i="82"/>
  <c r="CA295" i="82"/>
  <c r="CB295" i="82"/>
  <c r="CC295" i="82"/>
  <c r="CD295" i="82"/>
  <c r="CE295" i="82"/>
  <c r="CF295" i="82"/>
  <c r="CG295" i="82"/>
  <c r="CH295" i="82"/>
  <c r="CI295" i="82"/>
  <c r="CJ295" i="82"/>
  <c r="CK295" i="82"/>
  <c r="CL295" i="82"/>
  <c r="CN295" i="82"/>
  <c r="CO295" i="82"/>
  <c r="CP295" i="82"/>
  <c r="CQ295" i="82"/>
  <c r="CR295" i="82"/>
  <c r="CS295" i="82"/>
  <c r="CT295" i="82"/>
  <c r="CU295" i="82"/>
  <c r="CV295" i="82"/>
  <c r="CW295" i="82"/>
  <c r="CX295" i="82"/>
  <c r="CY295" i="82"/>
  <c r="D295" i="82"/>
  <c r="E35" i="88"/>
  <c r="E32" i="88"/>
  <c r="E29" i="88"/>
  <c r="N23" i="88"/>
  <c r="E232" i="84"/>
  <c r="F232" i="84"/>
  <c r="G232" i="84"/>
  <c r="H232" i="84"/>
  <c r="I232" i="84"/>
  <c r="D232" i="84"/>
  <c r="J232" i="84"/>
  <c r="K232" i="84"/>
  <c r="L232" i="84"/>
  <c r="M232" i="84"/>
  <c r="N232" i="84"/>
  <c r="O232" i="84"/>
  <c r="P232" i="84"/>
  <c r="Q232" i="84"/>
  <c r="R232" i="84"/>
  <c r="S232" i="84"/>
  <c r="T232" i="84"/>
  <c r="U232" i="84"/>
  <c r="V232" i="84"/>
  <c r="W232" i="84"/>
  <c r="X232" i="84"/>
  <c r="Y232" i="84"/>
  <c r="Z232" i="84"/>
  <c r="AA232" i="84"/>
  <c r="AB232" i="84"/>
  <c r="AC232" i="84"/>
  <c r="AD232" i="84"/>
  <c r="AE232" i="84"/>
  <c r="AF232" i="84"/>
  <c r="AG232" i="84"/>
  <c r="AH232" i="84"/>
  <c r="AI232" i="84"/>
  <c r="AJ232" i="84"/>
  <c r="AK232" i="84"/>
  <c r="AL232" i="84"/>
  <c r="AM232" i="84"/>
  <c r="AN232" i="84"/>
  <c r="AO232" i="84"/>
  <c r="AP232" i="84"/>
  <c r="AQ232" i="84"/>
  <c r="AR232" i="84"/>
  <c r="AS232" i="84"/>
  <c r="AT232" i="84"/>
  <c r="AU232" i="84"/>
  <c r="AV232" i="84"/>
  <c r="AW232" i="84"/>
  <c r="AX232" i="84"/>
  <c r="AY232" i="84"/>
  <c r="AZ232" i="84"/>
  <c r="BA232" i="84"/>
  <c r="BB232" i="84"/>
  <c r="BC232" i="84"/>
  <c r="BD232" i="84"/>
  <c r="BE232" i="84"/>
  <c r="BF232" i="84"/>
  <c r="BG232" i="84"/>
  <c r="BH232" i="84"/>
  <c r="BI232" i="84"/>
  <c r="BJ232" i="84"/>
  <c r="BK232" i="84"/>
  <c r="BL232" i="84"/>
  <c r="BM232" i="84"/>
  <c r="BN232" i="84"/>
  <c r="BO232" i="84"/>
  <c r="BP232" i="84"/>
  <c r="BQ232" i="84"/>
  <c r="BR232" i="84"/>
  <c r="BS232" i="84"/>
  <c r="BT232" i="84"/>
  <c r="BU232" i="84"/>
  <c r="BV232" i="84"/>
  <c r="BW232" i="84"/>
  <c r="BX232" i="84"/>
  <c r="BY232" i="84"/>
  <c r="BZ232" i="84"/>
  <c r="CA232" i="84"/>
  <c r="CB232" i="84"/>
  <c r="CC232" i="84"/>
  <c r="CD232" i="84"/>
  <c r="CE232" i="84"/>
  <c r="CF232" i="84"/>
  <c r="CG232" i="84"/>
  <c r="CH232" i="84"/>
  <c r="CI232" i="84"/>
  <c r="CJ232" i="84"/>
  <c r="CK232" i="84"/>
  <c r="CL232" i="84"/>
  <c r="CM232" i="84"/>
  <c r="CN232" i="84"/>
  <c r="CO232" i="84"/>
  <c r="CP232" i="84"/>
  <c r="CQ232" i="84"/>
  <c r="CR232" i="84"/>
  <c r="CS232" i="84"/>
  <c r="CT232" i="84"/>
  <c r="CU232" i="84"/>
  <c r="CV232" i="84"/>
  <c r="CW232" i="84"/>
  <c r="CX232" i="84"/>
  <c r="CY232" i="84"/>
  <c r="J234" i="82"/>
  <c r="L196" i="28"/>
  <c r="L195" i="28"/>
  <c r="F289" i="82"/>
  <c r="G289" i="82"/>
  <c r="H289" i="82"/>
  <c r="I289" i="82"/>
  <c r="J289" i="82"/>
  <c r="K289" i="82"/>
  <c r="L289" i="82"/>
  <c r="M289" i="82"/>
  <c r="N289" i="82"/>
  <c r="O289" i="82"/>
  <c r="P289" i="82"/>
  <c r="Q289" i="82"/>
  <c r="R289" i="82"/>
  <c r="S289" i="82"/>
  <c r="T289" i="82"/>
  <c r="U289" i="82"/>
  <c r="V289" i="82"/>
  <c r="W289" i="82"/>
  <c r="X289" i="82"/>
  <c r="Y289" i="82"/>
  <c r="Z289" i="82"/>
  <c r="AA289" i="82"/>
  <c r="AB289" i="82"/>
  <c r="AC289" i="82"/>
  <c r="AD289" i="82"/>
  <c r="AE289" i="82"/>
  <c r="AF289" i="82"/>
  <c r="AG289" i="82"/>
  <c r="AH289" i="82"/>
  <c r="AI289" i="82"/>
  <c r="AJ289" i="82"/>
  <c r="AK289" i="82"/>
  <c r="AL289" i="82"/>
  <c r="AM289" i="82"/>
  <c r="AN289" i="82"/>
  <c r="AO289" i="82"/>
  <c r="AP289" i="82"/>
  <c r="AQ289" i="82"/>
  <c r="AR289" i="82"/>
  <c r="AS289" i="82"/>
  <c r="AT289" i="82"/>
  <c r="AU289" i="82"/>
  <c r="AV289" i="82"/>
  <c r="AW289" i="82"/>
  <c r="AX289" i="82"/>
  <c r="AY289" i="82"/>
  <c r="AZ289" i="82"/>
  <c r="BA289" i="82"/>
  <c r="BB289" i="82"/>
  <c r="BC289" i="82"/>
  <c r="BD289" i="82"/>
  <c r="BE289" i="82"/>
  <c r="BF289" i="82"/>
  <c r="BG289" i="82"/>
  <c r="BH289" i="82"/>
  <c r="BI289" i="82"/>
  <c r="BJ289" i="82"/>
  <c r="BK289" i="82"/>
  <c r="BL289" i="82"/>
  <c r="BM289" i="82"/>
  <c r="BN289" i="82"/>
  <c r="BO289" i="82"/>
  <c r="BP289" i="82"/>
  <c r="BQ289" i="82"/>
  <c r="BR289" i="82"/>
  <c r="BS289" i="82"/>
  <c r="BT289" i="82"/>
  <c r="BU289" i="82"/>
  <c r="BV289" i="82"/>
  <c r="BW289" i="82"/>
  <c r="BX289" i="82"/>
  <c r="BY289" i="82"/>
  <c r="BZ289" i="82"/>
  <c r="CA289" i="82"/>
  <c r="CB289" i="82"/>
  <c r="CC289" i="82"/>
  <c r="CD289" i="82"/>
  <c r="CE289" i="82"/>
  <c r="CF289" i="82"/>
  <c r="CG289" i="82"/>
  <c r="CH289" i="82"/>
  <c r="CI289" i="82"/>
  <c r="CJ289" i="82"/>
  <c r="CK289" i="82"/>
  <c r="CL289" i="82"/>
  <c r="CN289" i="82"/>
  <c r="CO289" i="82"/>
  <c r="CP289" i="82"/>
  <c r="CQ289" i="82"/>
  <c r="CR289" i="82"/>
  <c r="CS289" i="82"/>
  <c r="CT289" i="82"/>
  <c r="CU289" i="82"/>
  <c r="CV289" i="82"/>
  <c r="CW289" i="82"/>
  <c r="CX289" i="82"/>
  <c r="CY289" i="82"/>
  <c r="F285" i="82"/>
  <c r="G285" i="82"/>
  <c r="H285" i="82"/>
  <c r="I285" i="82"/>
  <c r="J285" i="82"/>
  <c r="K285" i="82"/>
  <c r="L285" i="82"/>
  <c r="M285" i="82"/>
  <c r="N285" i="82"/>
  <c r="O285" i="82"/>
  <c r="P285" i="82"/>
  <c r="Q285" i="82"/>
  <c r="R285" i="82"/>
  <c r="S285" i="82"/>
  <c r="T285" i="82"/>
  <c r="U285" i="82"/>
  <c r="V285" i="82"/>
  <c r="W285" i="82"/>
  <c r="X285" i="82"/>
  <c r="Y285" i="82"/>
  <c r="Z285" i="82"/>
  <c r="AA285" i="82"/>
  <c r="AB285" i="82"/>
  <c r="AC285" i="82"/>
  <c r="AD285" i="82"/>
  <c r="AE285" i="82"/>
  <c r="AF285" i="82"/>
  <c r="AG285" i="82"/>
  <c r="AH285" i="82"/>
  <c r="AI285" i="82"/>
  <c r="AJ285" i="82"/>
  <c r="AK285" i="82"/>
  <c r="AL285" i="82"/>
  <c r="AM285" i="82"/>
  <c r="AN285" i="82"/>
  <c r="AO285" i="82"/>
  <c r="AP285" i="82"/>
  <c r="AQ285" i="82"/>
  <c r="AR285" i="82"/>
  <c r="AS285" i="82"/>
  <c r="AT285" i="82"/>
  <c r="AU285" i="82"/>
  <c r="AV285" i="82"/>
  <c r="AW285" i="82"/>
  <c r="AX285" i="82"/>
  <c r="AY285" i="82"/>
  <c r="AZ285" i="82"/>
  <c r="BA285" i="82"/>
  <c r="BB285" i="82"/>
  <c r="BC285" i="82"/>
  <c r="BD285" i="82"/>
  <c r="BE285" i="82"/>
  <c r="BF285" i="82"/>
  <c r="BG285" i="82"/>
  <c r="BH285" i="82"/>
  <c r="BI285" i="82"/>
  <c r="BJ285" i="82"/>
  <c r="BK285" i="82"/>
  <c r="BL285" i="82"/>
  <c r="BM285" i="82"/>
  <c r="BN285" i="82"/>
  <c r="BO285" i="82"/>
  <c r="BP285" i="82"/>
  <c r="BQ285" i="82"/>
  <c r="BR285" i="82"/>
  <c r="BS285" i="82"/>
  <c r="BT285" i="82"/>
  <c r="BU285" i="82"/>
  <c r="BV285" i="82"/>
  <c r="BW285" i="82"/>
  <c r="BX285" i="82"/>
  <c r="BY285" i="82"/>
  <c r="BZ285" i="82"/>
  <c r="CA285" i="82"/>
  <c r="CB285" i="82"/>
  <c r="CC285" i="82"/>
  <c r="CD285" i="82"/>
  <c r="CE285" i="82"/>
  <c r="CF285" i="82"/>
  <c r="CG285" i="82"/>
  <c r="CH285" i="82"/>
  <c r="CI285" i="82"/>
  <c r="CJ285" i="82"/>
  <c r="CK285" i="82"/>
  <c r="CL285" i="82"/>
  <c r="CN285" i="82"/>
  <c r="CO285" i="82"/>
  <c r="CP285" i="82"/>
  <c r="CQ285" i="82"/>
  <c r="CR285" i="82"/>
  <c r="CS285" i="82"/>
  <c r="CT285" i="82"/>
  <c r="CU285" i="82"/>
  <c r="CV285" i="82"/>
  <c r="CW285" i="82"/>
  <c r="CX285" i="82"/>
  <c r="CY285" i="82"/>
  <c r="F277" i="82"/>
  <c r="G277" i="82"/>
  <c r="G278" i="82" s="1"/>
  <c r="H277" i="82"/>
  <c r="H278" i="82" s="1"/>
  <c r="I277" i="82"/>
  <c r="I278" i="82" s="1"/>
  <c r="J277" i="82"/>
  <c r="K277" i="82"/>
  <c r="L277" i="82"/>
  <c r="M277" i="82"/>
  <c r="N277" i="82"/>
  <c r="N278" i="82" s="1"/>
  <c r="O277" i="82"/>
  <c r="O278" i="82" s="1"/>
  <c r="P277" i="82"/>
  <c r="Q277" i="82"/>
  <c r="R277" i="82"/>
  <c r="S277" i="82"/>
  <c r="S278" i="82" s="1"/>
  <c r="T277" i="82"/>
  <c r="T278" i="82" s="1"/>
  <c r="U277" i="82"/>
  <c r="U278" i="82" s="1"/>
  <c r="V277" i="82"/>
  <c r="W277" i="82"/>
  <c r="X277" i="82"/>
  <c r="Y277" i="82"/>
  <c r="Z277" i="82"/>
  <c r="Z278" i="82" s="1"/>
  <c r="AA277" i="82"/>
  <c r="AA278" i="82" s="1"/>
  <c r="AB277" i="82"/>
  <c r="AC277" i="82"/>
  <c r="AD277" i="82"/>
  <c r="AE277" i="82"/>
  <c r="AE278" i="82" s="1"/>
  <c r="AF277" i="82"/>
  <c r="AF278" i="82" s="1"/>
  <c r="AG277" i="82"/>
  <c r="AG278" i="82" s="1"/>
  <c r="AH277" i="82"/>
  <c r="AI277" i="82"/>
  <c r="AJ277" i="82"/>
  <c r="AK277" i="82"/>
  <c r="AL277" i="82"/>
  <c r="AL278" i="82" s="1"/>
  <c r="AM277" i="82"/>
  <c r="AM278" i="82" s="1"/>
  <c r="AN277" i="82"/>
  <c r="AO277" i="82"/>
  <c r="AP277" i="82"/>
  <c r="AQ277" i="82"/>
  <c r="AQ278" i="82" s="1"/>
  <c r="AR277" i="82"/>
  <c r="AR278" i="82" s="1"/>
  <c r="AS277" i="82"/>
  <c r="AS278" i="82" s="1"/>
  <c r="AT277" i="82"/>
  <c r="AU277" i="82"/>
  <c r="AV277" i="82"/>
  <c r="AW277" i="82"/>
  <c r="AX277" i="82"/>
  <c r="AX278" i="82" s="1"/>
  <c r="AY277" i="82"/>
  <c r="AY278" i="82" s="1"/>
  <c r="AZ277" i="82"/>
  <c r="BA277" i="82"/>
  <c r="BB277" i="82"/>
  <c r="BC277" i="82"/>
  <c r="BC278" i="82" s="1"/>
  <c r="BD277" i="82"/>
  <c r="BD278" i="82" s="1"/>
  <c r="BE277" i="82"/>
  <c r="BE278" i="82" s="1"/>
  <c r="BF277" i="82"/>
  <c r="BG277" i="82"/>
  <c r="BH277" i="82"/>
  <c r="BI277" i="82"/>
  <c r="BJ277" i="82"/>
  <c r="BJ278" i="82" s="1"/>
  <c r="BK277" i="82"/>
  <c r="BK278" i="82" s="1"/>
  <c r="BL277" i="82"/>
  <c r="BM277" i="82"/>
  <c r="BN277" i="82"/>
  <c r="BO277" i="82"/>
  <c r="BO278" i="82" s="1"/>
  <c r="BP277" i="82"/>
  <c r="BP278" i="82" s="1"/>
  <c r="BQ277" i="82"/>
  <c r="BQ278" i="82" s="1"/>
  <c r="BR277" i="82"/>
  <c r="BS277" i="82"/>
  <c r="BT277" i="82"/>
  <c r="BU277" i="82"/>
  <c r="BV277" i="82"/>
  <c r="BV278" i="82" s="1"/>
  <c r="BW277" i="82"/>
  <c r="BW278" i="82" s="1"/>
  <c r="BX277" i="82"/>
  <c r="BY277" i="82"/>
  <c r="BZ277" i="82"/>
  <c r="CA277" i="82"/>
  <c r="CA278" i="82" s="1"/>
  <c r="CB277" i="82"/>
  <c r="CB278" i="82" s="1"/>
  <c r="CC277" i="82"/>
  <c r="CC278" i="82" s="1"/>
  <c r="CD277" i="82"/>
  <c r="CE277" i="82"/>
  <c r="CF277" i="82"/>
  <c r="CG277" i="82"/>
  <c r="CH277" i="82"/>
  <c r="CH278" i="82" s="1"/>
  <c r="CI277" i="82"/>
  <c r="CI278" i="82" s="1"/>
  <c r="CJ277" i="82"/>
  <c r="CK277" i="82"/>
  <c r="CL277" i="82"/>
  <c r="CN277" i="82"/>
  <c r="CN278" i="82" s="1"/>
  <c r="CO277" i="82"/>
  <c r="CO278" i="82" s="1"/>
  <c r="CP277" i="82"/>
  <c r="CQ277" i="82"/>
  <c r="CR277" i="82"/>
  <c r="CS277" i="82"/>
  <c r="CT277" i="82"/>
  <c r="CT278" i="82" s="1"/>
  <c r="CU277" i="82"/>
  <c r="CU278" i="82" s="1"/>
  <c r="CV277" i="82"/>
  <c r="CW277" i="82"/>
  <c r="CX277" i="82"/>
  <c r="CY277" i="82"/>
  <c r="CY278" i="82" s="1"/>
  <c r="F278" i="82"/>
  <c r="J278" i="82"/>
  <c r="K278" i="82"/>
  <c r="L278" i="82"/>
  <c r="M278" i="82"/>
  <c r="P278" i="82"/>
  <c r="Q278" i="82"/>
  <c r="R278" i="82"/>
  <c r="V278" i="82"/>
  <c r="W278" i="82"/>
  <c r="X278" i="82"/>
  <c r="Y278" i="82"/>
  <c r="AB278" i="82"/>
  <c r="AC278" i="82"/>
  <c r="AD278" i="82"/>
  <c r="AH278" i="82"/>
  <c r="AI278" i="82"/>
  <c r="AJ278" i="82"/>
  <c r="AK278" i="82"/>
  <c r="AN278" i="82"/>
  <c r="AO278" i="82"/>
  <c r="AP278" i="82"/>
  <c r="AT278" i="82"/>
  <c r="AU278" i="82"/>
  <c r="AV278" i="82"/>
  <c r="AW278" i="82"/>
  <c r="AZ278" i="82"/>
  <c r="BA278" i="82"/>
  <c r="BB278" i="82"/>
  <c r="BF278" i="82"/>
  <c r="BG278" i="82"/>
  <c r="BH278" i="82"/>
  <c r="BI278" i="82"/>
  <c r="BL278" i="82"/>
  <c r="BM278" i="82"/>
  <c r="BN278" i="82"/>
  <c r="BR278" i="82"/>
  <c r="BS278" i="82"/>
  <c r="BT278" i="82"/>
  <c r="BU278" i="82"/>
  <c r="BX278" i="82"/>
  <c r="BY278" i="82"/>
  <c r="BZ278" i="82"/>
  <c r="CD278" i="82"/>
  <c r="CE278" i="82"/>
  <c r="CF278" i="82"/>
  <c r="CG278" i="82"/>
  <c r="CJ278" i="82"/>
  <c r="CK278" i="82"/>
  <c r="CL278" i="82"/>
  <c r="CP278" i="82"/>
  <c r="CQ278" i="82"/>
  <c r="CR278" i="82"/>
  <c r="CS278" i="82"/>
  <c r="CV278" i="82"/>
  <c r="CW278" i="82"/>
  <c r="CX278" i="82"/>
  <c r="B281" i="82"/>
  <c r="C281" i="82"/>
  <c r="D281" i="82"/>
  <c r="E281" i="82"/>
  <c r="F281" i="82"/>
  <c r="G281" i="82"/>
  <c r="H281" i="82"/>
  <c r="I281" i="82"/>
  <c r="J281" i="82"/>
  <c r="K281" i="82"/>
  <c r="L281" i="82"/>
  <c r="M281" i="82"/>
  <c r="N281" i="82"/>
  <c r="O281" i="82"/>
  <c r="P281" i="82"/>
  <c r="Q281" i="82"/>
  <c r="R281" i="82"/>
  <c r="S281" i="82"/>
  <c r="T281" i="82"/>
  <c r="U281" i="82"/>
  <c r="V281" i="82"/>
  <c r="W281" i="82"/>
  <c r="X281" i="82"/>
  <c r="Y281" i="82"/>
  <c r="Z281" i="82"/>
  <c r="AA281" i="82"/>
  <c r="AB281" i="82"/>
  <c r="AC281" i="82"/>
  <c r="AD281" i="82"/>
  <c r="AE281" i="82"/>
  <c r="AF281" i="82"/>
  <c r="AG281" i="82"/>
  <c r="AH281" i="82"/>
  <c r="AI281" i="82"/>
  <c r="AJ281" i="82"/>
  <c r="AK281" i="82"/>
  <c r="AL281" i="82"/>
  <c r="AM281" i="82"/>
  <c r="AN281" i="82"/>
  <c r="AO281" i="82"/>
  <c r="AP281" i="82"/>
  <c r="AQ281" i="82"/>
  <c r="AR281" i="82"/>
  <c r="AS281" i="82"/>
  <c r="AT281" i="82"/>
  <c r="AU281" i="82"/>
  <c r="AV281" i="82"/>
  <c r="AW281" i="82"/>
  <c r="AX281" i="82"/>
  <c r="AY281" i="82"/>
  <c r="AZ281" i="82"/>
  <c r="BA281" i="82"/>
  <c r="BB281" i="82"/>
  <c r="BC281" i="82"/>
  <c r="BD281" i="82"/>
  <c r="BE281" i="82"/>
  <c r="BF281" i="82"/>
  <c r="BG281" i="82"/>
  <c r="BH281" i="82"/>
  <c r="BI281" i="82"/>
  <c r="BJ281" i="82"/>
  <c r="BK281" i="82"/>
  <c r="BL281" i="82"/>
  <c r="BM281" i="82"/>
  <c r="BN281" i="82"/>
  <c r="BO281" i="82"/>
  <c r="BP281" i="82"/>
  <c r="BQ281" i="82"/>
  <c r="BR281" i="82"/>
  <c r="BS281" i="82"/>
  <c r="BT281" i="82"/>
  <c r="BU281" i="82"/>
  <c r="BV281" i="82"/>
  <c r="BW281" i="82"/>
  <c r="BX281" i="82"/>
  <c r="BY281" i="82"/>
  <c r="BZ281" i="82"/>
  <c r="CA281" i="82"/>
  <c r="CB281" i="82"/>
  <c r="CC281" i="82"/>
  <c r="CD281" i="82"/>
  <c r="CE281" i="82"/>
  <c r="CF281" i="82"/>
  <c r="CG281" i="82"/>
  <c r="CH281" i="82"/>
  <c r="CI281" i="82"/>
  <c r="CJ281" i="82"/>
  <c r="CK281" i="82"/>
  <c r="CL281" i="82"/>
  <c r="CM281" i="82"/>
  <c r="CN281" i="82"/>
  <c r="CO281" i="82"/>
  <c r="CP281" i="82"/>
  <c r="CQ281" i="82"/>
  <c r="CR281" i="82"/>
  <c r="CS281" i="82"/>
  <c r="CT281" i="82"/>
  <c r="CU281" i="82"/>
  <c r="CV281" i="82"/>
  <c r="CW281" i="82"/>
  <c r="CX281" i="82"/>
  <c r="CY281" i="82"/>
  <c r="B282" i="82"/>
  <c r="C282" i="82"/>
  <c r="D282" i="82"/>
  <c r="E282" i="82"/>
  <c r="F282" i="82"/>
  <c r="G282" i="82"/>
  <c r="H282" i="82"/>
  <c r="I282" i="82"/>
  <c r="J282" i="82"/>
  <c r="K282" i="82"/>
  <c r="L282" i="82"/>
  <c r="M282" i="82"/>
  <c r="N282" i="82"/>
  <c r="O282" i="82"/>
  <c r="P282" i="82"/>
  <c r="Q282" i="82"/>
  <c r="R282" i="82"/>
  <c r="S282" i="82"/>
  <c r="T282" i="82"/>
  <c r="U282" i="82"/>
  <c r="V282" i="82"/>
  <c r="W282" i="82"/>
  <c r="X282" i="82"/>
  <c r="Y282" i="82"/>
  <c r="Z282" i="82"/>
  <c r="AA282" i="82"/>
  <c r="AB282" i="82"/>
  <c r="AC282" i="82"/>
  <c r="AD282" i="82"/>
  <c r="AE282" i="82"/>
  <c r="AF282" i="82"/>
  <c r="AG282" i="82"/>
  <c r="AH282" i="82"/>
  <c r="AI282" i="82"/>
  <c r="AJ282" i="82"/>
  <c r="AK282" i="82"/>
  <c r="AL282" i="82"/>
  <c r="AM282" i="82"/>
  <c r="AN282" i="82"/>
  <c r="AO282" i="82"/>
  <c r="AP282" i="82"/>
  <c r="AQ282" i="82"/>
  <c r="AR282" i="82"/>
  <c r="AS282" i="82"/>
  <c r="AT282" i="82"/>
  <c r="AU282" i="82"/>
  <c r="AV282" i="82"/>
  <c r="AW282" i="82"/>
  <c r="AX282" i="82"/>
  <c r="AY282" i="82"/>
  <c r="AZ282" i="82"/>
  <c r="BA282" i="82"/>
  <c r="BB282" i="82"/>
  <c r="BC282" i="82"/>
  <c r="BD282" i="82"/>
  <c r="BE282" i="82"/>
  <c r="BF282" i="82"/>
  <c r="BG282" i="82"/>
  <c r="BH282" i="82"/>
  <c r="BI282" i="82"/>
  <c r="BJ282" i="82"/>
  <c r="BK282" i="82"/>
  <c r="BL282" i="82"/>
  <c r="BM282" i="82"/>
  <c r="BN282" i="82"/>
  <c r="BO282" i="82"/>
  <c r="BP282" i="82"/>
  <c r="BQ282" i="82"/>
  <c r="BR282" i="82"/>
  <c r="BS282" i="82"/>
  <c r="BT282" i="82"/>
  <c r="BU282" i="82"/>
  <c r="BV282" i="82"/>
  <c r="BW282" i="82"/>
  <c r="BX282" i="82"/>
  <c r="BY282" i="82"/>
  <c r="BZ282" i="82"/>
  <c r="CA282" i="82"/>
  <c r="CB282" i="82"/>
  <c r="CC282" i="82"/>
  <c r="CD282" i="82"/>
  <c r="CE282" i="82"/>
  <c r="CF282" i="82"/>
  <c r="CG282" i="82"/>
  <c r="CH282" i="82"/>
  <c r="CI282" i="82"/>
  <c r="CJ282" i="82"/>
  <c r="CK282" i="82"/>
  <c r="CL282" i="82"/>
  <c r="CM282" i="82"/>
  <c r="CN282" i="82"/>
  <c r="CO282" i="82"/>
  <c r="CP282" i="82"/>
  <c r="CQ282" i="82"/>
  <c r="CR282" i="82"/>
  <c r="CS282" i="82"/>
  <c r="CT282" i="82"/>
  <c r="CU282" i="82"/>
  <c r="CV282" i="82"/>
  <c r="CW282" i="82"/>
  <c r="CX282" i="82"/>
  <c r="CY282" i="82"/>
  <c r="B283" i="82"/>
  <c r="C283" i="82"/>
  <c r="D283" i="82"/>
  <c r="E283" i="82"/>
  <c r="F283" i="82"/>
  <c r="G283" i="82"/>
  <c r="H283" i="82"/>
  <c r="I283" i="82"/>
  <c r="J283" i="82"/>
  <c r="K283" i="82"/>
  <c r="L283" i="82"/>
  <c r="M283" i="82"/>
  <c r="N283" i="82"/>
  <c r="O283" i="82"/>
  <c r="P283" i="82"/>
  <c r="Q283" i="82"/>
  <c r="R283" i="82"/>
  <c r="S283" i="82"/>
  <c r="T283" i="82"/>
  <c r="U283" i="82"/>
  <c r="V283" i="82"/>
  <c r="W283" i="82"/>
  <c r="X283" i="82"/>
  <c r="Y283" i="82"/>
  <c r="Z283" i="82"/>
  <c r="AA283" i="82"/>
  <c r="AB283" i="82"/>
  <c r="AC283" i="82"/>
  <c r="AD283" i="82"/>
  <c r="AE283" i="82"/>
  <c r="AF283" i="82"/>
  <c r="AG283" i="82"/>
  <c r="AH283" i="82"/>
  <c r="AI283" i="82"/>
  <c r="AJ283" i="82"/>
  <c r="AK283" i="82"/>
  <c r="AL283" i="82"/>
  <c r="AM283" i="82"/>
  <c r="AN283" i="82"/>
  <c r="AO283" i="82"/>
  <c r="AP283" i="82"/>
  <c r="AQ283" i="82"/>
  <c r="AR283" i="82"/>
  <c r="AS283" i="82"/>
  <c r="AT283" i="82"/>
  <c r="AU283" i="82"/>
  <c r="AV283" i="82"/>
  <c r="AW283" i="82"/>
  <c r="AX283" i="82"/>
  <c r="AY283" i="82"/>
  <c r="AZ283" i="82"/>
  <c r="BA283" i="82"/>
  <c r="BB283" i="82"/>
  <c r="BC283" i="82"/>
  <c r="BD283" i="82"/>
  <c r="BE283" i="82"/>
  <c r="BF283" i="82"/>
  <c r="BG283" i="82"/>
  <c r="BH283" i="82"/>
  <c r="BI283" i="82"/>
  <c r="BJ283" i="82"/>
  <c r="BK283" i="82"/>
  <c r="BL283" i="82"/>
  <c r="BM283" i="82"/>
  <c r="BN283" i="82"/>
  <c r="BO283" i="82"/>
  <c r="BP283" i="82"/>
  <c r="BQ283" i="82"/>
  <c r="BR283" i="82"/>
  <c r="BS283" i="82"/>
  <c r="BT283" i="82"/>
  <c r="BU283" i="82"/>
  <c r="BV283" i="82"/>
  <c r="BW283" i="82"/>
  <c r="BX283" i="82"/>
  <c r="BY283" i="82"/>
  <c r="BZ283" i="82"/>
  <c r="CA283" i="82"/>
  <c r="CB283" i="82"/>
  <c r="CC283" i="82"/>
  <c r="CD283" i="82"/>
  <c r="CE283" i="82"/>
  <c r="CF283" i="82"/>
  <c r="CG283" i="82"/>
  <c r="CH283" i="82"/>
  <c r="CI283" i="82"/>
  <c r="CJ283" i="82"/>
  <c r="CK283" i="82"/>
  <c r="CL283" i="82"/>
  <c r="CM283" i="82"/>
  <c r="CN283" i="82"/>
  <c r="CO283" i="82"/>
  <c r="CP283" i="82"/>
  <c r="CQ283" i="82"/>
  <c r="CR283" i="82"/>
  <c r="CS283" i="82"/>
  <c r="CT283" i="82"/>
  <c r="CU283" i="82"/>
  <c r="CV283" i="82"/>
  <c r="CW283" i="82"/>
  <c r="CX283" i="82"/>
  <c r="CY283" i="82"/>
  <c r="A282" i="82"/>
  <c r="A283" i="82"/>
  <c r="A281" i="82"/>
  <c r="CY238" i="82"/>
  <c r="CY239" i="82"/>
  <c r="CY240" i="82"/>
  <c r="CY241" i="82"/>
  <c r="CY242" i="82"/>
  <c r="CY243" i="82"/>
  <c r="CY244" i="82"/>
  <c r="CY245" i="82"/>
  <c r="CY246" i="82"/>
  <c r="CY247" i="82"/>
  <c r="CY248" i="82"/>
  <c r="CY249" i="82"/>
  <c r="CY250" i="82"/>
  <c r="CY251" i="82"/>
  <c r="CY252" i="82"/>
  <c r="CY253" i="82"/>
  <c r="CY254" i="82"/>
  <c r="CY255" i="82"/>
  <c r="CY256" i="82"/>
  <c r="CY257" i="82"/>
  <c r="CY258" i="82"/>
  <c r="CY259" i="82"/>
  <c r="CY260" i="82"/>
  <c r="CY261" i="82"/>
  <c r="CY262" i="82"/>
  <c r="CY263" i="82"/>
  <c r="CY264" i="82"/>
  <c r="CY265" i="82"/>
  <c r="CY266" i="82"/>
  <c r="CY267" i="82"/>
  <c r="CY268" i="82"/>
  <c r="CY269" i="82"/>
  <c r="CY270" i="82"/>
  <c r="CY271" i="82"/>
  <c r="CY272" i="82"/>
  <c r="CY273" i="82"/>
  <c r="CY274" i="82"/>
  <c r="CY275" i="82"/>
  <c r="CY276" i="82"/>
  <c r="B238" i="82"/>
  <c r="D238" i="82"/>
  <c r="E238" i="82"/>
  <c r="F238" i="82"/>
  <c r="G238" i="82"/>
  <c r="H238" i="82"/>
  <c r="I238" i="82"/>
  <c r="J238" i="82"/>
  <c r="K238" i="82"/>
  <c r="L238" i="82"/>
  <c r="M238" i="82"/>
  <c r="N238" i="82"/>
  <c r="O238" i="82"/>
  <c r="P238" i="82"/>
  <c r="Q238" i="82"/>
  <c r="R238" i="82"/>
  <c r="S238" i="82"/>
  <c r="T238" i="82"/>
  <c r="U238" i="82"/>
  <c r="V238" i="82"/>
  <c r="W238" i="82"/>
  <c r="X238" i="82"/>
  <c r="Y238" i="82"/>
  <c r="Z238" i="82"/>
  <c r="AA238" i="82"/>
  <c r="AB238" i="82"/>
  <c r="AC238" i="82"/>
  <c r="AD238" i="82"/>
  <c r="AE238" i="82"/>
  <c r="AF238" i="82"/>
  <c r="AG238" i="82"/>
  <c r="AH238" i="82"/>
  <c r="AI238" i="82"/>
  <c r="AJ238" i="82"/>
  <c r="AK238" i="82"/>
  <c r="AL238" i="82"/>
  <c r="AM238" i="82"/>
  <c r="AN238" i="82"/>
  <c r="AO238" i="82"/>
  <c r="AP238" i="82"/>
  <c r="AQ238" i="82"/>
  <c r="AR238" i="82"/>
  <c r="AS238" i="82"/>
  <c r="AT238" i="82"/>
  <c r="AU238" i="82"/>
  <c r="AV238" i="82"/>
  <c r="AW238" i="82"/>
  <c r="AX238" i="82"/>
  <c r="AY238" i="82"/>
  <c r="AZ238" i="82"/>
  <c r="BA238" i="82"/>
  <c r="BB238" i="82"/>
  <c r="BC238" i="82"/>
  <c r="BD238" i="82"/>
  <c r="BE238" i="82"/>
  <c r="BF238" i="82"/>
  <c r="BG238" i="82"/>
  <c r="BH238" i="82"/>
  <c r="BI238" i="82"/>
  <c r="BJ238" i="82"/>
  <c r="BK238" i="82"/>
  <c r="BL238" i="82"/>
  <c r="BM238" i="82"/>
  <c r="BN238" i="82"/>
  <c r="BO238" i="82"/>
  <c r="BP238" i="82"/>
  <c r="BQ238" i="82"/>
  <c r="BR238" i="82"/>
  <c r="BS238" i="82"/>
  <c r="BT238" i="82"/>
  <c r="BU238" i="82"/>
  <c r="BV238" i="82"/>
  <c r="BW238" i="82"/>
  <c r="BX238" i="82"/>
  <c r="BY238" i="82"/>
  <c r="BZ238" i="82"/>
  <c r="CA238" i="82"/>
  <c r="CB238" i="82"/>
  <c r="CC238" i="82"/>
  <c r="CD238" i="82"/>
  <c r="CE238" i="82"/>
  <c r="CF238" i="82"/>
  <c r="CG238" i="82"/>
  <c r="CH238" i="82"/>
  <c r="CI238" i="82"/>
  <c r="CJ238" i="82"/>
  <c r="CK238" i="82"/>
  <c r="CL238" i="82"/>
  <c r="CM238" i="82"/>
  <c r="CN238" i="82"/>
  <c r="CO238" i="82"/>
  <c r="CP238" i="82"/>
  <c r="CQ238" i="82"/>
  <c r="CR238" i="82"/>
  <c r="CS238" i="82"/>
  <c r="CT238" i="82"/>
  <c r="CU238" i="82"/>
  <c r="CV238" i="82"/>
  <c r="CW238" i="82"/>
  <c r="CX238" i="82"/>
  <c r="B239" i="82"/>
  <c r="D239" i="82"/>
  <c r="E239" i="82"/>
  <c r="F239" i="82"/>
  <c r="G239" i="82"/>
  <c r="H239" i="82"/>
  <c r="I239" i="82"/>
  <c r="J239" i="82"/>
  <c r="K239" i="82"/>
  <c r="L239" i="82"/>
  <c r="M239" i="82"/>
  <c r="N239" i="82"/>
  <c r="O239" i="82"/>
  <c r="P239" i="82"/>
  <c r="Q239" i="82"/>
  <c r="R239" i="82"/>
  <c r="S239" i="82"/>
  <c r="T239" i="82"/>
  <c r="U239" i="82"/>
  <c r="V239" i="82"/>
  <c r="W239" i="82"/>
  <c r="X239" i="82"/>
  <c r="Y239" i="82"/>
  <c r="Z239" i="82"/>
  <c r="AA239" i="82"/>
  <c r="AB239" i="82"/>
  <c r="AC239" i="82"/>
  <c r="AD239" i="82"/>
  <c r="AE239" i="82"/>
  <c r="AF239" i="82"/>
  <c r="AG239" i="82"/>
  <c r="AH239" i="82"/>
  <c r="AI239" i="82"/>
  <c r="AJ239" i="82"/>
  <c r="AK239" i="82"/>
  <c r="AL239" i="82"/>
  <c r="AM239" i="82"/>
  <c r="AN239" i="82"/>
  <c r="AO239" i="82"/>
  <c r="AP239" i="82"/>
  <c r="AQ239" i="82"/>
  <c r="AR239" i="82"/>
  <c r="AS239" i="82"/>
  <c r="AT239" i="82"/>
  <c r="AU239" i="82"/>
  <c r="AV239" i="82"/>
  <c r="AW239" i="82"/>
  <c r="AX239" i="82"/>
  <c r="AY239" i="82"/>
  <c r="AZ239" i="82"/>
  <c r="BA239" i="82"/>
  <c r="BB239" i="82"/>
  <c r="BC239" i="82"/>
  <c r="BD239" i="82"/>
  <c r="BE239" i="82"/>
  <c r="BF239" i="82"/>
  <c r="BG239" i="82"/>
  <c r="BH239" i="82"/>
  <c r="BI239" i="82"/>
  <c r="BJ239" i="82"/>
  <c r="BK239" i="82"/>
  <c r="BL239" i="82"/>
  <c r="BM239" i="82"/>
  <c r="BN239" i="82"/>
  <c r="BO239" i="82"/>
  <c r="BP239" i="82"/>
  <c r="BQ239" i="82"/>
  <c r="BR239" i="82"/>
  <c r="BS239" i="82"/>
  <c r="BT239" i="82"/>
  <c r="BU239" i="82"/>
  <c r="BV239" i="82"/>
  <c r="BW239" i="82"/>
  <c r="BX239" i="82"/>
  <c r="BY239" i="82"/>
  <c r="BZ239" i="82"/>
  <c r="CA239" i="82"/>
  <c r="CB239" i="82"/>
  <c r="CC239" i="82"/>
  <c r="CD239" i="82"/>
  <c r="CE239" i="82"/>
  <c r="CF239" i="82"/>
  <c r="CG239" i="82"/>
  <c r="CH239" i="82"/>
  <c r="CI239" i="82"/>
  <c r="CJ239" i="82"/>
  <c r="CK239" i="82"/>
  <c r="CL239" i="82"/>
  <c r="CM239" i="82"/>
  <c r="CN239" i="82"/>
  <c r="CO239" i="82"/>
  <c r="CP239" i="82"/>
  <c r="CQ239" i="82"/>
  <c r="CR239" i="82"/>
  <c r="CS239" i="82"/>
  <c r="CT239" i="82"/>
  <c r="CU239" i="82"/>
  <c r="CV239" i="82"/>
  <c r="CW239" i="82"/>
  <c r="CX239" i="82"/>
  <c r="B240" i="82"/>
  <c r="D240" i="82"/>
  <c r="D277" i="82" s="1"/>
  <c r="D278" i="82" s="1"/>
  <c r="D285" i="82" s="1"/>
  <c r="D289" i="82" s="1"/>
  <c r="E240" i="82"/>
  <c r="F240" i="82"/>
  <c r="G240" i="82"/>
  <c r="H240" i="82"/>
  <c r="I240" i="82"/>
  <c r="J240" i="82"/>
  <c r="K240" i="82"/>
  <c r="L240" i="82"/>
  <c r="M240" i="82"/>
  <c r="N240" i="82"/>
  <c r="O240" i="82"/>
  <c r="P240" i="82"/>
  <c r="Q240" i="82"/>
  <c r="R240" i="82"/>
  <c r="S240" i="82"/>
  <c r="T240" i="82"/>
  <c r="U240" i="82"/>
  <c r="V240" i="82"/>
  <c r="W240" i="82"/>
  <c r="X240" i="82"/>
  <c r="Y240" i="82"/>
  <c r="Z240" i="82"/>
  <c r="AA240" i="82"/>
  <c r="AB240" i="82"/>
  <c r="AC240" i="82"/>
  <c r="AD240" i="82"/>
  <c r="AE240" i="82"/>
  <c r="AF240" i="82"/>
  <c r="AG240" i="82"/>
  <c r="AH240" i="82"/>
  <c r="AI240" i="82"/>
  <c r="AJ240" i="82"/>
  <c r="AK240" i="82"/>
  <c r="AL240" i="82"/>
  <c r="AM240" i="82"/>
  <c r="AN240" i="82"/>
  <c r="AO240" i="82"/>
  <c r="AP240" i="82"/>
  <c r="AQ240" i="82"/>
  <c r="AR240" i="82"/>
  <c r="AS240" i="82"/>
  <c r="AT240" i="82"/>
  <c r="AU240" i="82"/>
  <c r="AV240" i="82"/>
  <c r="AW240" i="82"/>
  <c r="AX240" i="82"/>
  <c r="AY240" i="82"/>
  <c r="AZ240" i="82"/>
  <c r="BA240" i="82"/>
  <c r="BB240" i="82"/>
  <c r="BC240" i="82"/>
  <c r="BD240" i="82"/>
  <c r="BE240" i="82"/>
  <c r="BF240" i="82"/>
  <c r="BG240" i="82"/>
  <c r="BH240" i="82"/>
  <c r="BI240" i="82"/>
  <c r="BJ240" i="82"/>
  <c r="BK240" i="82"/>
  <c r="BL240" i="82"/>
  <c r="BM240" i="82"/>
  <c r="BN240" i="82"/>
  <c r="BO240" i="82"/>
  <c r="BP240" i="82"/>
  <c r="BQ240" i="82"/>
  <c r="BR240" i="82"/>
  <c r="BS240" i="82"/>
  <c r="BT240" i="82"/>
  <c r="BU240" i="82"/>
  <c r="BV240" i="82"/>
  <c r="BW240" i="82"/>
  <c r="BX240" i="82"/>
  <c r="BY240" i="82"/>
  <c r="BZ240" i="82"/>
  <c r="CA240" i="82"/>
  <c r="CB240" i="82"/>
  <c r="CC240" i="82"/>
  <c r="CD240" i="82"/>
  <c r="CE240" i="82"/>
  <c r="CF240" i="82"/>
  <c r="CG240" i="82"/>
  <c r="CH240" i="82"/>
  <c r="CI240" i="82"/>
  <c r="CJ240" i="82"/>
  <c r="CK240" i="82"/>
  <c r="CL240" i="82"/>
  <c r="CM240" i="82"/>
  <c r="CN240" i="82"/>
  <c r="CO240" i="82"/>
  <c r="CP240" i="82"/>
  <c r="CQ240" i="82"/>
  <c r="CR240" i="82"/>
  <c r="CS240" i="82"/>
  <c r="CT240" i="82"/>
  <c r="CU240" i="82"/>
  <c r="CV240" i="82"/>
  <c r="CW240" i="82"/>
  <c r="CX240" i="82"/>
  <c r="B241" i="82"/>
  <c r="D241" i="82"/>
  <c r="E241" i="82"/>
  <c r="F241" i="82"/>
  <c r="G241" i="82"/>
  <c r="H241" i="82"/>
  <c r="I241" i="82"/>
  <c r="J241" i="82"/>
  <c r="K241" i="82"/>
  <c r="L241" i="82"/>
  <c r="M241" i="82"/>
  <c r="N241" i="82"/>
  <c r="O241" i="82"/>
  <c r="P241" i="82"/>
  <c r="Q241" i="82"/>
  <c r="R241" i="82"/>
  <c r="S241" i="82"/>
  <c r="T241" i="82"/>
  <c r="U241" i="82"/>
  <c r="V241" i="82"/>
  <c r="W241" i="82"/>
  <c r="X241" i="82"/>
  <c r="Y241" i="82"/>
  <c r="Z241" i="82"/>
  <c r="AA241" i="82"/>
  <c r="AB241" i="82"/>
  <c r="AC241" i="82"/>
  <c r="AD241" i="82"/>
  <c r="AE241" i="82"/>
  <c r="AF241" i="82"/>
  <c r="AG241" i="82"/>
  <c r="AH241" i="82"/>
  <c r="AI241" i="82"/>
  <c r="AJ241" i="82"/>
  <c r="AK241" i="82"/>
  <c r="AL241" i="82"/>
  <c r="AM241" i="82"/>
  <c r="AN241" i="82"/>
  <c r="AO241" i="82"/>
  <c r="AP241" i="82"/>
  <c r="AQ241" i="82"/>
  <c r="AR241" i="82"/>
  <c r="AS241" i="82"/>
  <c r="AT241" i="82"/>
  <c r="AU241" i="82"/>
  <c r="AV241" i="82"/>
  <c r="AW241" i="82"/>
  <c r="AX241" i="82"/>
  <c r="AY241" i="82"/>
  <c r="AZ241" i="82"/>
  <c r="BA241" i="82"/>
  <c r="BB241" i="82"/>
  <c r="BC241" i="82"/>
  <c r="BD241" i="82"/>
  <c r="BE241" i="82"/>
  <c r="BF241" i="82"/>
  <c r="BG241" i="82"/>
  <c r="BH241" i="82"/>
  <c r="BI241" i="82"/>
  <c r="BJ241" i="82"/>
  <c r="BK241" i="82"/>
  <c r="BL241" i="82"/>
  <c r="BM241" i="82"/>
  <c r="BN241" i="82"/>
  <c r="BO241" i="82"/>
  <c r="BP241" i="82"/>
  <c r="BQ241" i="82"/>
  <c r="BR241" i="82"/>
  <c r="BS241" i="82"/>
  <c r="BT241" i="82"/>
  <c r="BU241" i="82"/>
  <c r="BV241" i="82"/>
  <c r="BW241" i="82"/>
  <c r="BX241" i="82"/>
  <c r="BY241" i="82"/>
  <c r="BZ241" i="82"/>
  <c r="CA241" i="82"/>
  <c r="CB241" i="82"/>
  <c r="CC241" i="82"/>
  <c r="CD241" i="82"/>
  <c r="CE241" i="82"/>
  <c r="CF241" i="82"/>
  <c r="CG241" i="82"/>
  <c r="CH241" i="82"/>
  <c r="CI241" i="82"/>
  <c r="CJ241" i="82"/>
  <c r="CK241" i="82"/>
  <c r="CL241" i="82"/>
  <c r="CM241" i="82"/>
  <c r="CN241" i="82"/>
  <c r="CO241" i="82"/>
  <c r="CP241" i="82"/>
  <c r="CQ241" i="82"/>
  <c r="CR241" i="82"/>
  <c r="CS241" i="82"/>
  <c r="CT241" i="82"/>
  <c r="CU241" i="82"/>
  <c r="CV241" i="82"/>
  <c r="CW241" i="82"/>
  <c r="CX241" i="82"/>
  <c r="B242" i="82"/>
  <c r="D242" i="82"/>
  <c r="E242" i="82"/>
  <c r="F242" i="82"/>
  <c r="G242" i="82"/>
  <c r="H242" i="82"/>
  <c r="I242" i="82"/>
  <c r="J242" i="82"/>
  <c r="K242" i="82"/>
  <c r="L242" i="82"/>
  <c r="M242" i="82"/>
  <c r="N242" i="82"/>
  <c r="O242" i="82"/>
  <c r="P242" i="82"/>
  <c r="Q242" i="82"/>
  <c r="R242" i="82"/>
  <c r="S242" i="82"/>
  <c r="T242" i="82"/>
  <c r="U242" i="82"/>
  <c r="V242" i="82"/>
  <c r="W242" i="82"/>
  <c r="X242" i="82"/>
  <c r="Y242" i="82"/>
  <c r="Z242" i="82"/>
  <c r="AA242" i="82"/>
  <c r="AB242" i="82"/>
  <c r="AC242" i="82"/>
  <c r="AD242" i="82"/>
  <c r="AE242" i="82"/>
  <c r="AF242" i="82"/>
  <c r="AG242" i="82"/>
  <c r="AH242" i="82"/>
  <c r="AI242" i="82"/>
  <c r="AJ242" i="82"/>
  <c r="AK242" i="82"/>
  <c r="AL242" i="82"/>
  <c r="AM242" i="82"/>
  <c r="AN242" i="82"/>
  <c r="AO242" i="82"/>
  <c r="AP242" i="82"/>
  <c r="AQ242" i="82"/>
  <c r="AR242" i="82"/>
  <c r="AS242" i="82"/>
  <c r="AT242" i="82"/>
  <c r="AU242" i="82"/>
  <c r="AV242" i="82"/>
  <c r="AW242" i="82"/>
  <c r="AX242" i="82"/>
  <c r="AY242" i="82"/>
  <c r="AZ242" i="82"/>
  <c r="BA242" i="82"/>
  <c r="BB242" i="82"/>
  <c r="BC242" i="82"/>
  <c r="BD242" i="82"/>
  <c r="BE242" i="82"/>
  <c r="BF242" i="82"/>
  <c r="BG242" i="82"/>
  <c r="BH242" i="82"/>
  <c r="BI242" i="82"/>
  <c r="BJ242" i="82"/>
  <c r="BK242" i="82"/>
  <c r="BL242" i="82"/>
  <c r="BM242" i="82"/>
  <c r="BN242" i="82"/>
  <c r="BO242" i="82"/>
  <c r="BP242" i="82"/>
  <c r="BQ242" i="82"/>
  <c r="BR242" i="82"/>
  <c r="BS242" i="82"/>
  <c r="BT242" i="82"/>
  <c r="BU242" i="82"/>
  <c r="BV242" i="82"/>
  <c r="BW242" i="82"/>
  <c r="BX242" i="82"/>
  <c r="BY242" i="82"/>
  <c r="BZ242" i="82"/>
  <c r="CA242" i="82"/>
  <c r="CB242" i="82"/>
  <c r="CC242" i="82"/>
  <c r="CD242" i="82"/>
  <c r="CE242" i="82"/>
  <c r="CF242" i="82"/>
  <c r="CG242" i="82"/>
  <c r="CH242" i="82"/>
  <c r="CI242" i="82"/>
  <c r="CJ242" i="82"/>
  <c r="CK242" i="82"/>
  <c r="CL242" i="82"/>
  <c r="CM242" i="82"/>
  <c r="CN242" i="82"/>
  <c r="CO242" i="82"/>
  <c r="CP242" i="82"/>
  <c r="CQ242" i="82"/>
  <c r="CR242" i="82"/>
  <c r="CS242" i="82"/>
  <c r="CT242" i="82"/>
  <c r="CU242" i="82"/>
  <c r="CV242" i="82"/>
  <c r="CW242" i="82"/>
  <c r="CX242" i="82"/>
  <c r="B243" i="82"/>
  <c r="D243" i="82"/>
  <c r="E243" i="82"/>
  <c r="F243" i="82"/>
  <c r="G243" i="82"/>
  <c r="H243" i="82"/>
  <c r="I243" i="82"/>
  <c r="J243" i="82"/>
  <c r="K243" i="82"/>
  <c r="L243" i="82"/>
  <c r="M243" i="82"/>
  <c r="N243" i="82"/>
  <c r="O243" i="82"/>
  <c r="P243" i="82"/>
  <c r="Q243" i="82"/>
  <c r="R243" i="82"/>
  <c r="S243" i="82"/>
  <c r="T243" i="82"/>
  <c r="U243" i="82"/>
  <c r="V243" i="82"/>
  <c r="W243" i="82"/>
  <c r="X243" i="82"/>
  <c r="Y243" i="82"/>
  <c r="Z243" i="82"/>
  <c r="AA243" i="82"/>
  <c r="AB243" i="82"/>
  <c r="AC243" i="82"/>
  <c r="AD243" i="82"/>
  <c r="AE243" i="82"/>
  <c r="AF243" i="82"/>
  <c r="AG243" i="82"/>
  <c r="AH243" i="82"/>
  <c r="AI243" i="82"/>
  <c r="AJ243" i="82"/>
  <c r="AK243" i="82"/>
  <c r="AL243" i="82"/>
  <c r="AM243" i="82"/>
  <c r="AN243" i="82"/>
  <c r="AO243" i="82"/>
  <c r="AP243" i="82"/>
  <c r="AQ243" i="82"/>
  <c r="AR243" i="82"/>
  <c r="AS243" i="82"/>
  <c r="AT243" i="82"/>
  <c r="AU243" i="82"/>
  <c r="AV243" i="82"/>
  <c r="AW243" i="82"/>
  <c r="AX243" i="82"/>
  <c r="AY243" i="82"/>
  <c r="AZ243" i="82"/>
  <c r="BA243" i="82"/>
  <c r="BB243" i="82"/>
  <c r="BC243" i="82"/>
  <c r="BD243" i="82"/>
  <c r="BE243" i="82"/>
  <c r="BF243" i="82"/>
  <c r="BG243" i="82"/>
  <c r="BH243" i="82"/>
  <c r="BI243" i="82"/>
  <c r="BJ243" i="82"/>
  <c r="BK243" i="82"/>
  <c r="BL243" i="82"/>
  <c r="BM243" i="82"/>
  <c r="BN243" i="82"/>
  <c r="BO243" i="82"/>
  <c r="BP243" i="82"/>
  <c r="BQ243" i="82"/>
  <c r="BR243" i="82"/>
  <c r="BS243" i="82"/>
  <c r="BT243" i="82"/>
  <c r="BU243" i="82"/>
  <c r="BV243" i="82"/>
  <c r="BW243" i="82"/>
  <c r="BX243" i="82"/>
  <c r="BY243" i="82"/>
  <c r="BZ243" i="82"/>
  <c r="CA243" i="82"/>
  <c r="CB243" i="82"/>
  <c r="CC243" i="82"/>
  <c r="CD243" i="82"/>
  <c r="CE243" i="82"/>
  <c r="CF243" i="82"/>
  <c r="CG243" i="82"/>
  <c r="CH243" i="82"/>
  <c r="CI243" i="82"/>
  <c r="CJ243" i="82"/>
  <c r="CK243" i="82"/>
  <c r="CL243" i="82"/>
  <c r="CM243" i="82"/>
  <c r="CN243" i="82"/>
  <c r="CO243" i="82"/>
  <c r="CP243" i="82"/>
  <c r="CQ243" i="82"/>
  <c r="CR243" i="82"/>
  <c r="CS243" i="82"/>
  <c r="CT243" i="82"/>
  <c r="CU243" i="82"/>
  <c r="CV243" i="82"/>
  <c r="CW243" i="82"/>
  <c r="CX243" i="82"/>
  <c r="B244" i="82"/>
  <c r="D244" i="82"/>
  <c r="E244" i="82"/>
  <c r="F244" i="82"/>
  <c r="G244" i="82"/>
  <c r="H244" i="82"/>
  <c r="I244" i="82"/>
  <c r="J244" i="82"/>
  <c r="K244" i="82"/>
  <c r="L244" i="82"/>
  <c r="M244" i="82"/>
  <c r="N244" i="82"/>
  <c r="O244" i="82"/>
  <c r="P244" i="82"/>
  <c r="Q244" i="82"/>
  <c r="R244" i="82"/>
  <c r="S244" i="82"/>
  <c r="T244" i="82"/>
  <c r="U244" i="82"/>
  <c r="V244" i="82"/>
  <c r="W244" i="82"/>
  <c r="X244" i="82"/>
  <c r="Y244" i="82"/>
  <c r="Z244" i="82"/>
  <c r="AA244" i="82"/>
  <c r="AB244" i="82"/>
  <c r="AC244" i="82"/>
  <c r="AD244" i="82"/>
  <c r="AE244" i="82"/>
  <c r="AF244" i="82"/>
  <c r="AG244" i="82"/>
  <c r="AH244" i="82"/>
  <c r="AI244" i="82"/>
  <c r="AJ244" i="82"/>
  <c r="AK244" i="82"/>
  <c r="AL244" i="82"/>
  <c r="AM244" i="82"/>
  <c r="AN244" i="82"/>
  <c r="AO244" i="82"/>
  <c r="AP244" i="82"/>
  <c r="AQ244" i="82"/>
  <c r="AR244" i="82"/>
  <c r="AS244" i="82"/>
  <c r="AT244" i="82"/>
  <c r="AU244" i="82"/>
  <c r="AV244" i="82"/>
  <c r="AW244" i="82"/>
  <c r="AX244" i="82"/>
  <c r="AY244" i="82"/>
  <c r="AZ244" i="82"/>
  <c r="BA244" i="82"/>
  <c r="BB244" i="82"/>
  <c r="BC244" i="82"/>
  <c r="BD244" i="82"/>
  <c r="BE244" i="82"/>
  <c r="BF244" i="82"/>
  <c r="BG244" i="82"/>
  <c r="BH244" i="82"/>
  <c r="BI244" i="82"/>
  <c r="BJ244" i="82"/>
  <c r="BK244" i="82"/>
  <c r="BL244" i="82"/>
  <c r="BM244" i="82"/>
  <c r="BN244" i="82"/>
  <c r="BO244" i="82"/>
  <c r="BP244" i="82"/>
  <c r="BQ244" i="82"/>
  <c r="BR244" i="82"/>
  <c r="BS244" i="82"/>
  <c r="BT244" i="82"/>
  <c r="BU244" i="82"/>
  <c r="BV244" i="82"/>
  <c r="BW244" i="82"/>
  <c r="BX244" i="82"/>
  <c r="BY244" i="82"/>
  <c r="BZ244" i="82"/>
  <c r="CA244" i="82"/>
  <c r="CB244" i="82"/>
  <c r="CC244" i="82"/>
  <c r="CD244" i="82"/>
  <c r="CE244" i="82"/>
  <c r="CF244" i="82"/>
  <c r="CG244" i="82"/>
  <c r="CH244" i="82"/>
  <c r="CI244" i="82"/>
  <c r="CJ244" i="82"/>
  <c r="CK244" i="82"/>
  <c r="CL244" i="82"/>
  <c r="CM244" i="82"/>
  <c r="CN244" i="82"/>
  <c r="CO244" i="82"/>
  <c r="CP244" i="82"/>
  <c r="CQ244" i="82"/>
  <c r="CR244" i="82"/>
  <c r="CS244" i="82"/>
  <c r="CT244" i="82"/>
  <c r="CU244" i="82"/>
  <c r="CV244" i="82"/>
  <c r="CW244" i="82"/>
  <c r="CX244" i="82"/>
  <c r="B245" i="82"/>
  <c r="D245" i="82"/>
  <c r="E245" i="82"/>
  <c r="F245" i="82"/>
  <c r="G245" i="82"/>
  <c r="H245" i="82"/>
  <c r="I245" i="82"/>
  <c r="J245" i="82"/>
  <c r="K245" i="82"/>
  <c r="L245" i="82"/>
  <c r="M245" i="82"/>
  <c r="N245" i="82"/>
  <c r="O245" i="82"/>
  <c r="P245" i="82"/>
  <c r="Q245" i="82"/>
  <c r="R245" i="82"/>
  <c r="S245" i="82"/>
  <c r="T245" i="82"/>
  <c r="U245" i="82"/>
  <c r="V245" i="82"/>
  <c r="W245" i="82"/>
  <c r="X245" i="82"/>
  <c r="Y245" i="82"/>
  <c r="Z245" i="82"/>
  <c r="AA245" i="82"/>
  <c r="AB245" i="82"/>
  <c r="AC245" i="82"/>
  <c r="AD245" i="82"/>
  <c r="AE245" i="82"/>
  <c r="AF245" i="82"/>
  <c r="AG245" i="82"/>
  <c r="AH245" i="82"/>
  <c r="AI245" i="82"/>
  <c r="AJ245" i="82"/>
  <c r="AK245" i="82"/>
  <c r="AL245" i="82"/>
  <c r="AM245" i="82"/>
  <c r="AN245" i="82"/>
  <c r="AO245" i="82"/>
  <c r="AP245" i="82"/>
  <c r="AQ245" i="82"/>
  <c r="AR245" i="82"/>
  <c r="AS245" i="82"/>
  <c r="AT245" i="82"/>
  <c r="AU245" i="82"/>
  <c r="AV245" i="82"/>
  <c r="AW245" i="82"/>
  <c r="AX245" i="82"/>
  <c r="AY245" i="82"/>
  <c r="AZ245" i="82"/>
  <c r="BA245" i="82"/>
  <c r="BB245" i="82"/>
  <c r="BC245" i="82"/>
  <c r="BD245" i="82"/>
  <c r="BE245" i="82"/>
  <c r="BF245" i="82"/>
  <c r="BG245" i="82"/>
  <c r="BH245" i="82"/>
  <c r="BI245" i="82"/>
  <c r="BJ245" i="82"/>
  <c r="BK245" i="82"/>
  <c r="BL245" i="82"/>
  <c r="BM245" i="82"/>
  <c r="BN245" i="82"/>
  <c r="BO245" i="82"/>
  <c r="BP245" i="82"/>
  <c r="BQ245" i="82"/>
  <c r="BR245" i="82"/>
  <c r="BS245" i="82"/>
  <c r="BT245" i="82"/>
  <c r="BU245" i="82"/>
  <c r="BV245" i="82"/>
  <c r="BW245" i="82"/>
  <c r="BX245" i="82"/>
  <c r="BY245" i="82"/>
  <c r="BZ245" i="82"/>
  <c r="CA245" i="82"/>
  <c r="CB245" i="82"/>
  <c r="CC245" i="82"/>
  <c r="CD245" i="82"/>
  <c r="CE245" i="82"/>
  <c r="CF245" i="82"/>
  <c r="CG245" i="82"/>
  <c r="CH245" i="82"/>
  <c r="CI245" i="82"/>
  <c r="CJ245" i="82"/>
  <c r="CK245" i="82"/>
  <c r="CL245" i="82"/>
  <c r="CM245" i="82"/>
  <c r="CN245" i="82"/>
  <c r="CO245" i="82"/>
  <c r="CP245" i="82"/>
  <c r="CQ245" i="82"/>
  <c r="CR245" i="82"/>
  <c r="CS245" i="82"/>
  <c r="CT245" i="82"/>
  <c r="CU245" i="82"/>
  <c r="CV245" i="82"/>
  <c r="CW245" i="82"/>
  <c r="CX245" i="82"/>
  <c r="B246" i="82"/>
  <c r="D246" i="82"/>
  <c r="E246" i="82"/>
  <c r="F246" i="82"/>
  <c r="G246" i="82"/>
  <c r="H246" i="82"/>
  <c r="I246" i="82"/>
  <c r="J246" i="82"/>
  <c r="K246" i="82"/>
  <c r="L246" i="82"/>
  <c r="M246" i="82"/>
  <c r="N246" i="82"/>
  <c r="O246" i="82"/>
  <c r="P246" i="82"/>
  <c r="Q246" i="82"/>
  <c r="R246" i="82"/>
  <c r="S246" i="82"/>
  <c r="T246" i="82"/>
  <c r="U246" i="82"/>
  <c r="V246" i="82"/>
  <c r="W246" i="82"/>
  <c r="X246" i="82"/>
  <c r="Y246" i="82"/>
  <c r="Z246" i="82"/>
  <c r="AA246" i="82"/>
  <c r="AB246" i="82"/>
  <c r="AC246" i="82"/>
  <c r="AD246" i="82"/>
  <c r="AE246" i="82"/>
  <c r="AF246" i="82"/>
  <c r="AG246" i="82"/>
  <c r="AH246" i="82"/>
  <c r="AI246" i="82"/>
  <c r="AJ246" i="82"/>
  <c r="AK246" i="82"/>
  <c r="AL246" i="82"/>
  <c r="AM246" i="82"/>
  <c r="AN246" i="82"/>
  <c r="AO246" i="82"/>
  <c r="AP246" i="82"/>
  <c r="AQ246" i="82"/>
  <c r="AR246" i="82"/>
  <c r="AS246" i="82"/>
  <c r="AT246" i="82"/>
  <c r="AU246" i="82"/>
  <c r="AV246" i="82"/>
  <c r="AW246" i="82"/>
  <c r="AX246" i="82"/>
  <c r="AY246" i="82"/>
  <c r="AZ246" i="82"/>
  <c r="BA246" i="82"/>
  <c r="BB246" i="82"/>
  <c r="BC246" i="82"/>
  <c r="BD246" i="82"/>
  <c r="BE246" i="82"/>
  <c r="BF246" i="82"/>
  <c r="BG246" i="82"/>
  <c r="BH246" i="82"/>
  <c r="BI246" i="82"/>
  <c r="BJ246" i="82"/>
  <c r="BK246" i="82"/>
  <c r="BL246" i="82"/>
  <c r="BM246" i="82"/>
  <c r="BN246" i="82"/>
  <c r="BO246" i="82"/>
  <c r="BP246" i="82"/>
  <c r="BQ246" i="82"/>
  <c r="BR246" i="82"/>
  <c r="BS246" i="82"/>
  <c r="BT246" i="82"/>
  <c r="BU246" i="82"/>
  <c r="BV246" i="82"/>
  <c r="BW246" i="82"/>
  <c r="BX246" i="82"/>
  <c r="BY246" i="82"/>
  <c r="BZ246" i="82"/>
  <c r="CA246" i="82"/>
  <c r="CB246" i="82"/>
  <c r="CC246" i="82"/>
  <c r="CD246" i="82"/>
  <c r="CE246" i="82"/>
  <c r="CF246" i="82"/>
  <c r="CG246" i="82"/>
  <c r="CH246" i="82"/>
  <c r="CI246" i="82"/>
  <c r="CJ246" i="82"/>
  <c r="CK246" i="82"/>
  <c r="CL246" i="82"/>
  <c r="CM246" i="82"/>
  <c r="CN246" i="82"/>
  <c r="CO246" i="82"/>
  <c r="CP246" i="82"/>
  <c r="CQ246" i="82"/>
  <c r="CR246" i="82"/>
  <c r="CS246" i="82"/>
  <c r="CT246" i="82"/>
  <c r="CU246" i="82"/>
  <c r="CV246" i="82"/>
  <c r="CW246" i="82"/>
  <c r="CX246" i="82"/>
  <c r="B247" i="82"/>
  <c r="D247" i="82"/>
  <c r="E247" i="82"/>
  <c r="F247" i="82"/>
  <c r="G247" i="82"/>
  <c r="H247" i="82"/>
  <c r="I247" i="82"/>
  <c r="J247" i="82"/>
  <c r="K247" i="82"/>
  <c r="L247" i="82"/>
  <c r="M247" i="82"/>
  <c r="N247" i="82"/>
  <c r="O247" i="82"/>
  <c r="P247" i="82"/>
  <c r="Q247" i="82"/>
  <c r="R247" i="82"/>
  <c r="S247" i="82"/>
  <c r="T247" i="82"/>
  <c r="U247" i="82"/>
  <c r="V247" i="82"/>
  <c r="W247" i="82"/>
  <c r="X247" i="82"/>
  <c r="Y247" i="82"/>
  <c r="Z247" i="82"/>
  <c r="AA247" i="82"/>
  <c r="AB247" i="82"/>
  <c r="AC247" i="82"/>
  <c r="AD247" i="82"/>
  <c r="AE247" i="82"/>
  <c r="AF247" i="82"/>
  <c r="AG247" i="82"/>
  <c r="AH247" i="82"/>
  <c r="AI247" i="82"/>
  <c r="AJ247" i="82"/>
  <c r="AK247" i="82"/>
  <c r="AL247" i="82"/>
  <c r="AM247" i="82"/>
  <c r="AN247" i="82"/>
  <c r="AO247" i="82"/>
  <c r="AP247" i="82"/>
  <c r="AQ247" i="82"/>
  <c r="AR247" i="82"/>
  <c r="AS247" i="82"/>
  <c r="AT247" i="82"/>
  <c r="AU247" i="82"/>
  <c r="AV247" i="82"/>
  <c r="AW247" i="82"/>
  <c r="AX247" i="82"/>
  <c r="AY247" i="82"/>
  <c r="AZ247" i="82"/>
  <c r="BA247" i="82"/>
  <c r="BB247" i="82"/>
  <c r="BC247" i="82"/>
  <c r="BD247" i="82"/>
  <c r="BE247" i="82"/>
  <c r="BF247" i="82"/>
  <c r="BG247" i="82"/>
  <c r="BH247" i="82"/>
  <c r="BI247" i="82"/>
  <c r="BJ247" i="82"/>
  <c r="BK247" i="82"/>
  <c r="BL247" i="82"/>
  <c r="BM247" i="82"/>
  <c r="BN247" i="82"/>
  <c r="BO247" i="82"/>
  <c r="BP247" i="82"/>
  <c r="BQ247" i="82"/>
  <c r="BR247" i="82"/>
  <c r="BS247" i="82"/>
  <c r="BT247" i="82"/>
  <c r="BU247" i="82"/>
  <c r="BV247" i="82"/>
  <c r="BW247" i="82"/>
  <c r="BX247" i="82"/>
  <c r="BY247" i="82"/>
  <c r="BZ247" i="82"/>
  <c r="CA247" i="82"/>
  <c r="CB247" i="82"/>
  <c r="CC247" i="82"/>
  <c r="CD247" i="82"/>
  <c r="CE247" i="82"/>
  <c r="CF247" i="82"/>
  <c r="CG247" i="82"/>
  <c r="CH247" i="82"/>
  <c r="CI247" i="82"/>
  <c r="CJ247" i="82"/>
  <c r="CK247" i="82"/>
  <c r="CL247" i="82"/>
  <c r="CM247" i="82"/>
  <c r="CN247" i="82"/>
  <c r="CO247" i="82"/>
  <c r="CP247" i="82"/>
  <c r="CQ247" i="82"/>
  <c r="CR247" i="82"/>
  <c r="CS247" i="82"/>
  <c r="CT247" i="82"/>
  <c r="CU247" i="82"/>
  <c r="CV247" i="82"/>
  <c r="CW247" i="82"/>
  <c r="CX247" i="82"/>
  <c r="B248" i="82"/>
  <c r="D248" i="82"/>
  <c r="E248" i="82"/>
  <c r="F248" i="82"/>
  <c r="G248" i="82"/>
  <c r="H248" i="82"/>
  <c r="I248" i="82"/>
  <c r="J248" i="82"/>
  <c r="K248" i="82"/>
  <c r="L248" i="82"/>
  <c r="M248" i="82"/>
  <c r="N248" i="82"/>
  <c r="O248" i="82"/>
  <c r="P248" i="82"/>
  <c r="Q248" i="82"/>
  <c r="R248" i="82"/>
  <c r="S248" i="82"/>
  <c r="T248" i="82"/>
  <c r="U248" i="82"/>
  <c r="V248" i="82"/>
  <c r="W248" i="82"/>
  <c r="X248" i="82"/>
  <c r="Y248" i="82"/>
  <c r="Z248" i="82"/>
  <c r="AA248" i="82"/>
  <c r="AB248" i="82"/>
  <c r="AC248" i="82"/>
  <c r="AD248" i="82"/>
  <c r="AE248" i="82"/>
  <c r="AF248" i="82"/>
  <c r="AG248" i="82"/>
  <c r="AH248" i="82"/>
  <c r="AI248" i="82"/>
  <c r="AJ248" i="82"/>
  <c r="AK248" i="82"/>
  <c r="AL248" i="82"/>
  <c r="AM248" i="82"/>
  <c r="AN248" i="82"/>
  <c r="AO248" i="82"/>
  <c r="AP248" i="82"/>
  <c r="AQ248" i="82"/>
  <c r="AR248" i="82"/>
  <c r="AS248" i="82"/>
  <c r="AT248" i="82"/>
  <c r="AU248" i="82"/>
  <c r="AV248" i="82"/>
  <c r="AW248" i="82"/>
  <c r="AX248" i="82"/>
  <c r="AY248" i="82"/>
  <c r="AZ248" i="82"/>
  <c r="BA248" i="82"/>
  <c r="BB248" i="82"/>
  <c r="BC248" i="82"/>
  <c r="BD248" i="82"/>
  <c r="BE248" i="82"/>
  <c r="BF248" i="82"/>
  <c r="BG248" i="82"/>
  <c r="BH248" i="82"/>
  <c r="BI248" i="82"/>
  <c r="BJ248" i="82"/>
  <c r="BK248" i="82"/>
  <c r="BL248" i="82"/>
  <c r="BM248" i="82"/>
  <c r="BN248" i="82"/>
  <c r="BO248" i="82"/>
  <c r="BP248" i="82"/>
  <c r="BQ248" i="82"/>
  <c r="BR248" i="82"/>
  <c r="BS248" i="82"/>
  <c r="BT248" i="82"/>
  <c r="BU248" i="82"/>
  <c r="BV248" i="82"/>
  <c r="BW248" i="82"/>
  <c r="BX248" i="82"/>
  <c r="BY248" i="82"/>
  <c r="BZ248" i="82"/>
  <c r="CA248" i="82"/>
  <c r="CB248" i="82"/>
  <c r="CC248" i="82"/>
  <c r="CD248" i="82"/>
  <c r="CE248" i="82"/>
  <c r="CF248" i="82"/>
  <c r="CG248" i="82"/>
  <c r="CH248" i="82"/>
  <c r="CI248" i="82"/>
  <c r="CJ248" i="82"/>
  <c r="CK248" i="82"/>
  <c r="CL248" i="82"/>
  <c r="CM248" i="82"/>
  <c r="CN248" i="82"/>
  <c r="CO248" i="82"/>
  <c r="CP248" i="82"/>
  <c r="CQ248" i="82"/>
  <c r="CR248" i="82"/>
  <c r="CS248" i="82"/>
  <c r="CT248" i="82"/>
  <c r="CU248" i="82"/>
  <c r="CV248" i="82"/>
  <c r="CW248" i="82"/>
  <c r="CX248" i="82"/>
  <c r="B249" i="82"/>
  <c r="D249" i="82"/>
  <c r="E249" i="82"/>
  <c r="F249" i="82"/>
  <c r="G249" i="82"/>
  <c r="H249" i="82"/>
  <c r="I249" i="82"/>
  <c r="J249" i="82"/>
  <c r="K249" i="82"/>
  <c r="L249" i="82"/>
  <c r="M249" i="82"/>
  <c r="N249" i="82"/>
  <c r="O249" i="82"/>
  <c r="P249" i="82"/>
  <c r="Q249" i="82"/>
  <c r="R249" i="82"/>
  <c r="S249" i="82"/>
  <c r="T249" i="82"/>
  <c r="U249" i="82"/>
  <c r="V249" i="82"/>
  <c r="W249" i="82"/>
  <c r="X249" i="82"/>
  <c r="Y249" i="82"/>
  <c r="Z249" i="82"/>
  <c r="AA249" i="82"/>
  <c r="AB249" i="82"/>
  <c r="AC249" i="82"/>
  <c r="AD249" i="82"/>
  <c r="AE249" i="82"/>
  <c r="AF249" i="82"/>
  <c r="AG249" i="82"/>
  <c r="AH249" i="82"/>
  <c r="AI249" i="82"/>
  <c r="AJ249" i="82"/>
  <c r="AK249" i="82"/>
  <c r="AL249" i="82"/>
  <c r="AM249" i="82"/>
  <c r="AN249" i="82"/>
  <c r="AO249" i="82"/>
  <c r="AP249" i="82"/>
  <c r="AQ249" i="82"/>
  <c r="AR249" i="82"/>
  <c r="AS249" i="82"/>
  <c r="AT249" i="82"/>
  <c r="AU249" i="82"/>
  <c r="AV249" i="82"/>
  <c r="AW249" i="82"/>
  <c r="AX249" i="82"/>
  <c r="AY249" i="82"/>
  <c r="AZ249" i="82"/>
  <c r="BA249" i="82"/>
  <c r="BB249" i="82"/>
  <c r="BC249" i="82"/>
  <c r="BD249" i="82"/>
  <c r="BE249" i="82"/>
  <c r="BF249" i="82"/>
  <c r="BG249" i="82"/>
  <c r="BH249" i="82"/>
  <c r="BI249" i="82"/>
  <c r="BJ249" i="82"/>
  <c r="BK249" i="82"/>
  <c r="BL249" i="82"/>
  <c r="BM249" i="82"/>
  <c r="BN249" i="82"/>
  <c r="BO249" i="82"/>
  <c r="BP249" i="82"/>
  <c r="BQ249" i="82"/>
  <c r="BR249" i="82"/>
  <c r="BS249" i="82"/>
  <c r="BT249" i="82"/>
  <c r="BU249" i="82"/>
  <c r="BV249" i="82"/>
  <c r="BW249" i="82"/>
  <c r="BX249" i="82"/>
  <c r="BY249" i="82"/>
  <c r="BZ249" i="82"/>
  <c r="CA249" i="82"/>
  <c r="CB249" i="82"/>
  <c r="CC249" i="82"/>
  <c r="CD249" i="82"/>
  <c r="CE249" i="82"/>
  <c r="CF249" i="82"/>
  <c r="CG249" i="82"/>
  <c r="CH249" i="82"/>
  <c r="CI249" i="82"/>
  <c r="CJ249" i="82"/>
  <c r="CK249" i="82"/>
  <c r="CL249" i="82"/>
  <c r="CM249" i="82"/>
  <c r="CN249" i="82"/>
  <c r="CO249" i="82"/>
  <c r="CP249" i="82"/>
  <c r="CQ249" i="82"/>
  <c r="CR249" i="82"/>
  <c r="CS249" i="82"/>
  <c r="CT249" i="82"/>
  <c r="CU249" i="82"/>
  <c r="CV249" i="82"/>
  <c r="CW249" i="82"/>
  <c r="CX249" i="82"/>
  <c r="B250" i="82"/>
  <c r="D250" i="82"/>
  <c r="E250" i="82"/>
  <c r="F250" i="82"/>
  <c r="G250" i="82"/>
  <c r="H250" i="82"/>
  <c r="I250" i="82"/>
  <c r="J250" i="82"/>
  <c r="K250" i="82"/>
  <c r="L250" i="82"/>
  <c r="M250" i="82"/>
  <c r="N250" i="82"/>
  <c r="O250" i="82"/>
  <c r="P250" i="82"/>
  <c r="Q250" i="82"/>
  <c r="R250" i="82"/>
  <c r="S250" i="82"/>
  <c r="T250" i="82"/>
  <c r="U250" i="82"/>
  <c r="V250" i="82"/>
  <c r="W250" i="82"/>
  <c r="X250" i="82"/>
  <c r="Y250" i="82"/>
  <c r="Z250" i="82"/>
  <c r="AA250" i="82"/>
  <c r="AB250" i="82"/>
  <c r="AC250" i="82"/>
  <c r="AD250" i="82"/>
  <c r="AE250" i="82"/>
  <c r="AF250" i="82"/>
  <c r="AG250" i="82"/>
  <c r="AH250" i="82"/>
  <c r="AI250" i="82"/>
  <c r="AJ250" i="82"/>
  <c r="AK250" i="82"/>
  <c r="AL250" i="82"/>
  <c r="AM250" i="82"/>
  <c r="AN250" i="82"/>
  <c r="AO250" i="82"/>
  <c r="AP250" i="82"/>
  <c r="AQ250" i="82"/>
  <c r="AR250" i="82"/>
  <c r="AS250" i="82"/>
  <c r="AT250" i="82"/>
  <c r="AU250" i="82"/>
  <c r="AV250" i="82"/>
  <c r="AW250" i="82"/>
  <c r="AX250" i="82"/>
  <c r="AY250" i="82"/>
  <c r="AZ250" i="82"/>
  <c r="BA250" i="82"/>
  <c r="BB250" i="82"/>
  <c r="BC250" i="82"/>
  <c r="BD250" i="82"/>
  <c r="BE250" i="82"/>
  <c r="BF250" i="82"/>
  <c r="BG250" i="82"/>
  <c r="BH250" i="82"/>
  <c r="BI250" i="82"/>
  <c r="BJ250" i="82"/>
  <c r="BK250" i="82"/>
  <c r="BL250" i="82"/>
  <c r="BM250" i="82"/>
  <c r="BN250" i="82"/>
  <c r="BO250" i="82"/>
  <c r="BP250" i="82"/>
  <c r="BQ250" i="82"/>
  <c r="BR250" i="82"/>
  <c r="BS250" i="82"/>
  <c r="BT250" i="82"/>
  <c r="BU250" i="82"/>
  <c r="BV250" i="82"/>
  <c r="BW250" i="82"/>
  <c r="BX250" i="82"/>
  <c r="BY250" i="82"/>
  <c r="BZ250" i="82"/>
  <c r="CA250" i="82"/>
  <c r="CB250" i="82"/>
  <c r="CC250" i="82"/>
  <c r="CD250" i="82"/>
  <c r="CE250" i="82"/>
  <c r="CF250" i="82"/>
  <c r="CG250" i="82"/>
  <c r="CH250" i="82"/>
  <c r="CI250" i="82"/>
  <c r="CJ250" i="82"/>
  <c r="CK250" i="82"/>
  <c r="CL250" i="82"/>
  <c r="CM250" i="82"/>
  <c r="CN250" i="82"/>
  <c r="CO250" i="82"/>
  <c r="CP250" i="82"/>
  <c r="CQ250" i="82"/>
  <c r="CR250" i="82"/>
  <c r="CS250" i="82"/>
  <c r="CT250" i="82"/>
  <c r="CU250" i="82"/>
  <c r="CV250" i="82"/>
  <c r="CW250" i="82"/>
  <c r="CX250" i="82"/>
  <c r="B251" i="82"/>
  <c r="D251" i="82"/>
  <c r="E251" i="82"/>
  <c r="F251" i="82"/>
  <c r="G251" i="82"/>
  <c r="H251" i="82"/>
  <c r="I251" i="82"/>
  <c r="J251" i="82"/>
  <c r="K251" i="82"/>
  <c r="L251" i="82"/>
  <c r="M251" i="82"/>
  <c r="N251" i="82"/>
  <c r="O251" i="82"/>
  <c r="P251" i="82"/>
  <c r="Q251" i="82"/>
  <c r="R251" i="82"/>
  <c r="S251" i="82"/>
  <c r="T251" i="82"/>
  <c r="U251" i="82"/>
  <c r="V251" i="82"/>
  <c r="W251" i="82"/>
  <c r="X251" i="82"/>
  <c r="Y251" i="82"/>
  <c r="Z251" i="82"/>
  <c r="AA251" i="82"/>
  <c r="AB251" i="82"/>
  <c r="AC251" i="82"/>
  <c r="AD251" i="82"/>
  <c r="AE251" i="82"/>
  <c r="AF251" i="82"/>
  <c r="AG251" i="82"/>
  <c r="AH251" i="82"/>
  <c r="AI251" i="82"/>
  <c r="AJ251" i="82"/>
  <c r="AK251" i="82"/>
  <c r="AL251" i="82"/>
  <c r="AM251" i="82"/>
  <c r="AN251" i="82"/>
  <c r="AO251" i="82"/>
  <c r="AP251" i="82"/>
  <c r="AQ251" i="82"/>
  <c r="AR251" i="82"/>
  <c r="AS251" i="82"/>
  <c r="AT251" i="82"/>
  <c r="AU251" i="82"/>
  <c r="AV251" i="82"/>
  <c r="AW251" i="82"/>
  <c r="AX251" i="82"/>
  <c r="AY251" i="82"/>
  <c r="AZ251" i="82"/>
  <c r="BA251" i="82"/>
  <c r="BB251" i="82"/>
  <c r="BC251" i="82"/>
  <c r="BD251" i="82"/>
  <c r="BE251" i="82"/>
  <c r="BF251" i="82"/>
  <c r="BG251" i="82"/>
  <c r="BH251" i="82"/>
  <c r="BI251" i="82"/>
  <c r="BJ251" i="82"/>
  <c r="BK251" i="82"/>
  <c r="BL251" i="82"/>
  <c r="BM251" i="82"/>
  <c r="BN251" i="82"/>
  <c r="BO251" i="82"/>
  <c r="BP251" i="82"/>
  <c r="BQ251" i="82"/>
  <c r="BR251" i="82"/>
  <c r="BS251" i="82"/>
  <c r="BT251" i="82"/>
  <c r="BU251" i="82"/>
  <c r="BV251" i="82"/>
  <c r="BW251" i="82"/>
  <c r="BX251" i="82"/>
  <c r="BY251" i="82"/>
  <c r="BZ251" i="82"/>
  <c r="CA251" i="82"/>
  <c r="CB251" i="82"/>
  <c r="CC251" i="82"/>
  <c r="CD251" i="82"/>
  <c r="CE251" i="82"/>
  <c r="CF251" i="82"/>
  <c r="CG251" i="82"/>
  <c r="CH251" i="82"/>
  <c r="CI251" i="82"/>
  <c r="CJ251" i="82"/>
  <c r="CK251" i="82"/>
  <c r="CL251" i="82"/>
  <c r="CM251" i="82"/>
  <c r="CN251" i="82"/>
  <c r="CO251" i="82"/>
  <c r="CP251" i="82"/>
  <c r="CQ251" i="82"/>
  <c r="CR251" i="82"/>
  <c r="CS251" i="82"/>
  <c r="CT251" i="82"/>
  <c r="CU251" i="82"/>
  <c r="CV251" i="82"/>
  <c r="CW251" i="82"/>
  <c r="CX251" i="82"/>
  <c r="B252" i="82"/>
  <c r="D252" i="82"/>
  <c r="E252" i="82"/>
  <c r="F252" i="82"/>
  <c r="G252" i="82"/>
  <c r="H252" i="82"/>
  <c r="I252" i="82"/>
  <c r="J252" i="82"/>
  <c r="K252" i="82"/>
  <c r="L252" i="82"/>
  <c r="M252" i="82"/>
  <c r="N252" i="82"/>
  <c r="O252" i="82"/>
  <c r="P252" i="82"/>
  <c r="Q252" i="82"/>
  <c r="R252" i="82"/>
  <c r="S252" i="82"/>
  <c r="T252" i="82"/>
  <c r="U252" i="82"/>
  <c r="V252" i="82"/>
  <c r="W252" i="82"/>
  <c r="X252" i="82"/>
  <c r="Y252" i="82"/>
  <c r="Z252" i="82"/>
  <c r="AA252" i="82"/>
  <c r="AB252" i="82"/>
  <c r="AC252" i="82"/>
  <c r="AD252" i="82"/>
  <c r="AE252" i="82"/>
  <c r="AF252" i="82"/>
  <c r="AG252" i="82"/>
  <c r="AH252" i="82"/>
  <c r="AI252" i="82"/>
  <c r="AJ252" i="82"/>
  <c r="AK252" i="82"/>
  <c r="AL252" i="82"/>
  <c r="AM252" i="82"/>
  <c r="AN252" i="82"/>
  <c r="AO252" i="82"/>
  <c r="AP252" i="82"/>
  <c r="AQ252" i="82"/>
  <c r="AR252" i="82"/>
  <c r="AS252" i="82"/>
  <c r="AT252" i="82"/>
  <c r="AU252" i="82"/>
  <c r="AV252" i="82"/>
  <c r="AW252" i="82"/>
  <c r="AX252" i="82"/>
  <c r="AY252" i="82"/>
  <c r="AZ252" i="82"/>
  <c r="BA252" i="82"/>
  <c r="BB252" i="82"/>
  <c r="BC252" i="82"/>
  <c r="BD252" i="82"/>
  <c r="BE252" i="82"/>
  <c r="BF252" i="82"/>
  <c r="BG252" i="82"/>
  <c r="BH252" i="82"/>
  <c r="BI252" i="82"/>
  <c r="BJ252" i="82"/>
  <c r="BK252" i="82"/>
  <c r="BL252" i="82"/>
  <c r="BM252" i="82"/>
  <c r="BN252" i="82"/>
  <c r="BO252" i="82"/>
  <c r="BP252" i="82"/>
  <c r="BQ252" i="82"/>
  <c r="BR252" i="82"/>
  <c r="BS252" i="82"/>
  <c r="BT252" i="82"/>
  <c r="BU252" i="82"/>
  <c r="BV252" i="82"/>
  <c r="BW252" i="82"/>
  <c r="BX252" i="82"/>
  <c r="BY252" i="82"/>
  <c r="BZ252" i="82"/>
  <c r="CA252" i="82"/>
  <c r="CB252" i="82"/>
  <c r="CC252" i="82"/>
  <c r="CD252" i="82"/>
  <c r="CE252" i="82"/>
  <c r="CF252" i="82"/>
  <c r="CG252" i="82"/>
  <c r="CH252" i="82"/>
  <c r="CI252" i="82"/>
  <c r="CJ252" i="82"/>
  <c r="CK252" i="82"/>
  <c r="CL252" i="82"/>
  <c r="CM252" i="82"/>
  <c r="CN252" i="82"/>
  <c r="CO252" i="82"/>
  <c r="CP252" i="82"/>
  <c r="CQ252" i="82"/>
  <c r="CR252" i="82"/>
  <c r="CS252" i="82"/>
  <c r="CT252" i="82"/>
  <c r="CU252" i="82"/>
  <c r="CV252" i="82"/>
  <c r="CW252" i="82"/>
  <c r="CX252" i="82"/>
  <c r="B253" i="82"/>
  <c r="D253" i="82"/>
  <c r="E253" i="82"/>
  <c r="F253" i="82"/>
  <c r="G253" i="82"/>
  <c r="H253" i="82"/>
  <c r="I253" i="82"/>
  <c r="J253" i="82"/>
  <c r="K253" i="82"/>
  <c r="L253" i="82"/>
  <c r="M253" i="82"/>
  <c r="N253" i="82"/>
  <c r="O253" i="82"/>
  <c r="P253" i="82"/>
  <c r="Q253" i="82"/>
  <c r="R253" i="82"/>
  <c r="S253" i="82"/>
  <c r="T253" i="82"/>
  <c r="U253" i="82"/>
  <c r="V253" i="82"/>
  <c r="W253" i="82"/>
  <c r="X253" i="82"/>
  <c r="Y253" i="82"/>
  <c r="Z253" i="82"/>
  <c r="AA253" i="82"/>
  <c r="AB253" i="82"/>
  <c r="AC253" i="82"/>
  <c r="AD253" i="82"/>
  <c r="AE253" i="82"/>
  <c r="AF253" i="82"/>
  <c r="AG253" i="82"/>
  <c r="AH253" i="82"/>
  <c r="AI253" i="82"/>
  <c r="AJ253" i="82"/>
  <c r="AK253" i="82"/>
  <c r="AL253" i="82"/>
  <c r="AM253" i="82"/>
  <c r="AN253" i="82"/>
  <c r="AO253" i="82"/>
  <c r="AP253" i="82"/>
  <c r="AQ253" i="82"/>
  <c r="AR253" i="82"/>
  <c r="AS253" i="82"/>
  <c r="AT253" i="82"/>
  <c r="AU253" i="82"/>
  <c r="AV253" i="82"/>
  <c r="AW253" i="82"/>
  <c r="AX253" i="82"/>
  <c r="AY253" i="82"/>
  <c r="AZ253" i="82"/>
  <c r="BA253" i="82"/>
  <c r="BB253" i="82"/>
  <c r="BC253" i="82"/>
  <c r="BD253" i="82"/>
  <c r="BE253" i="82"/>
  <c r="BF253" i="82"/>
  <c r="BG253" i="82"/>
  <c r="BH253" i="82"/>
  <c r="BI253" i="82"/>
  <c r="BJ253" i="82"/>
  <c r="BK253" i="82"/>
  <c r="BL253" i="82"/>
  <c r="BM253" i="82"/>
  <c r="BN253" i="82"/>
  <c r="BO253" i="82"/>
  <c r="BP253" i="82"/>
  <c r="BQ253" i="82"/>
  <c r="BR253" i="82"/>
  <c r="BS253" i="82"/>
  <c r="BT253" i="82"/>
  <c r="BU253" i="82"/>
  <c r="BV253" i="82"/>
  <c r="BW253" i="82"/>
  <c r="BX253" i="82"/>
  <c r="BY253" i="82"/>
  <c r="BZ253" i="82"/>
  <c r="CA253" i="82"/>
  <c r="CB253" i="82"/>
  <c r="CC253" i="82"/>
  <c r="CD253" i="82"/>
  <c r="CE253" i="82"/>
  <c r="CF253" i="82"/>
  <c r="CG253" i="82"/>
  <c r="CH253" i="82"/>
  <c r="CI253" i="82"/>
  <c r="CJ253" i="82"/>
  <c r="CK253" i="82"/>
  <c r="CL253" i="82"/>
  <c r="CM253" i="82"/>
  <c r="CN253" i="82"/>
  <c r="CO253" i="82"/>
  <c r="CP253" i="82"/>
  <c r="CQ253" i="82"/>
  <c r="CR253" i="82"/>
  <c r="CS253" i="82"/>
  <c r="CT253" i="82"/>
  <c r="CU253" i="82"/>
  <c r="CV253" i="82"/>
  <c r="CW253" i="82"/>
  <c r="CX253" i="82"/>
  <c r="B254" i="82"/>
  <c r="D254" i="82"/>
  <c r="E254" i="82"/>
  <c r="F254" i="82"/>
  <c r="G254" i="82"/>
  <c r="H254" i="82"/>
  <c r="I254" i="82"/>
  <c r="J254" i="82"/>
  <c r="K254" i="82"/>
  <c r="L254" i="82"/>
  <c r="M254" i="82"/>
  <c r="N254" i="82"/>
  <c r="O254" i="82"/>
  <c r="P254" i="82"/>
  <c r="Q254" i="82"/>
  <c r="R254" i="82"/>
  <c r="S254" i="82"/>
  <c r="T254" i="82"/>
  <c r="U254" i="82"/>
  <c r="V254" i="82"/>
  <c r="W254" i="82"/>
  <c r="X254" i="82"/>
  <c r="Y254" i="82"/>
  <c r="Z254" i="82"/>
  <c r="AA254" i="82"/>
  <c r="AB254" i="82"/>
  <c r="AC254" i="82"/>
  <c r="AD254" i="82"/>
  <c r="AE254" i="82"/>
  <c r="AF254" i="82"/>
  <c r="AG254" i="82"/>
  <c r="AH254" i="82"/>
  <c r="AI254" i="82"/>
  <c r="AJ254" i="82"/>
  <c r="AK254" i="82"/>
  <c r="AL254" i="82"/>
  <c r="AM254" i="82"/>
  <c r="AN254" i="82"/>
  <c r="AO254" i="82"/>
  <c r="AP254" i="82"/>
  <c r="AQ254" i="82"/>
  <c r="AR254" i="82"/>
  <c r="AS254" i="82"/>
  <c r="AT254" i="82"/>
  <c r="AU254" i="82"/>
  <c r="AV254" i="82"/>
  <c r="AW254" i="82"/>
  <c r="AX254" i="82"/>
  <c r="AY254" i="82"/>
  <c r="AZ254" i="82"/>
  <c r="BA254" i="82"/>
  <c r="BB254" i="82"/>
  <c r="BC254" i="82"/>
  <c r="BD254" i="82"/>
  <c r="BE254" i="82"/>
  <c r="BF254" i="82"/>
  <c r="BG254" i="82"/>
  <c r="BH254" i="82"/>
  <c r="BI254" i="82"/>
  <c r="BJ254" i="82"/>
  <c r="BK254" i="82"/>
  <c r="BL254" i="82"/>
  <c r="BM254" i="82"/>
  <c r="BN254" i="82"/>
  <c r="BO254" i="82"/>
  <c r="BP254" i="82"/>
  <c r="BQ254" i="82"/>
  <c r="BR254" i="82"/>
  <c r="BS254" i="82"/>
  <c r="BT254" i="82"/>
  <c r="BU254" i="82"/>
  <c r="BV254" i="82"/>
  <c r="BW254" i="82"/>
  <c r="BX254" i="82"/>
  <c r="BY254" i="82"/>
  <c r="BZ254" i="82"/>
  <c r="CA254" i="82"/>
  <c r="CB254" i="82"/>
  <c r="CC254" i="82"/>
  <c r="CD254" i="82"/>
  <c r="CE254" i="82"/>
  <c r="CF254" i="82"/>
  <c r="CG254" i="82"/>
  <c r="CH254" i="82"/>
  <c r="CI254" i="82"/>
  <c r="CJ254" i="82"/>
  <c r="CK254" i="82"/>
  <c r="CL254" i="82"/>
  <c r="CM254" i="82"/>
  <c r="CN254" i="82"/>
  <c r="CO254" i="82"/>
  <c r="CP254" i="82"/>
  <c r="CQ254" i="82"/>
  <c r="CR254" i="82"/>
  <c r="CS254" i="82"/>
  <c r="CT254" i="82"/>
  <c r="CU254" i="82"/>
  <c r="CV254" i="82"/>
  <c r="CW254" i="82"/>
  <c r="CX254" i="82"/>
  <c r="B255" i="82"/>
  <c r="D255" i="82"/>
  <c r="E255" i="82"/>
  <c r="F255" i="82"/>
  <c r="G255" i="82"/>
  <c r="H255" i="82"/>
  <c r="I255" i="82"/>
  <c r="J255" i="82"/>
  <c r="K255" i="82"/>
  <c r="L255" i="82"/>
  <c r="M255" i="82"/>
  <c r="N255" i="82"/>
  <c r="O255" i="82"/>
  <c r="P255" i="82"/>
  <c r="Q255" i="82"/>
  <c r="R255" i="82"/>
  <c r="S255" i="82"/>
  <c r="T255" i="82"/>
  <c r="U255" i="82"/>
  <c r="V255" i="82"/>
  <c r="W255" i="82"/>
  <c r="X255" i="82"/>
  <c r="Y255" i="82"/>
  <c r="Z255" i="82"/>
  <c r="AA255" i="82"/>
  <c r="AB255" i="82"/>
  <c r="AC255" i="82"/>
  <c r="AD255" i="82"/>
  <c r="AE255" i="82"/>
  <c r="AF255" i="82"/>
  <c r="AG255" i="82"/>
  <c r="AH255" i="82"/>
  <c r="AI255" i="82"/>
  <c r="AJ255" i="82"/>
  <c r="AK255" i="82"/>
  <c r="AL255" i="82"/>
  <c r="AM255" i="82"/>
  <c r="AN255" i="82"/>
  <c r="AO255" i="82"/>
  <c r="AP255" i="82"/>
  <c r="AQ255" i="82"/>
  <c r="AR255" i="82"/>
  <c r="AS255" i="82"/>
  <c r="AT255" i="82"/>
  <c r="AU255" i="82"/>
  <c r="AV255" i="82"/>
  <c r="AW255" i="82"/>
  <c r="AX255" i="82"/>
  <c r="AY255" i="82"/>
  <c r="AZ255" i="82"/>
  <c r="BA255" i="82"/>
  <c r="BB255" i="82"/>
  <c r="BC255" i="82"/>
  <c r="BD255" i="82"/>
  <c r="BE255" i="82"/>
  <c r="BF255" i="82"/>
  <c r="BG255" i="82"/>
  <c r="BH255" i="82"/>
  <c r="BI255" i="82"/>
  <c r="BJ255" i="82"/>
  <c r="BK255" i="82"/>
  <c r="BL255" i="82"/>
  <c r="BM255" i="82"/>
  <c r="BN255" i="82"/>
  <c r="BO255" i="82"/>
  <c r="BP255" i="82"/>
  <c r="BQ255" i="82"/>
  <c r="BR255" i="82"/>
  <c r="BS255" i="82"/>
  <c r="BT255" i="82"/>
  <c r="BU255" i="82"/>
  <c r="BV255" i="82"/>
  <c r="BW255" i="82"/>
  <c r="BX255" i="82"/>
  <c r="BY255" i="82"/>
  <c r="BZ255" i="82"/>
  <c r="CA255" i="82"/>
  <c r="CB255" i="82"/>
  <c r="CC255" i="82"/>
  <c r="CD255" i="82"/>
  <c r="CE255" i="82"/>
  <c r="CF255" i="82"/>
  <c r="CG255" i="82"/>
  <c r="CH255" i="82"/>
  <c r="CI255" i="82"/>
  <c r="CJ255" i="82"/>
  <c r="CK255" i="82"/>
  <c r="CL255" i="82"/>
  <c r="CM255" i="82"/>
  <c r="CN255" i="82"/>
  <c r="CO255" i="82"/>
  <c r="CP255" i="82"/>
  <c r="CQ255" i="82"/>
  <c r="CR255" i="82"/>
  <c r="CS255" i="82"/>
  <c r="CT255" i="82"/>
  <c r="CU255" i="82"/>
  <c r="CV255" i="82"/>
  <c r="CW255" i="82"/>
  <c r="CX255" i="82"/>
  <c r="B256" i="82"/>
  <c r="D256" i="82"/>
  <c r="E256" i="82"/>
  <c r="F256" i="82"/>
  <c r="G256" i="82"/>
  <c r="H256" i="82"/>
  <c r="I256" i="82"/>
  <c r="J256" i="82"/>
  <c r="K256" i="82"/>
  <c r="L256" i="82"/>
  <c r="M256" i="82"/>
  <c r="N256" i="82"/>
  <c r="O256" i="82"/>
  <c r="P256" i="82"/>
  <c r="Q256" i="82"/>
  <c r="R256" i="82"/>
  <c r="S256" i="82"/>
  <c r="T256" i="82"/>
  <c r="U256" i="82"/>
  <c r="V256" i="82"/>
  <c r="W256" i="82"/>
  <c r="X256" i="82"/>
  <c r="Y256" i="82"/>
  <c r="Z256" i="82"/>
  <c r="AA256" i="82"/>
  <c r="AB256" i="82"/>
  <c r="AC256" i="82"/>
  <c r="AD256" i="82"/>
  <c r="AE256" i="82"/>
  <c r="AF256" i="82"/>
  <c r="AG256" i="82"/>
  <c r="AH256" i="82"/>
  <c r="AI256" i="82"/>
  <c r="AJ256" i="82"/>
  <c r="AK256" i="82"/>
  <c r="AL256" i="82"/>
  <c r="AM256" i="82"/>
  <c r="AN256" i="82"/>
  <c r="AO256" i="82"/>
  <c r="AP256" i="82"/>
  <c r="AQ256" i="82"/>
  <c r="AR256" i="82"/>
  <c r="AS256" i="82"/>
  <c r="AT256" i="82"/>
  <c r="AU256" i="82"/>
  <c r="AV256" i="82"/>
  <c r="AW256" i="82"/>
  <c r="AX256" i="82"/>
  <c r="AY256" i="82"/>
  <c r="AZ256" i="82"/>
  <c r="BA256" i="82"/>
  <c r="BB256" i="82"/>
  <c r="BC256" i="82"/>
  <c r="BD256" i="82"/>
  <c r="BE256" i="82"/>
  <c r="BF256" i="82"/>
  <c r="BG256" i="82"/>
  <c r="BH256" i="82"/>
  <c r="BI256" i="82"/>
  <c r="BJ256" i="82"/>
  <c r="BK256" i="82"/>
  <c r="BL256" i="82"/>
  <c r="BM256" i="82"/>
  <c r="BN256" i="82"/>
  <c r="BO256" i="82"/>
  <c r="BP256" i="82"/>
  <c r="BQ256" i="82"/>
  <c r="BR256" i="82"/>
  <c r="BS256" i="82"/>
  <c r="BT256" i="82"/>
  <c r="BU256" i="82"/>
  <c r="BV256" i="82"/>
  <c r="BW256" i="82"/>
  <c r="BX256" i="82"/>
  <c r="BY256" i="82"/>
  <c r="BZ256" i="82"/>
  <c r="CA256" i="82"/>
  <c r="CB256" i="82"/>
  <c r="CC256" i="82"/>
  <c r="CD256" i="82"/>
  <c r="CE256" i="82"/>
  <c r="CF256" i="82"/>
  <c r="CG256" i="82"/>
  <c r="CH256" i="82"/>
  <c r="CI256" i="82"/>
  <c r="CJ256" i="82"/>
  <c r="CK256" i="82"/>
  <c r="CL256" i="82"/>
  <c r="CM256" i="82"/>
  <c r="CN256" i="82"/>
  <c r="CO256" i="82"/>
  <c r="CP256" i="82"/>
  <c r="CQ256" i="82"/>
  <c r="CR256" i="82"/>
  <c r="CS256" i="82"/>
  <c r="CT256" i="82"/>
  <c r="CU256" i="82"/>
  <c r="CV256" i="82"/>
  <c r="CW256" i="82"/>
  <c r="CX256" i="82"/>
  <c r="B257" i="82"/>
  <c r="D257" i="82"/>
  <c r="E257" i="82"/>
  <c r="F257" i="82"/>
  <c r="G257" i="82"/>
  <c r="H257" i="82"/>
  <c r="I257" i="82"/>
  <c r="J257" i="82"/>
  <c r="K257" i="82"/>
  <c r="L257" i="82"/>
  <c r="M257" i="82"/>
  <c r="N257" i="82"/>
  <c r="O257" i="82"/>
  <c r="P257" i="82"/>
  <c r="Q257" i="82"/>
  <c r="R257" i="82"/>
  <c r="S257" i="82"/>
  <c r="T257" i="82"/>
  <c r="U257" i="82"/>
  <c r="V257" i="82"/>
  <c r="W257" i="82"/>
  <c r="X257" i="82"/>
  <c r="Y257" i="82"/>
  <c r="Z257" i="82"/>
  <c r="AA257" i="82"/>
  <c r="AB257" i="82"/>
  <c r="AC257" i="82"/>
  <c r="AD257" i="82"/>
  <c r="AE257" i="82"/>
  <c r="AF257" i="82"/>
  <c r="AG257" i="82"/>
  <c r="AH257" i="82"/>
  <c r="AI257" i="82"/>
  <c r="AJ257" i="82"/>
  <c r="AK257" i="82"/>
  <c r="AL257" i="82"/>
  <c r="AM257" i="82"/>
  <c r="AN257" i="82"/>
  <c r="AO257" i="82"/>
  <c r="AP257" i="82"/>
  <c r="AQ257" i="82"/>
  <c r="AR257" i="82"/>
  <c r="AS257" i="82"/>
  <c r="AT257" i="82"/>
  <c r="AU257" i="82"/>
  <c r="AV257" i="82"/>
  <c r="AW257" i="82"/>
  <c r="AX257" i="82"/>
  <c r="AY257" i="82"/>
  <c r="AZ257" i="82"/>
  <c r="BA257" i="82"/>
  <c r="BB257" i="82"/>
  <c r="BC257" i="82"/>
  <c r="BD257" i="82"/>
  <c r="BE257" i="82"/>
  <c r="BF257" i="82"/>
  <c r="BG257" i="82"/>
  <c r="BH257" i="82"/>
  <c r="BI257" i="82"/>
  <c r="BJ257" i="82"/>
  <c r="BK257" i="82"/>
  <c r="BL257" i="82"/>
  <c r="BM257" i="82"/>
  <c r="BN257" i="82"/>
  <c r="BO257" i="82"/>
  <c r="BP257" i="82"/>
  <c r="BQ257" i="82"/>
  <c r="BR257" i="82"/>
  <c r="BS257" i="82"/>
  <c r="BT257" i="82"/>
  <c r="BU257" i="82"/>
  <c r="BV257" i="82"/>
  <c r="BW257" i="82"/>
  <c r="BX257" i="82"/>
  <c r="BY257" i="82"/>
  <c r="BZ257" i="82"/>
  <c r="CA257" i="82"/>
  <c r="CB257" i="82"/>
  <c r="CC257" i="82"/>
  <c r="CD257" i="82"/>
  <c r="CE257" i="82"/>
  <c r="CF257" i="82"/>
  <c r="CG257" i="82"/>
  <c r="CH257" i="82"/>
  <c r="CI257" i="82"/>
  <c r="CJ257" i="82"/>
  <c r="CK257" i="82"/>
  <c r="CL257" i="82"/>
  <c r="CM257" i="82"/>
  <c r="CN257" i="82"/>
  <c r="CO257" i="82"/>
  <c r="CP257" i="82"/>
  <c r="CQ257" i="82"/>
  <c r="CR257" i="82"/>
  <c r="CS257" i="82"/>
  <c r="CT257" i="82"/>
  <c r="CU257" i="82"/>
  <c r="CV257" i="82"/>
  <c r="CW257" i="82"/>
  <c r="CX257" i="82"/>
  <c r="B258" i="82"/>
  <c r="D258" i="82"/>
  <c r="E258" i="82"/>
  <c r="F258" i="82"/>
  <c r="G258" i="82"/>
  <c r="H258" i="82"/>
  <c r="I258" i="82"/>
  <c r="J258" i="82"/>
  <c r="K258" i="82"/>
  <c r="L258" i="82"/>
  <c r="M258" i="82"/>
  <c r="N258" i="82"/>
  <c r="O258" i="82"/>
  <c r="P258" i="82"/>
  <c r="Q258" i="82"/>
  <c r="R258" i="82"/>
  <c r="S258" i="82"/>
  <c r="T258" i="82"/>
  <c r="U258" i="82"/>
  <c r="V258" i="82"/>
  <c r="W258" i="82"/>
  <c r="X258" i="82"/>
  <c r="Y258" i="82"/>
  <c r="Z258" i="82"/>
  <c r="AA258" i="82"/>
  <c r="AB258" i="82"/>
  <c r="AC258" i="82"/>
  <c r="AD258" i="82"/>
  <c r="AE258" i="82"/>
  <c r="AF258" i="82"/>
  <c r="AG258" i="82"/>
  <c r="AH258" i="82"/>
  <c r="AI258" i="82"/>
  <c r="AJ258" i="82"/>
  <c r="AK258" i="82"/>
  <c r="AL258" i="82"/>
  <c r="AM258" i="82"/>
  <c r="AN258" i="82"/>
  <c r="AO258" i="82"/>
  <c r="AP258" i="82"/>
  <c r="AQ258" i="82"/>
  <c r="AR258" i="82"/>
  <c r="AS258" i="82"/>
  <c r="AT258" i="82"/>
  <c r="AU258" i="82"/>
  <c r="AV258" i="82"/>
  <c r="AW258" i="82"/>
  <c r="AX258" i="82"/>
  <c r="AY258" i="82"/>
  <c r="AZ258" i="82"/>
  <c r="BA258" i="82"/>
  <c r="BB258" i="82"/>
  <c r="BC258" i="82"/>
  <c r="BD258" i="82"/>
  <c r="BE258" i="82"/>
  <c r="BF258" i="82"/>
  <c r="BG258" i="82"/>
  <c r="BH258" i="82"/>
  <c r="BI258" i="82"/>
  <c r="BJ258" i="82"/>
  <c r="BK258" i="82"/>
  <c r="BL258" i="82"/>
  <c r="BM258" i="82"/>
  <c r="BN258" i="82"/>
  <c r="BO258" i="82"/>
  <c r="BP258" i="82"/>
  <c r="BQ258" i="82"/>
  <c r="BR258" i="82"/>
  <c r="BS258" i="82"/>
  <c r="BT258" i="82"/>
  <c r="BU258" i="82"/>
  <c r="BV258" i="82"/>
  <c r="BW258" i="82"/>
  <c r="BX258" i="82"/>
  <c r="BY258" i="82"/>
  <c r="BZ258" i="82"/>
  <c r="CA258" i="82"/>
  <c r="CB258" i="82"/>
  <c r="CC258" i="82"/>
  <c r="CD258" i="82"/>
  <c r="CE258" i="82"/>
  <c r="CF258" i="82"/>
  <c r="CG258" i="82"/>
  <c r="CH258" i="82"/>
  <c r="CI258" i="82"/>
  <c r="CJ258" i="82"/>
  <c r="CK258" i="82"/>
  <c r="CL258" i="82"/>
  <c r="CM258" i="82"/>
  <c r="CN258" i="82"/>
  <c r="CO258" i="82"/>
  <c r="CP258" i="82"/>
  <c r="CQ258" i="82"/>
  <c r="CR258" i="82"/>
  <c r="CS258" i="82"/>
  <c r="CT258" i="82"/>
  <c r="CU258" i="82"/>
  <c r="CV258" i="82"/>
  <c r="CW258" i="82"/>
  <c r="CX258" i="82"/>
  <c r="B259" i="82"/>
  <c r="D259" i="82"/>
  <c r="E259" i="82"/>
  <c r="E277" i="82" s="1"/>
  <c r="E278" i="82" s="1"/>
  <c r="E285" i="82" s="1"/>
  <c r="E289" i="82" s="1"/>
  <c r="F259" i="82"/>
  <c r="G259" i="82"/>
  <c r="H259" i="82"/>
  <c r="I259" i="82"/>
  <c r="J259" i="82"/>
  <c r="K259" i="82"/>
  <c r="L259" i="82"/>
  <c r="M259" i="82"/>
  <c r="N259" i="82"/>
  <c r="O259" i="82"/>
  <c r="P259" i="82"/>
  <c r="Q259" i="82"/>
  <c r="R259" i="82"/>
  <c r="S259" i="82"/>
  <c r="T259" i="82"/>
  <c r="U259" i="82"/>
  <c r="V259" i="82"/>
  <c r="W259" i="82"/>
  <c r="X259" i="82"/>
  <c r="Y259" i="82"/>
  <c r="Z259" i="82"/>
  <c r="AA259" i="82"/>
  <c r="AB259" i="82"/>
  <c r="AC259" i="82"/>
  <c r="AD259" i="82"/>
  <c r="AE259" i="82"/>
  <c r="AF259" i="82"/>
  <c r="AG259" i="82"/>
  <c r="AH259" i="82"/>
  <c r="AI259" i="82"/>
  <c r="AJ259" i="82"/>
  <c r="AK259" i="82"/>
  <c r="AL259" i="82"/>
  <c r="AM259" i="82"/>
  <c r="AN259" i="82"/>
  <c r="AO259" i="82"/>
  <c r="AP259" i="82"/>
  <c r="AQ259" i="82"/>
  <c r="AR259" i="82"/>
  <c r="AS259" i="82"/>
  <c r="AT259" i="82"/>
  <c r="AU259" i="82"/>
  <c r="AV259" i="82"/>
  <c r="AW259" i="82"/>
  <c r="AX259" i="82"/>
  <c r="AY259" i="82"/>
  <c r="AZ259" i="82"/>
  <c r="BA259" i="82"/>
  <c r="BB259" i="82"/>
  <c r="BC259" i="82"/>
  <c r="BD259" i="82"/>
  <c r="BE259" i="82"/>
  <c r="BF259" i="82"/>
  <c r="BG259" i="82"/>
  <c r="BH259" i="82"/>
  <c r="BI259" i="82"/>
  <c r="BJ259" i="82"/>
  <c r="BK259" i="82"/>
  <c r="BL259" i="82"/>
  <c r="BM259" i="82"/>
  <c r="BN259" i="82"/>
  <c r="BO259" i="82"/>
  <c r="BP259" i="82"/>
  <c r="BQ259" i="82"/>
  <c r="BR259" i="82"/>
  <c r="BS259" i="82"/>
  <c r="BT259" i="82"/>
  <c r="BU259" i="82"/>
  <c r="BV259" i="82"/>
  <c r="BW259" i="82"/>
  <c r="BX259" i="82"/>
  <c r="BY259" i="82"/>
  <c r="BZ259" i="82"/>
  <c r="CA259" i="82"/>
  <c r="CB259" i="82"/>
  <c r="CC259" i="82"/>
  <c r="CD259" i="82"/>
  <c r="CE259" i="82"/>
  <c r="CF259" i="82"/>
  <c r="CG259" i="82"/>
  <c r="CH259" i="82"/>
  <c r="CI259" i="82"/>
  <c r="CJ259" i="82"/>
  <c r="CK259" i="82"/>
  <c r="CL259" i="82"/>
  <c r="CM259" i="82"/>
  <c r="CN259" i="82"/>
  <c r="CO259" i="82"/>
  <c r="CP259" i="82"/>
  <c r="CQ259" i="82"/>
  <c r="CR259" i="82"/>
  <c r="CS259" i="82"/>
  <c r="CT259" i="82"/>
  <c r="CU259" i="82"/>
  <c r="CV259" i="82"/>
  <c r="CW259" i="82"/>
  <c r="CX259" i="82"/>
  <c r="B260" i="82"/>
  <c r="D260" i="82"/>
  <c r="E260" i="82"/>
  <c r="F260" i="82"/>
  <c r="G260" i="82"/>
  <c r="H260" i="82"/>
  <c r="I260" i="82"/>
  <c r="J260" i="82"/>
  <c r="K260" i="82"/>
  <c r="L260" i="82"/>
  <c r="M260" i="82"/>
  <c r="N260" i="82"/>
  <c r="O260" i="82"/>
  <c r="P260" i="82"/>
  <c r="Q260" i="82"/>
  <c r="R260" i="82"/>
  <c r="S260" i="82"/>
  <c r="T260" i="82"/>
  <c r="U260" i="82"/>
  <c r="V260" i="82"/>
  <c r="W260" i="82"/>
  <c r="X260" i="82"/>
  <c r="Y260" i="82"/>
  <c r="Z260" i="82"/>
  <c r="AA260" i="82"/>
  <c r="AB260" i="82"/>
  <c r="AC260" i="82"/>
  <c r="AD260" i="82"/>
  <c r="AE260" i="82"/>
  <c r="AF260" i="82"/>
  <c r="AG260" i="82"/>
  <c r="AH260" i="82"/>
  <c r="AI260" i="82"/>
  <c r="AJ260" i="82"/>
  <c r="AK260" i="82"/>
  <c r="AL260" i="82"/>
  <c r="AM260" i="82"/>
  <c r="AN260" i="82"/>
  <c r="AO260" i="82"/>
  <c r="AP260" i="82"/>
  <c r="AQ260" i="82"/>
  <c r="AR260" i="82"/>
  <c r="AS260" i="82"/>
  <c r="AT260" i="82"/>
  <c r="AU260" i="82"/>
  <c r="AV260" i="82"/>
  <c r="AW260" i="82"/>
  <c r="AX260" i="82"/>
  <c r="AY260" i="82"/>
  <c r="AZ260" i="82"/>
  <c r="BA260" i="82"/>
  <c r="BB260" i="82"/>
  <c r="BC260" i="82"/>
  <c r="BD260" i="82"/>
  <c r="BE260" i="82"/>
  <c r="BF260" i="82"/>
  <c r="BG260" i="82"/>
  <c r="BH260" i="82"/>
  <c r="BI260" i="82"/>
  <c r="BJ260" i="82"/>
  <c r="BK260" i="82"/>
  <c r="BL260" i="82"/>
  <c r="BM260" i="82"/>
  <c r="BN260" i="82"/>
  <c r="BO260" i="82"/>
  <c r="BP260" i="82"/>
  <c r="BQ260" i="82"/>
  <c r="BR260" i="82"/>
  <c r="BS260" i="82"/>
  <c r="BT260" i="82"/>
  <c r="BU260" i="82"/>
  <c r="BV260" i="82"/>
  <c r="BW260" i="82"/>
  <c r="BX260" i="82"/>
  <c r="BY260" i="82"/>
  <c r="BZ260" i="82"/>
  <c r="CA260" i="82"/>
  <c r="CB260" i="82"/>
  <c r="CC260" i="82"/>
  <c r="CD260" i="82"/>
  <c r="CE260" i="82"/>
  <c r="CF260" i="82"/>
  <c r="CG260" i="82"/>
  <c r="CH260" i="82"/>
  <c r="CI260" i="82"/>
  <c r="CJ260" i="82"/>
  <c r="CK260" i="82"/>
  <c r="CL260" i="82"/>
  <c r="CM260" i="82"/>
  <c r="CN260" i="82"/>
  <c r="CO260" i="82"/>
  <c r="CP260" i="82"/>
  <c r="CQ260" i="82"/>
  <c r="CR260" i="82"/>
  <c r="CS260" i="82"/>
  <c r="CT260" i="82"/>
  <c r="CU260" i="82"/>
  <c r="CV260" i="82"/>
  <c r="CW260" i="82"/>
  <c r="CX260" i="82"/>
  <c r="B261" i="82"/>
  <c r="D261" i="82"/>
  <c r="E261" i="82"/>
  <c r="F261" i="82"/>
  <c r="G261" i="82"/>
  <c r="H261" i="82"/>
  <c r="I261" i="82"/>
  <c r="J261" i="82"/>
  <c r="K261" i="82"/>
  <c r="L261" i="82"/>
  <c r="M261" i="82"/>
  <c r="N261" i="82"/>
  <c r="O261" i="82"/>
  <c r="P261" i="82"/>
  <c r="Q261" i="82"/>
  <c r="R261" i="82"/>
  <c r="S261" i="82"/>
  <c r="T261" i="82"/>
  <c r="U261" i="82"/>
  <c r="V261" i="82"/>
  <c r="W261" i="82"/>
  <c r="X261" i="82"/>
  <c r="Y261" i="82"/>
  <c r="Z261" i="82"/>
  <c r="AA261" i="82"/>
  <c r="AB261" i="82"/>
  <c r="AC261" i="82"/>
  <c r="AD261" i="82"/>
  <c r="AE261" i="82"/>
  <c r="AF261" i="82"/>
  <c r="AG261" i="82"/>
  <c r="AH261" i="82"/>
  <c r="AI261" i="82"/>
  <c r="AJ261" i="82"/>
  <c r="AK261" i="82"/>
  <c r="AL261" i="82"/>
  <c r="AM261" i="82"/>
  <c r="AN261" i="82"/>
  <c r="AO261" i="82"/>
  <c r="AP261" i="82"/>
  <c r="AQ261" i="82"/>
  <c r="AR261" i="82"/>
  <c r="AS261" i="82"/>
  <c r="AT261" i="82"/>
  <c r="AU261" i="82"/>
  <c r="AV261" i="82"/>
  <c r="AW261" i="82"/>
  <c r="AX261" i="82"/>
  <c r="AY261" i="82"/>
  <c r="AZ261" i="82"/>
  <c r="BA261" i="82"/>
  <c r="BB261" i="82"/>
  <c r="BC261" i="82"/>
  <c r="BD261" i="82"/>
  <c r="BE261" i="82"/>
  <c r="BF261" i="82"/>
  <c r="BG261" i="82"/>
  <c r="BH261" i="82"/>
  <c r="BI261" i="82"/>
  <c r="BJ261" i="82"/>
  <c r="BK261" i="82"/>
  <c r="BL261" i="82"/>
  <c r="BM261" i="82"/>
  <c r="BN261" i="82"/>
  <c r="BO261" i="82"/>
  <c r="BP261" i="82"/>
  <c r="BQ261" i="82"/>
  <c r="BR261" i="82"/>
  <c r="BS261" i="82"/>
  <c r="BT261" i="82"/>
  <c r="BU261" i="82"/>
  <c r="BV261" i="82"/>
  <c r="BW261" i="82"/>
  <c r="BX261" i="82"/>
  <c r="BY261" i="82"/>
  <c r="BZ261" i="82"/>
  <c r="CA261" i="82"/>
  <c r="CB261" i="82"/>
  <c r="CC261" i="82"/>
  <c r="CD261" i="82"/>
  <c r="CE261" i="82"/>
  <c r="CF261" i="82"/>
  <c r="CG261" i="82"/>
  <c r="CH261" i="82"/>
  <c r="CI261" i="82"/>
  <c r="CJ261" i="82"/>
  <c r="CK261" i="82"/>
  <c r="CL261" i="82"/>
  <c r="CM261" i="82"/>
  <c r="CN261" i="82"/>
  <c r="CO261" i="82"/>
  <c r="CP261" i="82"/>
  <c r="CQ261" i="82"/>
  <c r="CR261" i="82"/>
  <c r="CS261" i="82"/>
  <c r="CT261" i="82"/>
  <c r="CU261" i="82"/>
  <c r="CV261" i="82"/>
  <c r="CW261" i="82"/>
  <c r="CX261" i="82"/>
  <c r="B262" i="82"/>
  <c r="D262" i="82"/>
  <c r="E262" i="82"/>
  <c r="F262" i="82"/>
  <c r="G262" i="82"/>
  <c r="H262" i="82"/>
  <c r="I262" i="82"/>
  <c r="J262" i="82"/>
  <c r="K262" i="82"/>
  <c r="L262" i="82"/>
  <c r="M262" i="82"/>
  <c r="N262" i="82"/>
  <c r="O262" i="82"/>
  <c r="P262" i="82"/>
  <c r="Q262" i="82"/>
  <c r="R262" i="82"/>
  <c r="S262" i="82"/>
  <c r="T262" i="82"/>
  <c r="U262" i="82"/>
  <c r="V262" i="82"/>
  <c r="W262" i="82"/>
  <c r="X262" i="82"/>
  <c r="Y262" i="82"/>
  <c r="Z262" i="82"/>
  <c r="AA262" i="82"/>
  <c r="AB262" i="82"/>
  <c r="AC262" i="82"/>
  <c r="AD262" i="82"/>
  <c r="AE262" i="82"/>
  <c r="AF262" i="82"/>
  <c r="AG262" i="82"/>
  <c r="AH262" i="82"/>
  <c r="AI262" i="82"/>
  <c r="AJ262" i="82"/>
  <c r="AK262" i="82"/>
  <c r="AL262" i="82"/>
  <c r="AM262" i="82"/>
  <c r="AN262" i="82"/>
  <c r="AO262" i="82"/>
  <c r="AP262" i="82"/>
  <c r="AQ262" i="82"/>
  <c r="AR262" i="82"/>
  <c r="AS262" i="82"/>
  <c r="AT262" i="82"/>
  <c r="AU262" i="82"/>
  <c r="AV262" i="82"/>
  <c r="AW262" i="82"/>
  <c r="AX262" i="82"/>
  <c r="AY262" i="82"/>
  <c r="AZ262" i="82"/>
  <c r="BA262" i="82"/>
  <c r="BB262" i="82"/>
  <c r="BC262" i="82"/>
  <c r="BD262" i="82"/>
  <c r="BE262" i="82"/>
  <c r="BF262" i="82"/>
  <c r="BG262" i="82"/>
  <c r="BH262" i="82"/>
  <c r="BI262" i="82"/>
  <c r="BJ262" i="82"/>
  <c r="BK262" i="82"/>
  <c r="BL262" i="82"/>
  <c r="BM262" i="82"/>
  <c r="BN262" i="82"/>
  <c r="BO262" i="82"/>
  <c r="BP262" i="82"/>
  <c r="BQ262" i="82"/>
  <c r="BR262" i="82"/>
  <c r="BS262" i="82"/>
  <c r="BT262" i="82"/>
  <c r="BU262" i="82"/>
  <c r="BV262" i="82"/>
  <c r="BW262" i="82"/>
  <c r="BX262" i="82"/>
  <c r="BY262" i="82"/>
  <c r="BZ262" i="82"/>
  <c r="CA262" i="82"/>
  <c r="CB262" i="82"/>
  <c r="CC262" i="82"/>
  <c r="CD262" i="82"/>
  <c r="CE262" i="82"/>
  <c r="CF262" i="82"/>
  <c r="CG262" i="82"/>
  <c r="CH262" i="82"/>
  <c r="CI262" i="82"/>
  <c r="CJ262" i="82"/>
  <c r="CK262" i="82"/>
  <c r="CL262" i="82"/>
  <c r="CM262" i="82"/>
  <c r="CN262" i="82"/>
  <c r="CO262" i="82"/>
  <c r="CP262" i="82"/>
  <c r="CQ262" i="82"/>
  <c r="CR262" i="82"/>
  <c r="CS262" i="82"/>
  <c r="CT262" i="82"/>
  <c r="CU262" i="82"/>
  <c r="CV262" i="82"/>
  <c r="CW262" i="82"/>
  <c r="CX262" i="82"/>
  <c r="B263" i="82"/>
  <c r="D263" i="82"/>
  <c r="E263" i="82"/>
  <c r="F263" i="82"/>
  <c r="G263" i="82"/>
  <c r="H263" i="82"/>
  <c r="I263" i="82"/>
  <c r="J263" i="82"/>
  <c r="K263" i="82"/>
  <c r="L263" i="82"/>
  <c r="M263" i="82"/>
  <c r="N263" i="82"/>
  <c r="O263" i="82"/>
  <c r="P263" i="82"/>
  <c r="Q263" i="82"/>
  <c r="R263" i="82"/>
  <c r="S263" i="82"/>
  <c r="T263" i="82"/>
  <c r="U263" i="82"/>
  <c r="V263" i="82"/>
  <c r="W263" i="82"/>
  <c r="X263" i="82"/>
  <c r="Y263" i="82"/>
  <c r="Z263" i="82"/>
  <c r="AA263" i="82"/>
  <c r="AB263" i="82"/>
  <c r="AC263" i="82"/>
  <c r="AD263" i="82"/>
  <c r="AE263" i="82"/>
  <c r="AF263" i="82"/>
  <c r="AG263" i="82"/>
  <c r="AH263" i="82"/>
  <c r="AI263" i="82"/>
  <c r="AJ263" i="82"/>
  <c r="AK263" i="82"/>
  <c r="AL263" i="82"/>
  <c r="AM263" i="82"/>
  <c r="AN263" i="82"/>
  <c r="AO263" i="82"/>
  <c r="AP263" i="82"/>
  <c r="AQ263" i="82"/>
  <c r="AR263" i="82"/>
  <c r="AS263" i="82"/>
  <c r="AT263" i="82"/>
  <c r="AU263" i="82"/>
  <c r="AV263" i="82"/>
  <c r="AW263" i="82"/>
  <c r="AX263" i="82"/>
  <c r="AY263" i="82"/>
  <c r="AZ263" i="82"/>
  <c r="BA263" i="82"/>
  <c r="BB263" i="82"/>
  <c r="BC263" i="82"/>
  <c r="BD263" i="82"/>
  <c r="BE263" i="82"/>
  <c r="BF263" i="82"/>
  <c r="BG263" i="82"/>
  <c r="BH263" i="82"/>
  <c r="BI263" i="82"/>
  <c r="BJ263" i="82"/>
  <c r="BK263" i="82"/>
  <c r="BL263" i="82"/>
  <c r="BM263" i="82"/>
  <c r="BN263" i="82"/>
  <c r="BO263" i="82"/>
  <c r="BP263" i="82"/>
  <c r="BQ263" i="82"/>
  <c r="BR263" i="82"/>
  <c r="BS263" i="82"/>
  <c r="BT263" i="82"/>
  <c r="BU263" i="82"/>
  <c r="BV263" i="82"/>
  <c r="BW263" i="82"/>
  <c r="BX263" i="82"/>
  <c r="BY263" i="82"/>
  <c r="BZ263" i="82"/>
  <c r="CA263" i="82"/>
  <c r="CB263" i="82"/>
  <c r="CC263" i="82"/>
  <c r="CD263" i="82"/>
  <c r="CE263" i="82"/>
  <c r="CF263" i="82"/>
  <c r="CG263" i="82"/>
  <c r="CH263" i="82"/>
  <c r="CI263" i="82"/>
  <c r="CJ263" i="82"/>
  <c r="CK263" i="82"/>
  <c r="CL263" i="82"/>
  <c r="CM263" i="82"/>
  <c r="CN263" i="82"/>
  <c r="CO263" i="82"/>
  <c r="CP263" i="82"/>
  <c r="CQ263" i="82"/>
  <c r="CR263" i="82"/>
  <c r="CS263" i="82"/>
  <c r="CT263" i="82"/>
  <c r="CU263" i="82"/>
  <c r="CV263" i="82"/>
  <c r="CW263" i="82"/>
  <c r="CX263" i="82"/>
  <c r="B264" i="82"/>
  <c r="D264" i="82"/>
  <c r="E264" i="82"/>
  <c r="F264" i="82"/>
  <c r="G264" i="82"/>
  <c r="H264" i="82"/>
  <c r="I264" i="82"/>
  <c r="J264" i="82"/>
  <c r="K264" i="82"/>
  <c r="L264" i="82"/>
  <c r="M264" i="82"/>
  <c r="N264" i="82"/>
  <c r="O264" i="82"/>
  <c r="P264" i="82"/>
  <c r="Q264" i="82"/>
  <c r="R264" i="82"/>
  <c r="S264" i="82"/>
  <c r="T264" i="82"/>
  <c r="U264" i="82"/>
  <c r="V264" i="82"/>
  <c r="W264" i="82"/>
  <c r="X264" i="82"/>
  <c r="Y264" i="82"/>
  <c r="Z264" i="82"/>
  <c r="AA264" i="82"/>
  <c r="AB264" i="82"/>
  <c r="AC264" i="82"/>
  <c r="AD264" i="82"/>
  <c r="AE264" i="82"/>
  <c r="AF264" i="82"/>
  <c r="AG264" i="82"/>
  <c r="AH264" i="82"/>
  <c r="AI264" i="82"/>
  <c r="AJ264" i="82"/>
  <c r="AK264" i="82"/>
  <c r="AL264" i="82"/>
  <c r="AM264" i="82"/>
  <c r="AN264" i="82"/>
  <c r="AO264" i="82"/>
  <c r="AP264" i="82"/>
  <c r="AQ264" i="82"/>
  <c r="AR264" i="82"/>
  <c r="AS264" i="82"/>
  <c r="AT264" i="82"/>
  <c r="AU264" i="82"/>
  <c r="AV264" i="82"/>
  <c r="AW264" i="82"/>
  <c r="AX264" i="82"/>
  <c r="AY264" i="82"/>
  <c r="AZ264" i="82"/>
  <c r="BA264" i="82"/>
  <c r="BB264" i="82"/>
  <c r="BC264" i="82"/>
  <c r="BD264" i="82"/>
  <c r="BE264" i="82"/>
  <c r="BF264" i="82"/>
  <c r="BG264" i="82"/>
  <c r="BH264" i="82"/>
  <c r="BI264" i="82"/>
  <c r="BJ264" i="82"/>
  <c r="BK264" i="82"/>
  <c r="BL264" i="82"/>
  <c r="BM264" i="82"/>
  <c r="BN264" i="82"/>
  <c r="BO264" i="82"/>
  <c r="BP264" i="82"/>
  <c r="BQ264" i="82"/>
  <c r="BR264" i="82"/>
  <c r="BS264" i="82"/>
  <c r="BT264" i="82"/>
  <c r="BU264" i="82"/>
  <c r="BV264" i="82"/>
  <c r="BW264" i="82"/>
  <c r="BX264" i="82"/>
  <c r="BY264" i="82"/>
  <c r="BZ264" i="82"/>
  <c r="CA264" i="82"/>
  <c r="CB264" i="82"/>
  <c r="CC264" i="82"/>
  <c r="CD264" i="82"/>
  <c r="CE264" i="82"/>
  <c r="CF264" i="82"/>
  <c r="CG264" i="82"/>
  <c r="CH264" i="82"/>
  <c r="CI264" i="82"/>
  <c r="CJ264" i="82"/>
  <c r="CK264" i="82"/>
  <c r="CL264" i="82"/>
  <c r="CM264" i="82"/>
  <c r="CN264" i="82"/>
  <c r="CO264" i="82"/>
  <c r="CP264" i="82"/>
  <c r="CQ264" i="82"/>
  <c r="CR264" i="82"/>
  <c r="CS264" i="82"/>
  <c r="CT264" i="82"/>
  <c r="CU264" i="82"/>
  <c r="CV264" i="82"/>
  <c r="CW264" i="82"/>
  <c r="CX264" i="82"/>
  <c r="B265" i="82"/>
  <c r="D265" i="82"/>
  <c r="E265" i="82"/>
  <c r="F265" i="82"/>
  <c r="G265" i="82"/>
  <c r="H265" i="82"/>
  <c r="I265" i="82"/>
  <c r="J265" i="82"/>
  <c r="K265" i="82"/>
  <c r="L265" i="82"/>
  <c r="M265" i="82"/>
  <c r="N265" i="82"/>
  <c r="O265" i="82"/>
  <c r="P265" i="82"/>
  <c r="Q265" i="82"/>
  <c r="R265" i="82"/>
  <c r="S265" i="82"/>
  <c r="T265" i="82"/>
  <c r="U265" i="82"/>
  <c r="V265" i="82"/>
  <c r="W265" i="82"/>
  <c r="X265" i="82"/>
  <c r="Y265" i="82"/>
  <c r="Z265" i="82"/>
  <c r="AA265" i="82"/>
  <c r="AB265" i="82"/>
  <c r="AC265" i="82"/>
  <c r="AD265" i="82"/>
  <c r="AE265" i="82"/>
  <c r="AF265" i="82"/>
  <c r="AG265" i="82"/>
  <c r="AH265" i="82"/>
  <c r="AI265" i="82"/>
  <c r="AJ265" i="82"/>
  <c r="AK265" i="82"/>
  <c r="AL265" i="82"/>
  <c r="AM265" i="82"/>
  <c r="AN265" i="82"/>
  <c r="AO265" i="82"/>
  <c r="AP265" i="82"/>
  <c r="AQ265" i="82"/>
  <c r="AR265" i="82"/>
  <c r="AS265" i="82"/>
  <c r="AT265" i="82"/>
  <c r="AU265" i="82"/>
  <c r="AV265" i="82"/>
  <c r="AW265" i="82"/>
  <c r="AX265" i="82"/>
  <c r="AY265" i="82"/>
  <c r="AZ265" i="82"/>
  <c r="BA265" i="82"/>
  <c r="BB265" i="82"/>
  <c r="BC265" i="82"/>
  <c r="BD265" i="82"/>
  <c r="BE265" i="82"/>
  <c r="BF265" i="82"/>
  <c r="BG265" i="82"/>
  <c r="BH265" i="82"/>
  <c r="BI265" i="82"/>
  <c r="BJ265" i="82"/>
  <c r="BK265" i="82"/>
  <c r="BL265" i="82"/>
  <c r="BM265" i="82"/>
  <c r="BN265" i="82"/>
  <c r="BO265" i="82"/>
  <c r="BP265" i="82"/>
  <c r="BQ265" i="82"/>
  <c r="BR265" i="82"/>
  <c r="BS265" i="82"/>
  <c r="BT265" i="82"/>
  <c r="BU265" i="82"/>
  <c r="BV265" i="82"/>
  <c r="BW265" i="82"/>
  <c r="BX265" i="82"/>
  <c r="BY265" i="82"/>
  <c r="BZ265" i="82"/>
  <c r="CA265" i="82"/>
  <c r="CB265" i="82"/>
  <c r="CC265" i="82"/>
  <c r="CD265" i="82"/>
  <c r="CE265" i="82"/>
  <c r="CF265" i="82"/>
  <c r="CG265" i="82"/>
  <c r="CH265" i="82"/>
  <c r="CI265" i="82"/>
  <c r="CJ265" i="82"/>
  <c r="CK265" i="82"/>
  <c r="CL265" i="82"/>
  <c r="CM265" i="82"/>
  <c r="CN265" i="82"/>
  <c r="CO265" i="82"/>
  <c r="CP265" i="82"/>
  <c r="CQ265" i="82"/>
  <c r="CR265" i="82"/>
  <c r="CS265" i="82"/>
  <c r="CT265" i="82"/>
  <c r="CU265" i="82"/>
  <c r="CV265" i="82"/>
  <c r="CW265" i="82"/>
  <c r="CX265" i="82"/>
  <c r="B266" i="82"/>
  <c r="D266" i="82"/>
  <c r="E266" i="82"/>
  <c r="F266" i="82"/>
  <c r="G266" i="82"/>
  <c r="H266" i="82"/>
  <c r="I266" i="82"/>
  <c r="J266" i="82"/>
  <c r="K266" i="82"/>
  <c r="L266" i="82"/>
  <c r="M266" i="82"/>
  <c r="N266" i="82"/>
  <c r="O266" i="82"/>
  <c r="P266" i="82"/>
  <c r="Q266" i="82"/>
  <c r="R266" i="82"/>
  <c r="S266" i="82"/>
  <c r="T266" i="82"/>
  <c r="U266" i="82"/>
  <c r="V266" i="82"/>
  <c r="W266" i="82"/>
  <c r="X266" i="82"/>
  <c r="Y266" i="82"/>
  <c r="Z266" i="82"/>
  <c r="AA266" i="82"/>
  <c r="AB266" i="82"/>
  <c r="AC266" i="82"/>
  <c r="AD266" i="82"/>
  <c r="AE266" i="82"/>
  <c r="AF266" i="82"/>
  <c r="AG266" i="82"/>
  <c r="AH266" i="82"/>
  <c r="AI266" i="82"/>
  <c r="AJ266" i="82"/>
  <c r="AK266" i="82"/>
  <c r="AL266" i="82"/>
  <c r="AM266" i="82"/>
  <c r="AN266" i="82"/>
  <c r="AO266" i="82"/>
  <c r="AP266" i="82"/>
  <c r="AQ266" i="82"/>
  <c r="AR266" i="82"/>
  <c r="AS266" i="82"/>
  <c r="AT266" i="82"/>
  <c r="AU266" i="82"/>
  <c r="AV266" i="82"/>
  <c r="AW266" i="82"/>
  <c r="AX266" i="82"/>
  <c r="AY266" i="82"/>
  <c r="AZ266" i="82"/>
  <c r="BA266" i="82"/>
  <c r="BB266" i="82"/>
  <c r="BC266" i="82"/>
  <c r="BD266" i="82"/>
  <c r="BE266" i="82"/>
  <c r="BF266" i="82"/>
  <c r="BG266" i="82"/>
  <c r="BH266" i="82"/>
  <c r="BI266" i="82"/>
  <c r="BJ266" i="82"/>
  <c r="BK266" i="82"/>
  <c r="BL266" i="82"/>
  <c r="BM266" i="82"/>
  <c r="BN266" i="82"/>
  <c r="BO266" i="82"/>
  <c r="BP266" i="82"/>
  <c r="BQ266" i="82"/>
  <c r="BR266" i="82"/>
  <c r="BS266" i="82"/>
  <c r="BT266" i="82"/>
  <c r="BU266" i="82"/>
  <c r="BV266" i="82"/>
  <c r="BW266" i="82"/>
  <c r="BX266" i="82"/>
  <c r="BY266" i="82"/>
  <c r="BZ266" i="82"/>
  <c r="CA266" i="82"/>
  <c r="CB266" i="82"/>
  <c r="CC266" i="82"/>
  <c r="CD266" i="82"/>
  <c r="CE266" i="82"/>
  <c r="CF266" i="82"/>
  <c r="CG266" i="82"/>
  <c r="CH266" i="82"/>
  <c r="CI266" i="82"/>
  <c r="CJ266" i="82"/>
  <c r="CK266" i="82"/>
  <c r="CL266" i="82"/>
  <c r="CM266" i="82"/>
  <c r="CN266" i="82"/>
  <c r="CO266" i="82"/>
  <c r="CP266" i="82"/>
  <c r="CQ266" i="82"/>
  <c r="CR266" i="82"/>
  <c r="CS266" i="82"/>
  <c r="CT266" i="82"/>
  <c r="CU266" i="82"/>
  <c r="CV266" i="82"/>
  <c r="CW266" i="82"/>
  <c r="CX266" i="82"/>
  <c r="B267" i="82"/>
  <c r="D267" i="82"/>
  <c r="E267" i="82"/>
  <c r="F267" i="82"/>
  <c r="G267" i="82"/>
  <c r="H267" i="82"/>
  <c r="I267" i="82"/>
  <c r="J267" i="82"/>
  <c r="K267" i="82"/>
  <c r="L267" i="82"/>
  <c r="M267" i="82"/>
  <c r="N267" i="82"/>
  <c r="O267" i="82"/>
  <c r="P267" i="82"/>
  <c r="Q267" i="82"/>
  <c r="R267" i="82"/>
  <c r="S267" i="82"/>
  <c r="T267" i="82"/>
  <c r="U267" i="82"/>
  <c r="V267" i="82"/>
  <c r="W267" i="82"/>
  <c r="X267" i="82"/>
  <c r="Y267" i="82"/>
  <c r="Z267" i="82"/>
  <c r="AA267" i="82"/>
  <c r="AB267" i="82"/>
  <c r="AC267" i="82"/>
  <c r="AD267" i="82"/>
  <c r="AE267" i="82"/>
  <c r="AF267" i="82"/>
  <c r="AG267" i="82"/>
  <c r="AH267" i="82"/>
  <c r="AI267" i="82"/>
  <c r="AJ267" i="82"/>
  <c r="AK267" i="82"/>
  <c r="AL267" i="82"/>
  <c r="AM267" i="82"/>
  <c r="AN267" i="82"/>
  <c r="AO267" i="82"/>
  <c r="AP267" i="82"/>
  <c r="AQ267" i="82"/>
  <c r="AR267" i="82"/>
  <c r="AS267" i="82"/>
  <c r="AT267" i="82"/>
  <c r="AU267" i="82"/>
  <c r="AV267" i="82"/>
  <c r="AW267" i="82"/>
  <c r="AX267" i="82"/>
  <c r="AY267" i="82"/>
  <c r="AZ267" i="82"/>
  <c r="BA267" i="82"/>
  <c r="BB267" i="82"/>
  <c r="BC267" i="82"/>
  <c r="BD267" i="82"/>
  <c r="BE267" i="82"/>
  <c r="BF267" i="82"/>
  <c r="BG267" i="82"/>
  <c r="BH267" i="82"/>
  <c r="BI267" i="82"/>
  <c r="BJ267" i="82"/>
  <c r="BK267" i="82"/>
  <c r="BL267" i="82"/>
  <c r="BM267" i="82"/>
  <c r="BN267" i="82"/>
  <c r="BO267" i="82"/>
  <c r="BP267" i="82"/>
  <c r="BQ267" i="82"/>
  <c r="BR267" i="82"/>
  <c r="BS267" i="82"/>
  <c r="BT267" i="82"/>
  <c r="BU267" i="82"/>
  <c r="BV267" i="82"/>
  <c r="BW267" i="82"/>
  <c r="BX267" i="82"/>
  <c r="BY267" i="82"/>
  <c r="BZ267" i="82"/>
  <c r="CA267" i="82"/>
  <c r="CB267" i="82"/>
  <c r="CC267" i="82"/>
  <c r="CD267" i="82"/>
  <c r="CE267" i="82"/>
  <c r="CF267" i="82"/>
  <c r="CG267" i="82"/>
  <c r="CH267" i="82"/>
  <c r="CI267" i="82"/>
  <c r="CJ267" i="82"/>
  <c r="CK267" i="82"/>
  <c r="CL267" i="82"/>
  <c r="CM267" i="82"/>
  <c r="CN267" i="82"/>
  <c r="CO267" i="82"/>
  <c r="CP267" i="82"/>
  <c r="CQ267" i="82"/>
  <c r="CR267" i="82"/>
  <c r="CS267" i="82"/>
  <c r="CT267" i="82"/>
  <c r="CU267" i="82"/>
  <c r="CV267" i="82"/>
  <c r="CW267" i="82"/>
  <c r="CX267" i="82"/>
  <c r="B268" i="82"/>
  <c r="D268" i="82"/>
  <c r="E268" i="82"/>
  <c r="F268" i="82"/>
  <c r="G268" i="82"/>
  <c r="H268" i="82"/>
  <c r="I268" i="82"/>
  <c r="J268" i="82"/>
  <c r="K268" i="82"/>
  <c r="L268" i="82"/>
  <c r="M268" i="82"/>
  <c r="N268" i="82"/>
  <c r="O268" i="82"/>
  <c r="P268" i="82"/>
  <c r="Q268" i="82"/>
  <c r="R268" i="82"/>
  <c r="S268" i="82"/>
  <c r="T268" i="82"/>
  <c r="U268" i="82"/>
  <c r="V268" i="82"/>
  <c r="W268" i="82"/>
  <c r="X268" i="82"/>
  <c r="Y268" i="82"/>
  <c r="Z268" i="82"/>
  <c r="AA268" i="82"/>
  <c r="AB268" i="82"/>
  <c r="AC268" i="82"/>
  <c r="AD268" i="82"/>
  <c r="AE268" i="82"/>
  <c r="AF268" i="82"/>
  <c r="AG268" i="82"/>
  <c r="AH268" i="82"/>
  <c r="AI268" i="82"/>
  <c r="AJ268" i="82"/>
  <c r="AK268" i="82"/>
  <c r="AL268" i="82"/>
  <c r="AM268" i="82"/>
  <c r="AN268" i="82"/>
  <c r="AO268" i="82"/>
  <c r="AP268" i="82"/>
  <c r="AQ268" i="82"/>
  <c r="AR268" i="82"/>
  <c r="AS268" i="82"/>
  <c r="AT268" i="82"/>
  <c r="AU268" i="82"/>
  <c r="AV268" i="82"/>
  <c r="AW268" i="82"/>
  <c r="AX268" i="82"/>
  <c r="AY268" i="82"/>
  <c r="AZ268" i="82"/>
  <c r="BA268" i="82"/>
  <c r="BB268" i="82"/>
  <c r="BC268" i="82"/>
  <c r="BD268" i="82"/>
  <c r="BE268" i="82"/>
  <c r="BF268" i="82"/>
  <c r="BG268" i="82"/>
  <c r="BH268" i="82"/>
  <c r="BI268" i="82"/>
  <c r="BJ268" i="82"/>
  <c r="BK268" i="82"/>
  <c r="BL268" i="82"/>
  <c r="BM268" i="82"/>
  <c r="BN268" i="82"/>
  <c r="BO268" i="82"/>
  <c r="BP268" i="82"/>
  <c r="BQ268" i="82"/>
  <c r="BR268" i="82"/>
  <c r="BS268" i="82"/>
  <c r="BT268" i="82"/>
  <c r="BU268" i="82"/>
  <c r="BV268" i="82"/>
  <c r="BW268" i="82"/>
  <c r="BX268" i="82"/>
  <c r="BY268" i="82"/>
  <c r="BZ268" i="82"/>
  <c r="CA268" i="82"/>
  <c r="CB268" i="82"/>
  <c r="CC268" i="82"/>
  <c r="CD268" i="82"/>
  <c r="CE268" i="82"/>
  <c r="CF268" i="82"/>
  <c r="CG268" i="82"/>
  <c r="CH268" i="82"/>
  <c r="CI268" i="82"/>
  <c r="CJ268" i="82"/>
  <c r="CK268" i="82"/>
  <c r="CL268" i="82"/>
  <c r="CM268" i="82"/>
  <c r="CN268" i="82"/>
  <c r="CO268" i="82"/>
  <c r="CP268" i="82"/>
  <c r="CQ268" i="82"/>
  <c r="CR268" i="82"/>
  <c r="CS268" i="82"/>
  <c r="CT268" i="82"/>
  <c r="CU268" i="82"/>
  <c r="CV268" i="82"/>
  <c r="CW268" i="82"/>
  <c r="CX268" i="82"/>
  <c r="B269" i="82"/>
  <c r="D269" i="82"/>
  <c r="E269" i="82"/>
  <c r="F269" i="82"/>
  <c r="G269" i="82"/>
  <c r="H269" i="82"/>
  <c r="I269" i="82"/>
  <c r="J269" i="82"/>
  <c r="K269" i="82"/>
  <c r="L269" i="82"/>
  <c r="M269" i="82"/>
  <c r="N269" i="82"/>
  <c r="O269" i="82"/>
  <c r="P269" i="82"/>
  <c r="Q269" i="82"/>
  <c r="R269" i="82"/>
  <c r="S269" i="82"/>
  <c r="T269" i="82"/>
  <c r="U269" i="82"/>
  <c r="V269" i="82"/>
  <c r="W269" i="82"/>
  <c r="X269" i="82"/>
  <c r="Y269" i="82"/>
  <c r="Z269" i="82"/>
  <c r="AA269" i="82"/>
  <c r="AB269" i="82"/>
  <c r="AC269" i="82"/>
  <c r="AD269" i="82"/>
  <c r="AE269" i="82"/>
  <c r="AF269" i="82"/>
  <c r="AG269" i="82"/>
  <c r="AH269" i="82"/>
  <c r="AI269" i="82"/>
  <c r="AJ269" i="82"/>
  <c r="AK269" i="82"/>
  <c r="AL269" i="82"/>
  <c r="AM269" i="82"/>
  <c r="AN269" i="82"/>
  <c r="AO269" i="82"/>
  <c r="AP269" i="82"/>
  <c r="AQ269" i="82"/>
  <c r="AR269" i="82"/>
  <c r="AS269" i="82"/>
  <c r="AT269" i="82"/>
  <c r="AU269" i="82"/>
  <c r="AV269" i="82"/>
  <c r="AW269" i="82"/>
  <c r="AX269" i="82"/>
  <c r="AY269" i="82"/>
  <c r="AZ269" i="82"/>
  <c r="BA269" i="82"/>
  <c r="BB269" i="82"/>
  <c r="BC269" i="82"/>
  <c r="BD269" i="82"/>
  <c r="BE269" i="82"/>
  <c r="BF269" i="82"/>
  <c r="BG269" i="82"/>
  <c r="BH269" i="82"/>
  <c r="BI269" i="82"/>
  <c r="BJ269" i="82"/>
  <c r="BK269" i="82"/>
  <c r="BL269" i="82"/>
  <c r="BM269" i="82"/>
  <c r="BN269" i="82"/>
  <c r="BO269" i="82"/>
  <c r="BP269" i="82"/>
  <c r="BQ269" i="82"/>
  <c r="BR269" i="82"/>
  <c r="BS269" i="82"/>
  <c r="BT269" i="82"/>
  <c r="BU269" i="82"/>
  <c r="BV269" i="82"/>
  <c r="BW269" i="82"/>
  <c r="BX269" i="82"/>
  <c r="BY269" i="82"/>
  <c r="BZ269" i="82"/>
  <c r="CA269" i="82"/>
  <c r="CB269" i="82"/>
  <c r="CC269" i="82"/>
  <c r="CD269" i="82"/>
  <c r="CE269" i="82"/>
  <c r="CF269" i="82"/>
  <c r="CG269" i="82"/>
  <c r="CH269" i="82"/>
  <c r="CI269" i="82"/>
  <c r="CJ269" i="82"/>
  <c r="CK269" i="82"/>
  <c r="CL269" i="82"/>
  <c r="CM269" i="82"/>
  <c r="CN269" i="82"/>
  <c r="CO269" i="82"/>
  <c r="CP269" i="82"/>
  <c r="CQ269" i="82"/>
  <c r="CR269" i="82"/>
  <c r="CS269" i="82"/>
  <c r="CT269" i="82"/>
  <c r="CU269" i="82"/>
  <c r="CV269" i="82"/>
  <c r="CW269" i="82"/>
  <c r="CX269" i="82"/>
  <c r="B270" i="82"/>
  <c r="D270" i="82"/>
  <c r="E270" i="82"/>
  <c r="F270" i="82"/>
  <c r="G270" i="82"/>
  <c r="H270" i="82"/>
  <c r="I270" i="82"/>
  <c r="J270" i="82"/>
  <c r="K270" i="82"/>
  <c r="L270" i="82"/>
  <c r="M270" i="82"/>
  <c r="N270" i="82"/>
  <c r="O270" i="82"/>
  <c r="P270" i="82"/>
  <c r="Q270" i="82"/>
  <c r="R270" i="82"/>
  <c r="S270" i="82"/>
  <c r="T270" i="82"/>
  <c r="U270" i="82"/>
  <c r="V270" i="82"/>
  <c r="W270" i="82"/>
  <c r="X270" i="82"/>
  <c r="Y270" i="82"/>
  <c r="Z270" i="82"/>
  <c r="AA270" i="82"/>
  <c r="AB270" i="82"/>
  <c r="AC270" i="82"/>
  <c r="AD270" i="82"/>
  <c r="AE270" i="82"/>
  <c r="AF270" i="82"/>
  <c r="AG270" i="82"/>
  <c r="AH270" i="82"/>
  <c r="AI270" i="82"/>
  <c r="AJ270" i="82"/>
  <c r="AK270" i="82"/>
  <c r="AL270" i="82"/>
  <c r="AM270" i="82"/>
  <c r="AN270" i="82"/>
  <c r="AO270" i="82"/>
  <c r="AP270" i="82"/>
  <c r="AQ270" i="82"/>
  <c r="AR270" i="82"/>
  <c r="AS270" i="82"/>
  <c r="AT270" i="82"/>
  <c r="AU270" i="82"/>
  <c r="AV270" i="82"/>
  <c r="AW270" i="82"/>
  <c r="AX270" i="82"/>
  <c r="AY270" i="82"/>
  <c r="AZ270" i="82"/>
  <c r="BA270" i="82"/>
  <c r="BB270" i="82"/>
  <c r="BC270" i="82"/>
  <c r="BD270" i="82"/>
  <c r="BE270" i="82"/>
  <c r="BF270" i="82"/>
  <c r="BG270" i="82"/>
  <c r="BH270" i="82"/>
  <c r="BI270" i="82"/>
  <c r="BJ270" i="82"/>
  <c r="BK270" i="82"/>
  <c r="BL270" i="82"/>
  <c r="BM270" i="82"/>
  <c r="BN270" i="82"/>
  <c r="BO270" i="82"/>
  <c r="BP270" i="82"/>
  <c r="BQ270" i="82"/>
  <c r="BR270" i="82"/>
  <c r="BS270" i="82"/>
  <c r="BT270" i="82"/>
  <c r="BU270" i="82"/>
  <c r="BV270" i="82"/>
  <c r="BW270" i="82"/>
  <c r="BX270" i="82"/>
  <c r="BY270" i="82"/>
  <c r="BZ270" i="82"/>
  <c r="CA270" i="82"/>
  <c r="CB270" i="82"/>
  <c r="CC270" i="82"/>
  <c r="CD270" i="82"/>
  <c r="CE270" i="82"/>
  <c r="CF270" i="82"/>
  <c r="CG270" i="82"/>
  <c r="CH270" i="82"/>
  <c r="CI270" i="82"/>
  <c r="CJ270" i="82"/>
  <c r="CK270" i="82"/>
  <c r="CL270" i="82"/>
  <c r="CM270" i="82"/>
  <c r="CN270" i="82"/>
  <c r="CO270" i="82"/>
  <c r="CP270" i="82"/>
  <c r="CQ270" i="82"/>
  <c r="CR270" i="82"/>
  <c r="CS270" i="82"/>
  <c r="CT270" i="82"/>
  <c r="CU270" i="82"/>
  <c r="CV270" i="82"/>
  <c r="CW270" i="82"/>
  <c r="CX270" i="82"/>
  <c r="B271" i="82"/>
  <c r="D271" i="82"/>
  <c r="E271" i="82"/>
  <c r="F271" i="82"/>
  <c r="G271" i="82"/>
  <c r="H271" i="82"/>
  <c r="I271" i="82"/>
  <c r="J271" i="82"/>
  <c r="K271" i="82"/>
  <c r="L271" i="82"/>
  <c r="M271" i="82"/>
  <c r="N271" i="82"/>
  <c r="O271" i="82"/>
  <c r="P271" i="82"/>
  <c r="Q271" i="82"/>
  <c r="R271" i="82"/>
  <c r="S271" i="82"/>
  <c r="T271" i="82"/>
  <c r="U271" i="82"/>
  <c r="V271" i="82"/>
  <c r="W271" i="82"/>
  <c r="X271" i="82"/>
  <c r="Y271" i="82"/>
  <c r="Z271" i="82"/>
  <c r="AA271" i="82"/>
  <c r="AB271" i="82"/>
  <c r="AC271" i="82"/>
  <c r="AD271" i="82"/>
  <c r="AE271" i="82"/>
  <c r="AF271" i="82"/>
  <c r="AG271" i="82"/>
  <c r="AH271" i="82"/>
  <c r="AI271" i="82"/>
  <c r="AJ271" i="82"/>
  <c r="AK271" i="82"/>
  <c r="AL271" i="82"/>
  <c r="AM271" i="82"/>
  <c r="AN271" i="82"/>
  <c r="AO271" i="82"/>
  <c r="AP271" i="82"/>
  <c r="AQ271" i="82"/>
  <c r="AR271" i="82"/>
  <c r="AS271" i="82"/>
  <c r="AT271" i="82"/>
  <c r="AU271" i="82"/>
  <c r="AV271" i="82"/>
  <c r="AW271" i="82"/>
  <c r="AX271" i="82"/>
  <c r="AY271" i="82"/>
  <c r="AZ271" i="82"/>
  <c r="BA271" i="82"/>
  <c r="BB271" i="82"/>
  <c r="BC271" i="82"/>
  <c r="BD271" i="82"/>
  <c r="BE271" i="82"/>
  <c r="BF271" i="82"/>
  <c r="BG271" i="82"/>
  <c r="BH271" i="82"/>
  <c r="BI271" i="82"/>
  <c r="BJ271" i="82"/>
  <c r="BK271" i="82"/>
  <c r="BL271" i="82"/>
  <c r="BM271" i="82"/>
  <c r="BN271" i="82"/>
  <c r="BO271" i="82"/>
  <c r="BP271" i="82"/>
  <c r="BQ271" i="82"/>
  <c r="BR271" i="82"/>
  <c r="BS271" i="82"/>
  <c r="BT271" i="82"/>
  <c r="BU271" i="82"/>
  <c r="BV271" i="82"/>
  <c r="BW271" i="82"/>
  <c r="BX271" i="82"/>
  <c r="BY271" i="82"/>
  <c r="BZ271" i="82"/>
  <c r="CA271" i="82"/>
  <c r="CB271" i="82"/>
  <c r="CC271" i="82"/>
  <c r="CD271" i="82"/>
  <c r="CE271" i="82"/>
  <c r="CF271" i="82"/>
  <c r="CG271" i="82"/>
  <c r="CH271" i="82"/>
  <c r="CI271" i="82"/>
  <c r="CJ271" i="82"/>
  <c r="CK271" i="82"/>
  <c r="CL271" i="82"/>
  <c r="CM271" i="82"/>
  <c r="CN271" i="82"/>
  <c r="CO271" i="82"/>
  <c r="CP271" i="82"/>
  <c r="CQ271" i="82"/>
  <c r="CR271" i="82"/>
  <c r="CS271" i="82"/>
  <c r="CT271" i="82"/>
  <c r="CU271" i="82"/>
  <c r="CV271" i="82"/>
  <c r="CW271" i="82"/>
  <c r="CX271" i="82"/>
  <c r="B272" i="82"/>
  <c r="D272" i="82"/>
  <c r="E272" i="82"/>
  <c r="F272" i="82"/>
  <c r="G272" i="82"/>
  <c r="H272" i="82"/>
  <c r="I272" i="82"/>
  <c r="J272" i="82"/>
  <c r="K272" i="82"/>
  <c r="L272" i="82"/>
  <c r="M272" i="82"/>
  <c r="N272" i="82"/>
  <c r="O272" i="82"/>
  <c r="P272" i="82"/>
  <c r="Q272" i="82"/>
  <c r="R272" i="82"/>
  <c r="S272" i="82"/>
  <c r="T272" i="82"/>
  <c r="U272" i="82"/>
  <c r="V272" i="82"/>
  <c r="W272" i="82"/>
  <c r="X272" i="82"/>
  <c r="Y272" i="82"/>
  <c r="Z272" i="82"/>
  <c r="AA272" i="82"/>
  <c r="AB272" i="82"/>
  <c r="AC272" i="82"/>
  <c r="AD272" i="82"/>
  <c r="AE272" i="82"/>
  <c r="AF272" i="82"/>
  <c r="AG272" i="82"/>
  <c r="AH272" i="82"/>
  <c r="AI272" i="82"/>
  <c r="AJ272" i="82"/>
  <c r="AK272" i="82"/>
  <c r="AL272" i="82"/>
  <c r="AM272" i="82"/>
  <c r="AN272" i="82"/>
  <c r="AO272" i="82"/>
  <c r="AP272" i="82"/>
  <c r="AQ272" i="82"/>
  <c r="AR272" i="82"/>
  <c r="AS272" i="82"/>
  <c r="AT272" i="82"/>
  <c r="AU272" i="82"/>
  <c r="AV272" i="82"/>
  <c r="AW272" i="82"/>
  <c r="AX272" i="82"/>
  <c r="AY272" i="82"/>
  <c r="AZ272" i="82"/>
  <c r="BA272" i="82"/>
  <c r="BB272" i="82"/>
  <c r="BC272" i="82"/>
  <c r="BD272" i="82"/>
  <c r="BE272" i="82"/>
  <c r="BF272" i="82"/>
  <c r="BG272" i="82"/>
  <c r="BH272" i="82"/>
  <c r="BI272" i="82"/>
  <c r="BJ272" i="82"/>
  <c r="BK272" i="82"/>
  <c r="BL272" i="82"/>
  <c r="BM272" i="82"/>
  <c r="BN272" i="82"/>
  <c r="BO272" i="82"/>
  <c r="BP272" i="82"/>
  <c r="BQ272" i="82"/>
  <c r="BR272" i="82"/>
  <c r="BS272" i="82"/>
  <c r="BT272" i="82"/>
  <c r="BU272" i="82"/>
  <c r="BV272" i="82"/>
  <c r="BW272" i="82"/>
  <c r="BX272" i="82"/>
  <c r="BY272" i="82"/>
  <c r="BZ272" i="82"/>
  <c r="CA272" i="82"/>
  <c r="CB272" i="82"/>
  <c r="CC272" i="82"/>
  <c r="CD272" i="82"/>
  <c r="CE272" i="82"/>
  <c r="CF272" i="82"/>
  <c r="CG272" i="82"/>
  <c r="CH272" i="82"/>
  <c r="CI272" i="82"/>
  <c r="CJ272" i="82"/>
  <c r="CK272" i="82"/>
  <c r="CL272" i="82"/>
  <c r="CM272" i="82"/>
  <c r="CN272" i="82"/>
  <c r="CO272" i="82"/>
  <c r="CP272" i="82"/>
  <c r="CQ272" i="82"/>
  <c r="CR272" i="82"/>
  <c r="CS272" i="82"/>
  <c r="CT272" i="82"/>
  <c r="CU272" i="82"/>
  <c r="CV272" i="82"/>
  <c r="CW272" i="82"/>
  <c r="CX272" i="82"/>
  <c r="B273" i="82"/>
  <c r="D273" i="82"/>
  <c r="E273" i="82"/>
  <c r="F273" i="82"/>
  <c r="G273" i="82"/>
  <c r="H273" i="82"/>
  <c r="I273" i="82"/>
  <c r="J273" i="82"/>
  <c r="K273" i="82"/>
  <c r="L273" i="82"/>
  <c r="M273" i="82"/>
  <c r="N273" i="82"/>
  <c r="O273" i="82"/>
  <c r="P273" i="82"/>
  <c r="Q273" i="82"/>
  <c r="R273" i="82"/>
  <c r="S273" i="82"/>
  <c r="T273" i="82"/>
  <c r="U273" i="82"/>
  <c r="V273" i="82"/>
  <c r="W273" i="82"/>
  <c r="X273" i="82"/>
  <c r="Y273" i="82"/>
  <c r="Z273" i="82"/>
  <c r="AA273" i="82"/>
  <c r="AB273" i="82"/>
  <c r="AC273" i="82"/>
  <c r="AD273" i="82"/>
  <c r="AE273" i="82"/>
  <c r="AF273" i="82"/>
  <c r="AG273" i="82"/>
  <c r="AH273" i="82"/>
  <c r="AI273" i="82"/>
  <c r="AJ273" i="82"/>
  <c r="AK273" i="82"/>
  <c r="AL273" i="82"/>
  <c r="AM273" i="82"/>
  <c r="AN273" i="82"/>
  <c r="AO273" i="82"/>
  <c r="AP273" i="82"/>
  <c r="AQ273" i="82"/>
  <c r="AR273" i="82"/>
  <c r="AS273" i="82"/>
  <c r="AT273" i="82"/>
  <c r="AU273" i="82"/>
  <c r="AV273" i="82"/>
  <c r="AW273" i="82"/>
  <c r="AX273" i="82"/>
  <c r="AY273" i="82"/>
  <c r="AZ273" i="82"/>
  <c r="BA273" i="82"/>
  <c r="BB273" i="82"/>
  <c r="BC273" i="82"/>
  <c r="BD273" i="82"/>
  <c r="BE273" i="82"/>
  <c r="BF273" i="82"/>
  <c r="BG273" i="82"/>
  <c r="BH273" i="82"/>
  <c r="BI273" i="82"/>
  <c r="BJ273" i="82"/>
  <c r="BK273" i="82"/>
  <c r="BL273" i="82"/>
  <c r="BM273" i="82"/>
  <c r="BN273" i="82"/>
  <c r="BO273" i="82"/>
  <c r="BP273" i="82"/>
  <c r="BQ273" i="82"/>
  <c r="BR273" i="82"/>
  <c r="BS273" i="82"/>
  <c r="BT273" i="82"/>
  <c r="BU273" i="82"/>
  <c r="BV273" i="82"/>
  <c r="BW273" i="82"/>
  <c r="BX273" i="82"/>
  <c r="BY273" i="82"/>
  <c r="BZ273" i="82"/>
  <c r="CA273" i="82"/>
  <c r="CB273" i="82"/>
  <c r="CC273" i="82"/>
  <c r="CD273" i="82"/>
  <c r="CE273" i="82"/>
  <c r="CF273" i="82"/>
  <c r="CG273" i="82"/>
  <c r="CH273" i="82"/>
  <c r="CI273" i="82"/>
  <c r="CJ273" i="82"/>
  <c r="CK273" i="82"/>
  <c r="CL273" i="82"/>
  <c r="CM273" i="82"/>
  <c r="CN273" i="82"/>
  <c r="CO273" i="82"/>
  <c r="CP273" i="82"/>
  <c r="CQ273" i="82"/>
  <c r="CR273" i="82"/>
  <c r="CS273" i="82"/>
  <c r="CT273" i="82"/>
  <c r="CU273" i="82"/>
  <c r="CV273" i="82"/>
  <c r="CW273" i="82"/>
  <c r="CX273" i="82"/>
  <c r="B274" i="82"/>
  <c r="D274" i="82"/>
  <c r="E274" i="82"/>
  <c r="F274" i="82"/>
  <c r="G274" i="82"/>
  <c r="H274" i="82"/>
  <c r="I274" i="82"/>
  <c r="J274" i="82"/>
  <c r="K274" i="82"/>
  <c r="L274" i="82"/>
  <c r="M274" i="82"/>
  <c r="N274" i="82"/>
  <c r="O274" i="82"/>
  <c r="P274" i="82"/>
  <c r="Q274" i="82"/>
  <c r="R274" i="82"/>
  <c r="S274" i="82"/>
  <c r="T274" i="82"/>
  <c r="U274" i="82"/>
  <c r="V274" i="82"/>
  <c r="W274" i="82"/>
  <c r="X274" i="82"/>
  <c r="Y274" i="82"/>
  <c r="Z274" i="82"/>
  <c r="AA274" i="82"/>
  <c r="AB274" i="82"/>
  <c r="AC274" i="82"/>
  <c r="AD274" i="82"/>
  <c r="AE274" i="82"/>
  <c r="AF274" i="82"/>
  <c r="AG274" i="82"/>
  <c r="AH274" i="82"/>
  <c r="AI274" i="82"/>
  <c r="AJ274" i="82"/>
  <c r="AK274" i="82"/>
  <c r="AL274" i="82"/>
  <c r="AM274" i="82"/>
  <c r="AN274" i="82"/>
  <c r="AO274" i="82"/>
  <c r="AP274" i="82"/>
  <c r="AQ274" i="82"/>
  <c r="AR274" i="82"/>
  <c r="AS274" i="82"/>
  <c r="AT274" i="82"/>
  <c r="AU274" i="82"/>
  <c r="AV274" i="82"/>
  <c r="AW274" i="82"/>
  <c r="AX274" i="82"/>
  <c r="AY274" i="82"/>
  <c r="AZ274" i="82"/>
  <c r="BA274" i="82"/>
  <c r="BB274" i="82"/>
  <c r="BC274" i="82"/>
  <c r="BD274" i="82"/>
  <c r="BE274" i="82"/>
  <c r="BF274" i="82"/>
  <c r="BG274" i="82"/>
  <c r="BH274" i="82"/>
  <c r="BI274" i="82"/>
  <c r="BJ274" i="82"/>
  <c r="BK274" i="82"/>
  <c r="BL274" i="82"/>
  <c r="BM274" i="82"/>
  <c r="BN274" i="82"/>
  <c r="BO274" i="82"/>
  <c r="BP274" i="82"/>
  <c r="BQ274" i="82"/>
  <c r="BR274" i="82"/>
  <c r="BS274" i="82"/>
  <c r="BT274" i="82"/>
  <c r="BU274" i="82"/>
  <c r="BV274" i="82"/>
  <c r="BW274" i="82"/>
  <c r="BX274" i="82"/>
  <c r="BY274" i="82"/>
  <c r="BZ274" i="82"/>
  <c r="CA274" i="82"/>
  <c r="CB274" i="82"/>
  <c r="CC274" i="82"/>
  <c r="CD274" i="82"/>
  <c r="CE274" i="82"/>
  <c r="CF274" i="82"/>
  <c r="CG274" i="82"/>
  <c r="CH274" i="82"/>
  <c r="CI274" i="82"/>
  <c r="CJ274" i="82"/>
  <c r="CK274" i="82"/>
  <c r="CL274" i="82"/>
  <c r="CM274" i="82"/>
  <c r="CN274" i="82"/>
  <c r="CO274" i="82"/>
  <c r="CP274" i="82"/>
  <c r="CQ274" i="82"/>
  <c r="CR274" i="82"/>
  <c r="CS274" i="82"/>
  <c r="CT274" i="82"/>
  <c r="CU274" i="82"/>
  <c r="CV274" i="82"/>
  <c r="CW274" i="82"/>
  <c r="CX274" i="82"/>
  <c r="B275" i="82"/>
  <c r="D275" i="82"/>
  <c r="E275" i="82"/>
  <c r="F275" i="82"/>
  <c r="G275" i="82"/>
  <c r="H275" i="82"/>
  <c r="I275" i="82"/>
  <c r="J275" i="82"/>
  <c r="K275" i="82"/>
  <c r="L275" i="82"/>
  <c r="M275" i="82"/>
  <c r="N275" i="82"/>
  <c r="O275" i="82"/>
  <c r="P275" i="82"/>
  <c r="Q275" i="82"/>
  <c r="R275" i="82"/>
  <c r="S275" i="82"/>
  <c r="T275" i="82"/>
  <c r="U275" i="82"/>
  <c r="V275" i="82"/>
  <c r="W275" i="82"/>
  <c r="X275" i="82"/>
  <c r="Y275" i="82"/>
  <c r="Z275" i="82"/>
  <c r="AA275" i="82"/>
  <c r="AB275" i="82"/>
  <c r="AC275" i="82"/>
  <c r="AD275" i="82"/>
  <c r="AE275" i="82"/>
  <c r="AF275" i="82"/>
  <c r="AG275" i="82"/>
  <c r="AH275" i="82"/>
  <c r="AI275" i="82"/>
  <c r="AJ275" i="82"/>
  <c r="AK275" i="82"/>
  <c r="AL275" i="82"/>
  <c r="AM275" i="82"/>
  <c r="AN275" i="82"/>
  <c r="AO275" i="82"/>
  <c r="AP275" i="82"/>
  <c r="AQ275" i="82"/>
  <c r="AR275" i="82"/>
  <c r="AS275" i="82"/>
  <c r="AT275" i="82"/>
  <c r="AU275" i="82"/>
  <c r="AV275" i="82"/>
  <c r="AW275" i="82"/>
  <c r="AX275" i="82"/>
  <c r="AY275" i="82"/>
  <c r="AZ275" i="82"/>
  <c r="BA275" i="82"/>
  <c r="BB275" i="82"/>
  <c r="BC275" i="82"/>
  <c r="BD275" i="82"/>
  <c r="BE275" i="82"/>
  <c r="BF275" i="82"/>
  <c r="BG275" i="82"/>
  <c r="BH275" i="82"/>
  <c r="BI275" i="82"/>
  <c r="BJ275" i="82"/>
  <c r="BK275" i="82"/>
  <c r="BL275" i="82"/>
  <c r="BM275" i="82"/>
  <c r="BN275" i="82"/>
  <c r="BO275" i="82"/>
  <c r="BP275" i="82"/>
  <c r="BQ275" i="82"/>
  <c r="BR275" i="82"/>
  <c r="BS275" i="82"/>
  <c r="BT275" i="82"/>
  <c r="BU275" i="82"/>
  <c r="BV275" i="82"/>
  <c r="BW275" i="82"/>
  <c r="BX275" i="82"/>
  <c r="BY275" i="82"/>
  <c r="BZ275" i="82"/>
  <c r="CA275" i="82"/>
  <c r="CB275" i="82"/>
  <c r="CC275" i="82"/>
  <c r="CD275" i="82"/>
  <c r="CE275" i="82"/>
  <c r="CF275" i="82"/>
  <c r="CG275" i="82"/>
  <c r="CH275" i="82"/>
  <c r="CI275" i="82"/>
  <c r="CJ275" i="82"/>
  <c r="CK275" i="82"/>
  <c r="CL275" i="82"/>
  <c r="CM275" i="82"/>
  <c r="CN275" i="82"/>
  <c r="CO275" i="82"/>
  <c r="CP275" i="82"/>
  <c r="CQ275" i="82"/>
  <c r="CR275" i="82"/>
  <c r="CS275" i="82"/>
  <c r="CT275" i="82"/>
  <c r="CU275" i="82"/>
  <c r="CV275" i="82"/>
  <c r="CW275" i="82"/>
  <c r="CX275" i="82"/>
  <c r="B276" i="82"/>
  <c r="D276" i="82"/>
  <c r="E276" i="82"/>
  <c r="F276" i="82"/>
  <c r="G276" i="82"/>
  <c r="H276" i="82"/>
  <c r="I276" i="82"/>
  <c r="J276" i="82"/>
  <c r="K276" i="82"/>
  <c r="L276" i="82"/>
  <c r="M276" i="82"/>
  <c r="N276" i="82"/>
  <c r="O276" i="82"/>
  <c r="P276" i="82"/>
  <c r="Q276" i="82"/>
  <c r="R276" i="82"/>
  <c r="S276" i="82"/>
  <c r="T276" i="82"/>
  <c r="U276" i="82"/>
  <c r="V276" i="82"/>
  <c r="W276" i="82"/>
  <c r="X276" i="82"/>
  <c r="Y276" i="82"/>
  <c r="Z276" i="82"/>
  <c r="AA276" i="82"/>
  <c r="AB276" i="82"/>
  <c r="AC276" i="82"/>
  <c r="AD276" i="82"/>
  <c r="AE276" i="82"/>
  <c r="AF276" i="82"/>
  <c r="AG276" i="82"/>
  <c r="AH276" i="82"/>
  <c r="AI276" i="82"/>
  <c r="AJ276" i="82"/>
  <c r="AK276" i="82"/>
  <c r="AL276" i="82"/>
  <c r="AM276" i="82"/>
  <c r="AN276" i="82"/>
  <c r="AO276" i="82"/>
  <c r="AP276" i="82"/>
  <c r="AQ276" i="82"/>
  <c r="AR276" i="82"/>
  <c r="AS276" i="82"/>
  <c r="AT276" i="82"/>
  <c r="AU276" i="82"/>
  <c r="AV276" i="82"/>
  <c r="AW276" i="82"/>
  <c r="AX276" i="82"/>
  <c r="AY276" i="82"/>
  <c r="AZ276" i="82"/>
  <c r="BA276" i="82"/>
  <c r="BB276" i="82"/>
  <c r="BC276" i="82"/>
  <c r="BD276" i="82"/>
  <c r="BE276" i="82"/>
  <c r="BF276" i="82"/>
  <c r="BG276" i="82"/>
  <c r="BH276" i="82"/>
  <c r="BI276" i="82"/>
  <c r="BJ276" i="82"/>
  <c r="BK276" i="82"/>
  <c r="BL276" i="82"/>
  <c r="BM276" i="82"/>
  <c r="BN276" i="82"/>
  <c r="BO276" i="82"/>
  <c r="BP276" i="82"/>
  <c r="BQ276" i="82"/>
  <c r="BR276" i="82"/>
  <c r="BS276" i="82"/>
  <c r="BT276" i="82"/>
  <c r="BU276" i="82"/>
  <c r="BV276" i="82"/>
  <c r="BW276" i="82"/>
  <c r="BX276" i="82"/>
  <c r="BY276" i="82"/>
  <c r="BZ276" i="82"/>
  <c r="CA276" i="82"/>
  <c r="CB276" i="82"/>
  <c r="CC276" i="82"/>
  <c r="CD276" i="82"/>
  <c r="CE276" i="82"/>
  <c r="CF276" i="82"/>
  <c r="CG276" i="82"/>
  <c r="CH276" i="82"/>
  <c r="CI276" i="82"/>
  <c r="CJ276" i="82"/>
  <c r="CK276" i="82"/>
  <c r="CL276" i="82"/>
  <c r="CM276" i="82"/>
  <c r="CN276" i="82"/>
  <c r="CO276" i="82"/>
  <c r="CP276" i="82"/>
  <c r="CQ276" i="82"/>
  <c r="CR276" i="82"/>
  <c r="CS276" i="82"/>
  <c r="CT276" i="82"/>
  <c r="CU276" i="82"/>
  <c r="CV276" i="82"/>
  <c r="CW276" i="82"/>
  <c r="CX276" i="82"/>
  <c r="A276" i="82"/>
  <c r="A275" i="82"/>
  <c r="A274" i="82"/>
  <c r="A273" i="82"/>
  <c r="A272" i="82"/>
  <c r="A271" i="82"/>
  <c r="A270" i="82"/>
  <c r="A269" i="82"/>
  <c r="A268" i="82"/>
  <c r="A267" i="82"/>
  <c r="A264" i="82"/>
  <c r="A265" i="82"/>
  <c r="A266" i="82"/>
  <c r="A263" i="82"/>
  <c r="A260" i="82"/>
  <c r="A261" i="82"/>
  <c r="A262" i="82"/>
  <c r="A259" i="82"/>
  <c r="A256" i="82"/>
  <c r="A257" i="82"/>
  <c r="A258" i="82"/>
  <c r="A255" i="82"/>
  <c r="A254" i="82"/>
  <c r="A253" i="82"/>
  <c r="A252" i="82"/>
  <c r="A251" i="82"/>
  <c r="A250" i="82"/>
  <c r="A249" i="82"/>
  <c r="A248" i="82"/>
  <c r="A247" i="82"/>
  <c r="A246" i="82"/>
  <c r="A245" i="82"/>
  <c r="A244" i="82"/>
  <c r="A243" i="82"/>
  <c r="A242" i="82"/>
  <c r="A241" i="82"/>
  <c r="A240" i="82"/>
  <c r="A239" i="82"/>
  <c r="A238" i="82"/>
  <c r="CM277" i="82" l="1"/>
  <c r="CM278" i="82" s="1"/>
  <c r="CM285" i="82" s="1"/>
  <c r="CM289" i="82" s="1"/>
  <c r="E235" i="84"/>
  <c r="F235" i="84"/>
  <c r="G235" i="84"/>
  <c r="H235" i="84"/>
  <c r="I235" i="84"/>
  <c r="J235" i="84"/>
  <c r="K235" i="84"/>
  <c r="L235" i="84"/>
  <c r="M235" i="84"/>
  <c r="N235" i="84"/>
  <c r="O235" i="84"/>
  <c r="P235" i="84"/>
  <c r="Q235" i="84"/>
  <c r="R235" i="84"/>
  <c r="S235" i="84"/>
  <c r="T235" i="84"/>
  <c r="U235" i="84"/>
  <c r="V235" i="84"/>
  <c r="W235" i="84"/>
  <c r="X235" i="84"/>
  <c r="Y235" i="84"/>
  <c r="Z235" i="84"/>
  <c r="AA235" i="84"/>
  <c r="AB235" i="84"/>
  <c r="AC235" i="84"/>
  <c r="AD235" i="84"/>
  <c r="AE235" i="84"/>
  <c r="AF235" i="84"/>
  <c r="AG235" i="84"/>
  <c r="AH235" i="84"/>
  <c r="AI235" i="84"/>
  <c r="AJ235" i="84"/>
  <c r="AK235" i="84"/>
  <c r="AL235" i="84"/>
  <c r="AM235" i="84"/>
  <c r="AN235" i="84"/>
  <c r="AO235" i="84"/>
  <c r="AP235" i="84"/>
  <c r="AQ235" i="84"/>
  <c r="AR235" i="84"/>
  <c r="AS235" i="84"/>
  <c r="AT235" i="84"/>
  <c r="AU235" i="84"/>
  <c r="AV235" i="84"/>
  <c r="AW235" i="84"/>
  <c r="AX235" i="84"/>
  <c r="AY235" i="84"/>
  <c r="AZ235" i="84"/>
  <c r="BA235" i="84"/>
  <c r="BB235" i="84"/>
  <c r="BC235" i="84"/>
  <c r="BD235" i="84"/>
  <c r="BE235" i="84"/>
  <c r="BF235" i="84"/>
  <c r="BG235" i="84"/>
  <c r="BH235" i="84"/>
  <c r="BI235" i="84"/>
  <c r="BJ235" i="84"/>
  <c r="BK235" i="84"/>
  <c r="BL235" i="84"/>
  <c r="BM235" i="84"/>
  <c r="BN235" i="84"/>
  <c r="BO235" i="84"/>
  <c r="BP235" i="84"/>
  <c r="BQ235" i="84"/>
  <c r="BR235" i="84"/>
  <c r="BS235" i="84"/>
  <c r="BT235" i="84"/>
  <c r="BU235" i="84"/>
  <c r="BV235" i="84"/>
  <c r="BW235" i="84"/>
  <c r="BX235" i="84"/>
  <c r="BY235" i="84"/>
  <c r="BZ235" i="84"/>
  <c r="CA235" i="84"/>
  <c r="CB235" i="84"/>
  <c r="CC235" i="84"/>
  <c r="CD235" i="84"/>
  <c r="CE235" i="84"/>
  <c r="CF235" i="84"/>
  <c r="CG235" i="84"/>
  <c r="CH235" i="84"/>
  <c r="CI235" i="84"/>
  <c r="CJ235" i="84"/>
  <c r="CK235" i="84"/>
  <c r="CL235" i="84"/>
  <c r="CM235" i="84"/>
  <c r="CN235" i="84"/>
  <c r="CO235" i="84"/>
  <c r="CP235" i="84"/>
  <c r="CQ235" i="84"/>
  <c r="CR235" i="84"/>
  <c r="CS235" i="84"/>
  <c r="CT235" i="84"/>
  <c r="CU235" i="84"/>
  <c r="CV235" i="84"/>
  <c r="CW235" i="84"/>
  <c r="CX235" i="84"/>
  <c r="CY235" i="84"/>
  <c r="D235" i="84"/>
  <c r="E199" i="1" l="1"/>
  <c r="E200" i="1"/>
  <c r="E201" i="1"/>
  <c r="F234" i="82"/>
  <c r="G234" i="82"/>
  <c r="H234" i="82"/>
  <c r="I234" i="82"/>
  <c r="K234" i="82"/>
  <c r="L234" i="82"/>
  <c r="M234" i="82"/>
  <c r="N234" i="82"/>
  <c r="O234" i="82"/>
  <c r="P234" i="82"/>
  <c r="Q234" i="82"/>
  <c r="R234" i="82"/>
  <c r="S234" i="82"/>
  <c r="T234" i="82"/>
  <c r="U234" i="82"/>
  <c r="V234" i="82"/>
  <c r="W234" i="82"/>
  <c r="X234" i="82"/>
  <c r="Y234" i="82"/>
  <c r="Z234" i="82"/>
  <c r="AA234" i="82"/>
  <c r="AB234" i="82"/>
  <c r="AC234" i="82"/>
  <c r="AD234" i="82"/>
  <c r="AE234" i="82"/>
  <c r="AF234" i="82"/>
  <c r="AG234" i="82"/>
  <c r="AH234" i="82"/>
  <c r="AI234" i="82"/>
  <c r="AJ234" i="82"/>
  <c r="AK234" i="82"/>
  <c r="AL234" i="82"/>
  <c r="AM234" i="82"/>
  <c r="AN234" i="82"/>
  <c r="AO234" i="82"/>
  <c r="AP234" i="82"/>
  <c r="AQ234" i="82"/>
  <c r="AR234" i="82"/>
  <c r="AS234" i="82"/>
  <c r="AT234" i="82"/>
  <c r="AU234" i="82"/>
  <c r="AV234" i="82"/>
  <c r="AW234" i="82"/>
  <c r="AX234" i="82"/>
  <c r="AY234" i="82"/>
  <c r="AZ234" i="82"/>
  <c r="BA234" i="82"/>
  <c r="BB234" i="82"/>
  <c r="BC234" i="82"/>
  <c r="BD234" i="82"/>
  <c r="BE234" i="82"/>
  <c r="BF234" i="82"/>
  <c r="BG234" i="82"/>
  <c r="BH234" i="82"/>
  <c r="BI234" i="82"/>
  <c r="BJ234" i="82"/>
  <c r="BK234" i="82"/>
  <c r="BL234" i="82"/>
  <c r="BM234" i="82"/>
  <c r="BN234" i="82"/>
  <c r="BO234" i="82"/>
  <c r="BP234" i="82"/>
  <c r="BQ234" i="82"/>
  <c r="BR234" i="82"/>
  <c r="BS234" i="82"/>
  <c r="BT234" i="82"/>
  <c r="BU234" i="82"/>
  <c r="BV234" i="82"/>
  <c r="BW234" i="82"/>
  <c r="BX234" i="82"/>
  <c r="BY234" i="82"/>
  <c r="BZ234" i="82"/>
  <c r="CA234" i="82"/>
  <c r="CB234" i="82"/>
  <c r="CC234" i="82"/>
  <c r="CD234" i="82"/>
  <c r="CE234" i="82"/>
  <c r="CF234" i="82"/>
  <c r="CG234" i="82"/>
  <c r="CH234" i="82"/>
  <c r="CI234" i="82"/>
  <c r="CJ234" i="82"/>
  <c r="CK234" i="82"/>
  <c r="CL234" i="82"/>
  <c r="CM234" i="82"/>
  <c r="CN234" i="82"/>
  <c r="CO234" i="82"/>
  <c r="CP234" i="82"/>
  <c r="CQ234" i="82"/>
  <c r="CR234" i="82"/>
  <c r="CS234" i="82"/>
  <c r="CT234" i="82"/>
  <c r="CU234" i="82"/>
  <c r="CV234" i="82"/>
  <c r="CW234" i="82"/>
  <c r="CX234" i="82"/>
  <c r="CY234" i="82"/>
  <c r="E234" i="82"/>
  <c r="D234" i="82"/>
  <c r="D31" i="91"/>
  <c r="D27" i="91"/>
  <c r="E214" i="28"/>
  <c r="E190" i="28"/>
  <c r="D23" i="91" l="1"/>
  <c r="D28" i="91"/>
  <c r="D29" i="91"/>
  <c r="E116" i="28" l="1"/>
  <c r="E115" i="28"/>
  <c r="E114" i="28"/>
  <c r="H75" i="1" l="1"/>
  <c r="L12" i="88" l="1"/>
  <c r="M12" i="88"/>
  <c r="M23" i="88"/>
  <c r="G23" i="88" s="1"/>
  <c r="L23" i="88"/>
  <c r="E23" i="88"/>
  <c r="E215" i="28"/>
  <c r="L215" i="28" s="1"/>
  <c r="C215" i="28"/>
  <c r="A215" i="28"/>
  <c r="E188" i="28"/>
  <c r="L188" i="28" s="1"/>
  <c r="E189" i="28"/>
  <c r="L189" i="28" s="1"/>
  <c r="L190" i="28"/>
  <c r="E187" i="28"/>
  <c r="L187" i="28" s="1"/>
  <c r="A188" i="28"/>
  <c r="C188" i="28"/>
  <c r="A189" i="28"/>
  <c r="C189" i="28"/>
  <c r="A190" i="28"/>
  <c r="C190" i="28"/>
  <c r="C187" i="28"/>
  <c r="A187" i="28"/>
  <c r="E177" i="28"/>
  <c r="L177" i="28" s="1"/>
  <c r="E178" i="28"/>
  <c r="L178" i="28" s="1"/>
  <c r="E33" i="88" s="1"/>
  <c r="G33" i="88" s="1"/>
  <c r="A178" i="28"/>
  <c r="C178" i="28"/>
  <c r="C177" i="28"/>
  <c r="A177" i="28"/>
  <c r="L154" i="28"/>
  <c r="E154" i="28"/>
  <c r="E155" i="28"/>
  <c r="L155" i="28" s="1"/>
  <c r="A154" i="28"/>
  <c r="B154" i="28"/>
  <c r="C154" i="28"/>
  <c r="A155" i="28"/>
  <c r="B155" i="28"/>
  <c r="C155" i="28"/>
  <c r="E153" i="28"/>
  <c r="L153" i="28" s="1"/>
  <c r="C153" i="28"/>
  <c r="B153" i="28"/>
  <c r="A153" i="28"/>
  <c r="D38" i="91"/>
  <c r="D37" i="91"/>
  <c r="D36" i="91"/>
  <c r="D35" i="91"/>
  <c r="D26" i="91"/>
  <c r="D25" i="91"/>
  <c r="D24" i="91"/>
  <c r="D22" i="91"/>
  <c r="D19" i="91"/>
  <c r="D18" i="91"/>
  <c r="D17" i="91"/>
  <c r="D16" i="91"/>
  <c r="D15" i="91"/>
  <c r="D14" i="91"/>
  <c r="D13" i="91"/>
  <c r="G12" i="88" l="1"/>
  <c r="E117" i="1"/>
  <c r="E134" i="1"/>
  <c r="E135" i="1"/>
  <c r="E136" i="1"/>
  <c r="E133" i="1"/>
  <c r="E219" i="1"/>
  <c r="E217" i="1"/>
  <c r="E216" i="1"/>
  <c r="E215" i="1"/>
  <c r="E214" i="1"/>
  <c r="E213" i="1"/>
  <c r="E212" i="1"/>
  <c r="E211" i="1"/>
  <c r="E210" i="1"/>
  <c r="E207" i="1"/>
  <c r="E205" i="1"/>
  <c r="E203" i="1"/>
  <c r="E198" i="1"/>
  <c r="E195" i="1"/>
  <c r="E194" i="1"/>
  <c r="E193" i="1"/>
  <c r="E192" i="1"/>
  <c r="E191" i="1"/>
  <c r="E189" i="1"/>
  <c r="E188" i="1"/>
  <c r="E187" i="1"/>
  <c r="E186" i="1"/>
  <c r="E183" i="1"/>
  <c r="E181" i="1"/>
  <c r="E180" i="1"/>
  <c r="E179" i="1"/>
  <c r="E174" i="1"/>
  <c r="E173" i="1"/>
  <c r="E172" i="1"/>
  <c r="E171" i="1"/>
  <c r="E168" i="1"/>
  <c r="E167" i="1"/>
  <c r="E166" i="1"/>
  <c r="E165" i="1"/>
  <c r="E162" i="1"/>
  <c r="E161" i="1"/>
  <c r="E160" i="1"/>
  <c r="E159" i="1"/>
  <c r="E155" i="1"/>
  <c r="E154" i="1"/>
  <c r="E150" i="1"/>
  <c r="E149" i="1"/>
  <c r="E148" i="1"/>
  <c r="E147" i="1"/>
  <c r="E146" i="1"/>
  <c r="E142" i="1"/>
  <c r="E140" i="1"/>
  <c r="E138" i="1"/>
  <c r="E131" i="1"/>
  <c r="E130" i="1"/>
  <c r="E129" i="1"/>
  <c r="E124" i="1"/>
  <c r="E123" i="1"/>
  <c r="E122" i="1"/>
  <c r="E121" i="1"/>
  <c r="E120" i="1"/>
  <c r="E119" i="1"/>
  <c r="E118" i="1"/>
  <c r="E116" i="1"/>
  <c r="E115" i="1"/>
  <c r="E114" i="1"/>
  <c r="E113" i="1"/>
  <c r="E112" i="1"/>
  <c r="E111" i="1"/>
  <c r="E110" i="1"/>
  <c r="E109" i="1"/>
  <c r="E106" i="1"/>
  <c r="E105" i="1"/>
  <c r="E104" i="1"/>
  <c r="E103" i="1"/>
  <c r="E102" i="1"/>
  <c r="E101" i="1"/>
  <c r="E100" i="1"/>
  <c r="E99" i="1"/>
  <c r="E98" i="1"/>
  <c r="E97" i="1"/>
  <c r="E96" i="1"/>
  <c r="E95" i="1"/>
  <c r="E94" i="1"/>
  <c r="E93" i="1"/>
  <c r="E92" i="1"/>
  <c r="E91" i="1"/>
  <c r="E90" i="1"/>
  <c r="E89" i="1"/>
  <c r="E88" i="1"/>
  <c r="E84" i="1"/>
  <c r="E83" i="1"/>
  <c r="E81" i="1"/>
  <c r="E80" i="1"/>
  <c r="E79" i="1"/>
  <c r="E78" i="1"/>
  <c r="E77" i="1"/>
  <c r="E76" i="1"/>
  <c r="E74" i="1"/>
  <c r="E73" i="1"/>
  <c r="E72" i="1"/>
  <c r="E71" i="1"/>
  <c r="E70" i="1"/>
  <c r="E69" i="1"/>
  <c r="E68" i="1"/>
  <c r="E67" i="1"/>
  <c r="E66" i="1"/>
  <c r="E65" i="1"/>
  <c r="E64" i="1"/>
  <c r="E63" i="1"/>
  <c r="E62" i="1"/>
  <c r="E60" i="1"/>
  <c r="E59" i="1"/>
  <c r="E58" i="1"/>
  <c r="E57" i="1"/>
  <c r="E56" i="1"/>
  <c r="E55" i="1"/>
  <c r="E54" i="1"/>
  <c r="E53" i="1"/>
  <c r="E52" i="1"/>
  <c r="E51" i="1"/>
  <c r="E50" i="1"/>
  <c r="E49" i="1"/>
  <c r="E48" i="1"/>
  <c r="E47" i="1"/>
  <c r="E46" i="1"/>
  <c r="E44" i="1"/>
  <c r="E43" i="1"/>
  <c r="E41" i="1"/>
  <c r="E40" i="1"/>
  <c r="E39" i="1"/>
  <c r="E38" i="1"/>
  <c r="E37" i="1"/>
  <c r="E36" i="1"/>
  <c r="E35" i="1"/>
  <c r="E34" i="1"/>
  <c r="E33" i="1"/>
  <c r="E32" i="1"/>
  <c r="E31" i="1"/>
  <c r="E30" i="1"/>
  <c r="E28" i="1"/>
  <c r="E27" i="1"/>
  <c r="E25" i="1"/>
  <c r="E24" i="1"/>
  <c r="E23" i="1"/>
  <c r="E22" i="1"/>
  <c r="E21" i="1"/>
  <c r="E20" i="1"/>
  <c r="E19" i="1"/>
  <c r="E18" i="1"/>
  <c r="E17" i="1"/>
  <c r="E16" i="1"/>
  <c r="E15" i="1"/>
  <c r="E14" i="1"/>
  <c r="E13" i="1"/>
  <c r="E12" i="1"/>
  <c r="E11" i="1"/>
  <c r="E10" i="1"/>
  <c r="E9" i="1"/>
  <c r="L214" i="28" l="1"/>
  <c r="B4" i="94" l="1"/>
  <c r="H7" i="92"/>
  <c r="B73" i="28"/>
  <c r="H30" i="92" l="1"/>
  <c r="H28" i="92"/>
  <c r="H26" i="92"/>
  <c r="H20" i="92"/>
  <c r="G20" i="92"/>
  <c r="H17" i="92"/>
  <c r="G17" i="92"/>
  <c r="H14" i="92"/>
  <c r="G14" i="92"/>
  <c r="H11" i="92"/>
  <c r="G11" i="92"/>
  <c r="H10" i="92"/>
  <c r="G10" i="92"/>
  <c r="H9" i="92"/>
  <c r="G9" i="92"/>
  <c r="H8" i="92"/>
  <c r="G8" i="92"/>
  <c r="G7" i="92"/>
  <c r="E4" i="92"/>
  <c r="C4" i="92"/>
  <c r="B4" i="92"/>
  <c r="E147" i="28" l="1"/>
  <c r="E146" i="28"/>
  <c r="B44" i="91"/>
  <c r="B42" i="91"/>
  <c r="B40" i="91"/>
  <c r="L194" i="28" l="1"/>
  <c r="E183" i="28" l="1"/>
  <c r="L183" i="28" s="1"/>
  <c r="A183" i="28"/>
  <c r="C183" i="28"/>
  <c r="B72" i="28"/>
  <c r="B67" i="28"/>
  <c r="B68" i="28"/>
  <c r="B69" i="28"/>
  <c r="B70" i="28"/>
  <c r="C72" i="28"/>
  <c r="C70" i="28"/>
  <c r="C68" i="28"/>
  <c r="C69" i="28"/>
  <c r="C67" i="28"/>
  <c r="E72" i="28" l="1"/>
  <c r="A72" i="28"/>
  <c r="E70" i="28"/>
  <c r="E68" i="28"/>
  <c r="E69" i="28"/>
  <c r="A70" i="28"/>
  <c r="A68" i="28"/>
  <c r="A69" i="28"/>
  <c r="E67" i="28"/>
  <c r="A67" i="28"/>
  <c r="L70" i="28" l="1"/>
  <c r="L69" i="28"/>
  <c r="L68" i="28"/>
  <c r="L67" i="28"/>
  <c r="L72" i="28"/>
  <c r="D33" i="91" l="1"/>
  <c r="D32" i="91"/>
  <c r="D21" i="91"/>
  <c r="D20" i="91"/>
  <c r="D12" i="91"/>
  <c r="D11" i="91"/>
  <c r="E182" i="28" l="1"/>
  <c r="E181" i="28"/>
  <c r="E142" i="28"/>
  <c r="E213" i="28"/>
  <c r="C213" i="28"/>
  <c r="E113" i="28"/>
  <c r="E112" i="28"/>
  <c r="E176" i="28"/>
  <c r="E175" i="28"/>
  <c r="E174" i="28"/>
  <c r="C174" i="28"/>
  <c r="C175" i="28"/>
  <c r="C176" i="28"/>
  <c r="A174" i="28"/>
  <c r="A175" i="28"/>
  <c r="A176" i="28"/>
  <c r="E186" i="28"/>
  <c r="E185" i="28"/>
  <c r="E184" i="28"/>
  <c r="E180" i="28"/>
  <c r="E173" i="28"/>
  <c r="E172" i="28"/>
  <c r="L172" i="28" s="1"/>
  <c r="E179" i="28"/>
  <c r="E171" i="28"/>
  <c r="E170" i="28"/>
  <c r="C186" i="28"/>
  <c r="A186" i="28"/>
  <c r="C185" i="28"/>
  <c r="A185" i="28"/>
  <c r="C180" i="28"/>
  <c r="C181" i="28"/>
  <c r="C182" i="28"/>
  <c r="C184" i="28"/>
  <c r="A181" i="28"/>
  <c r="A182" i="28"/>
  <c r="A184" i="28"/>
  <c r="A180" i="28"/>
  <c r="C172" i="28"/>
  <c r="C173" i="28"/>
  <c r="A172" i="28"/>
  <c r="A173" i="28"/>
  <c r="C179" i="28"/>
  <c r="A179" i="28"/>
  <c r="C171" i="28"/>
  <c r="A171" i="28"/>
  <c r="C170" i="28"/>
  <c r="A170" i="28"/>
  <c r="A115" i="28"/>
  <c r="C115" i="28"/>
  <c r="A112" i="28"/>
  <c r="C112" i="28"/>
  <c r="A113" i="28"/>
  <c r="C113" i="28"/>
  <c r="A114" i="28"/>
  <c r="C114" i="28"/>
  <c r="E101" i="28"/>
  <c r="A101" i="28"/>
  <c r="B101" i="28"/>
  <c r="C101" i="28"/>
  <c r="E52" i="28"/>
  <c r="B52" i="28"/>
  <c r="C52" i="28"/>
  <c r="A52" i="28"/>
  <c r="L37" i="88"/>
  <c r="L113" i="28" l="1"/>
  <c r="L114" i="28"/>
  <c r="L185" i="28"/>
  <c r="L52" i="28"/>
  <c r="L175" i="28"/>
  <c r="L176" i="28"/>
  <c r="G32" i="88" s="1"/>
  <c r="L101" i="28"/>
  <c r="L173" i="28"/>
  <c r="L112" i="28"/>
  <c r="L174" i="28"/>
  <c r="L115" i="28"/>
  <c r="C4" i="88" l="1"/>
  <c r="G29" i="88"/>
  <c r="G35" i="88"/>
  <c r="E210" i="28" l="1"/>
  <c r="E211" i="28"/>
  <c r="N14" i="88" l="1"/>
  <c r="E169" i="1" l="1"/>
  <c r="E247" i="1" s="1"/>
  <c r="E156" i="1"/>
  <c r="E163" i="1"/>
  <c r="E246" i="1" s="1"/>
  <c r="E175" i="1"/>
  <c r="E248" i="1" s="1"/>
  <c r="E245" i="1" l="1"/>
  <c r="E176" i="1"/>
  <c r="E249" i="1" s="1"/>
  <c r="E244" i="1" l="1"/>
  <c r="E250" i="1" s="1"/>
  <c r="A244" i="1"/>
  <c r="G97" i="1" l="1"/>
  <c r="F240" i="1"/>
  <c r="E240" i="1"/>
  <c r="F238" i="1"/>
  <c r="E238" i="1"/>
  <c r="F237" i="1"/>
  <c r="E237" i="1"/>
  <c r="F236" i="1"/>
  <c r="E236" i="1"/>
  <c r="F235" i="1"/>
  <c r="E235" i="1"/>
  <c r="G110" i="1"/>
  <c r="G11" i="1"/>
  <c r="G76" i="1" l="1"/>
  <c r="H40" i="1" l="1"/>
  <c r="G40" i="1" l="1"/>
  <c r="I40" i="1"/>
  <c r="C207" i="28"/>
  <c r="E168" i="28" l="1"/>
  <c r="L184" i="28"/>
  <c r="G194" i="1" l="1"/>
  <c r="E204" i="28" l="1"/>
  <c r="E207" i="28" l="1"/>
  <c r="L213" i="28" l="1"/>
  <c r="G122" i="1" l="1"/>
  <c r="G119" i="1" l="1"/>
  <c r="G148" i="1" l="1"/>
  <c r="L168" i="28" l="1"/>
  <c r="E27" i="88" s="1"/>
  <c r="H168" i="28"/>
  <c r="A168" i="28"/>
  <c r="C168" i="28"/>
  <c r="E121" i="28"/>
  <c r="E122" i="28"/>
  <c r="E123" i="28"/>
  <c r="C121" i="28"/>
  <c r="C122" i="28"/>
  <c r="C123" i="28"/>
  <c r="A121" i="28"/>
  <c r="A122" i="28"/>
  <c r="A123" i="28"/>
  <c r="E103" i="28"/>
  <c r="A103" i="28"/>
  <c r="B103" i="28"/>
  <c r="C103" i="28"/>
  <c r="E54" i="28"/>
  <c r="E53" i="28"/>
  <c r="C54" i="28"/>
  <c r="C53" i="28"/>
  <c r="B54" i="28"/>
  <c r="B53" i="28"/>
  <c r="A54" i="28"/>
  <c r="A53" i="28"/>
  <c r="L171" i="28"/>
  <c r="L170" i="28"/>
  <c r="G27" i="88" l="1"/>
  <c r="L123" i="28"/>
  <c r="L122" i="28"/>
  <c r="L121" i="28"/>
  <c r="L103" i="28"/>
  <c r="L53" i="28"/>
  <c r="E25" i="88" s="1"/>
  <c r="L54" i="28"/>
  <c r="E37" i="88"/>
  <c r="G37" i="88" s="1"/>
  <c r="L186" i="28"/>
  <c r="L179" i="28"/>
  <c r="L180" i="28"/>
  <c r="L181" i="28"/>
  <c r="L182" i="28"/>
  <c r="E31" i="88" l="1"/>
  <c r="G31" i="88" s="1"/>
  <c r="E209" i="28" l="1"/>
  <c r="L210" i="28"/>
  <c r="L211" i="28"/>
  <c r="E212" i="28"/>
  <c r="E208" i="28"/>
  <c r="A209" i="28"/>
  <c r="A210" i="28"/>
  <c r="A211" i="28"/>
  <c r="A212" i="28"/>
  <c r="A208" i="28"/>
  <c r="F207" i="28"/>
  <c r="G224" i="1"/>
  <c r="F204" i="28" s="1"/>
  <c r="G225" i="1"/>
  <c r="F205" i="28" s="1"/>
  <c r="G226" i="1"/>
  <c r="F206" i="28" s="1"/>
  <c r="G223" i="1"/>
  <c r="F203" i="28" s="1"/>
  <c r="L212" i="28" l="1"/>
  <c r="L209" i="28"/>
  <c r="L208" i="28"/>
  <c r="C209" i="28"/>
  <c r="C210" i="28"/>
  <c r="C212" i="28"/>
  <c r="C208" i="28"/>
  <c r="G184" i="1" l="1"/>
  <c r="G21" i="1"/>
  <c r="F212" i="28"/>
  <c r="F211" i="28"/>
  <c r="F210" i="28"/>
  <c r="F209" i="28"/>
  <c r="F208" i="28"/>
  <c r="G104" i="1" l="1"/>
  <c r="G103" i="1" l="1"/>
  <c r="G102" i="1"/>
  <c r="G101" i="1"/>
  <c r="G100" i="1"/>
  <c r="G99" i="1"/>
  <c r="G98" i="1"/>
  <c r="D3" i="1" l="1"/>
  <c r="C5" i="88" l="1"/>
  <c r="L4" i="28"/>
  <c r="L15" i="88" l="1"/>
  <c r="M17" i="88"/>
  <c r="L17" i="88"/>
  <c r="M14" i="88"/>
  <c r="M20" i="88"/>
  <c r="D20" i="88" s="1"/>
  <c r="L14" i="88"/>
  <c r="M18" i="88"/>
  <c r="M15" i="88"/>
  <c r="L18" i="88"/>
  <c r="L20" i="88"/>
  <c r="C20" i="88" s="1"/>
  <c r="L11" i="88"/>
  <c r="M11" i="88"/>
  <c r="D17" i="88" l="1"/>
  <c r="D18" i="88"/>
  <c r="C18" i="88"/>
  <c r="C17" i="88"/>
  <c r="N162" i="28" l="1"/>
  <c r="E158" i="28"/>
  <c r="L158" i="28" l="1"/>
  <c r="C214" i="28"/>
  <c r="B214" i="28"/>
  <c r="A214" i="28"/>
  <c r="A207" i="28"/>
  <c r="E206" i="28"/>
  <c r="C206" i="28"/>
  <c r="A206" i="28"/>
  <c r="E205" i="28"/>
  <c r="C205" i="28"/>
  <c r="A205" i="28"/>
  <c r="C204" i="28"/>
  <c r="A204" i="28"/>
  <c r="E203" i="28"/>
  <c r="C203" i="28"/>
  <c r="A203" i="28"/>
  <c r="H169" i="28"/>
  <c r="E169" i="28"/>
  <c r="C169" i="28"/>
  <c r="A169" i="28"/>
  <c r="E167" i="28"/>
  <c r="C167" i="28"/>
  <c r="B167" i="28"/>
  <c r="A167" i="28"/>
  <c r="E166" i="28"/>
  <c r="C166" i="28"/>
  <c r="B166" i="28"/>
  <c r="A166" i="28"/>
  <c r="E165" i="28"/>
  <c r="C165" i="28"/>
  <c r="B165" i="28"/>
  <c r="A165" i="28"/>
  <c r="E164" i="28"/>
  <c r="C164" i="28"/>
  <c r="B164" i="28"/>
  <c r="A164" i="28"/>
  <c r="E163" i="28"/>
  <c r="C163" i="28"/>
  <c r="B163" i="28"/>
  <c r="A163" i="28"/>
  <c r="E162" i="28"/>
  <c r="C162" i="28"/>
  <c r="B162" i="28"/>
  <c r="A162" i="28"/>
  <c r="E161" i="28"/>
  <c r="C161" i="28"/>
  <c r="B161" i="28"/>
  <c r="A161" i="28"/>
  <c r="E160" i="28"/>
  <c r="C160" i="28"/>
  <c r="B160" i="28"/>
  <c r="A160" i="28"/>
  <c r="E159" i="28"/>
  <c r="C159" i="28"/>
  <c r="B159" i="28"/>
  <c r="A159" i="28"/>
  <c r="C158" i="28"/>
  <c r="B158" i="28"/>
  <c r="A158" i="28"/>
  <c r="E157" i="28"/>
  <c r="C157" i="28"/>
  <c r="B157" i="28"/>
  <c r="A157" i="28"/>
  <c r="E156" i="28"/>
  <c r="C156" i="28"/>
  <c r="B156" i="28"/>
  <c r="A156" i="28"/>
  <c r="E152" i="28"/>
  <c r="C152" i="28"/>
  <c r="B152" i="28"/>
  <c r="A152" i="28"/>
  <c r="E151" i="28"/>
  <c r="C151" i="28"/>
  <c r="B151" i="28"/>
  <c r="A151" i="28"/>
  <c r="E150" i="28"/>
  <c r="C150" i="28"/>
  <c r="B150" i="28"/>
  <c r="A150" i="28"/>
  <c r="E149" i="28"/>
  <c r="C149" i="28"/>
  <c r="B149" i="28"/>
  <c r="A149" i="28"/>
  <c r="H148" i="28"/>
  <c r="E148" i="28"/>
  <c r="C148" i="28"/>
  <c r="B148" i="28"/>
  <c r="A148" i="28"/>
  <c r="C147" i="28"/>
  <c r="C146" i="28"/>
  <c r="B146" i="28"/>
  <c r="A146" i="28"/>
  <c r="E145" i="28"/>
  <c r="C145" i="28"/>
  <c r="B145" i="28"/>
  <c r="A145" i="28"/>
  <c r="E144" i="28"/>
  <c r="C144" i="28"/>
  <c r="B144" i="28"/>
  <c r="A144" i="28"/>
  <c r="H143" i="28"/>
  <c r="E143" i="28"/>
  <c r="C143" i="28"/>
  <c r="B143" i="28"/>
  <c r="A143" i="28"/>
  <c r="C142" i="28"/>
  <c r="B142" i="28"/>
  <c r="A142" i="28"/>
  <c r="E141" i="28"/>
  <c r="C141" i="28"/>
  <c r="B141" i="28"/>
  <c r="A141" i="28"/>
  <c r="E140" i="28"/>
  <c r="C140" i="28"/>
  <c r="B140" i="28"/>
  <c r="A140" i="28"/>
  <c r="E139" i="28"/>
  <c r="C139" i="28"/>
  <c r="B139" i="28"/>
  <c r="A139" i="28"/>
  <c r="E138" i="28"/>
  <c r="C138" i="28"/>
  <c r="B138" i="28"/>
  <c r="A138" i="28"/>
  <c r="E137" i="28"/>
  <c r="C137" i="28"/>
  <c r="B137" i="28"/>
  <c r="A137" i="28"/>
  <c r="E136" i="28"/>
  <c r="C136" i="28"/>
  <c r="B136" i="28"/>
  <c r="A136" i="28"/>
  <c r="E135" i="28"/>
  <c r="C135" i="28"/>
  <c r="B135" i="28"/>
  <c r="A135" i="28"/>
  <c r="E134" i="28"/>
  <c r="C134" i="28"/>
  <c r="B134" i="28"/>
  <c r="A134" i="28"/>
  <c r="E133" i="28"/>
  <c r="C133" i="28"/>
  <c r="B133" i="28"/>
  <c r="A133" i="28"/>
  <c r="E132" i="28"/>
  <c r="C132" i="28"/>
  <c r="B132" i="28"/>
  <c r="A132" i="28"/>
  <c r="E131" i="28"/>
  <c r="C131" i="28"/>
  <c r="B131" i="28"/>
  <c r="A131" i="28"/>
  <c r="E130" i="28"/>
  <c r="C130" i="28"/>
  <c r="B130" i="28"/>
  <c r="A130" i="28"/>
  <c r="E129" i="28"/>
  <c r="C129" i="28"/>
  <c r="B129" i="28"/>
  <c r="A129" i="28"/>
  <c r="E128" i="28"/>
  <c r="C128" i="28"/>
  <c r="B128" i="28"/>
  <c r="A128" i="28"/>
  <c r="E127" i="28"/>
  <c r="C127" i="28"/>
  <c r="B127" i="28"/>
  <c r="A127" i="28"/>
  <c r="E126" i="28"/>
  <c r="C126" i="28"/>
  <c r="B126" i="28"/>
  <c r="A126" i="28"/>
  <c r="C125" i="28"/>
  <c r="B125" i="28"/>
  <c r="A125" i="28"/>
  <c r="C124" i="28"/>
  <c r="B124" i="28"/>
  <c r="A124" i="28"/>
  <c r="E120" i="28"/>
  <c r="C120" i="28"/>
  <c r="B120" i="28"/>
  <c r="A120" i="28"/>
  <c r="E119" i="28"/>
  <c r="C119" i="28"/>
  <c r="B119" i="28"/>
  <c r="A119" i="28"/>
  <c r="E118" i="28"/>
  <c r="C118" i="28"/>
  <c r="B118" i="28"/>
  <c r="A118" i="28"/>
  <c r="E117" i="28"/>
  <c r="C117" i="28"/>
  <c r="A117" i="28"/>
  <c r="C116" i="28"/>
  <c r="B116" i="28"/>
  <c r="A116" i="28"/>
  <c r="E111" i="28"/>
  <c r="C111" i="28"/>
  <c r="B111" i="28"/>
  <c r="A111" i="28"/>
  <c r="E110" i="28"/>
  <c r="C110" i="28"/>
  <c r="B110" i="28"/>
  <c r="A110" i="28"/>
  <c r="E109" i="28"/>
  <c r="C109" i="28"/>
  <c r="B109" i="28"/>
  <c r="A109" i="28"/>
  <c r="E108" i="28"/>
  <c r="C108" i="28"/>
  <c r="B108" i="28"/>
  <c r="A108" i="28"/>
  <c r="E107" i="28"/>
  <c r="C107" i="28"/>
  <c r="B107" i="28"/>
  <c r="A107" i="28"/>
  <c r="E106" i="28"/>
  <c r="C106" i="28"/>
  <c r="B106" i="28"/>
  <c r="A106" i="28"/>
  <c r="E105" i="28"/>
  <c r="C105" i="28"/>
  <c r="B105" i="28"/>
  <c r="A105" i="28"/>
  <c r="E104" i="28"/>
  <c r="C104" i="28"/>
  <c r="B104" i="28"/>
  <c r="A104" i="28"/>
  <c r="E102" i="28"/>
  <c r="C102" i="28"/>
  <c r="B102" i="28"/>
  <c r="A102" i="28"/>
  <c r="E100" i="28"/>
  <c r="C100" i="28"/>
  <c r="B100" i="28"/>
  <c r="A100" i="28"/>
  <c r="E99" i="28"/>
  <c r="C99" i="28"/>
  <c r="B99" i="28"/>
  <c r="A99" i="28"/>
  <c r="E98" i="28"/>
  <c r="C98" i="28"/>
  <c r="B98" i="28"/>
  <c r="A98" i="28"/>
  <c r="E97" i="28"/>
  <c r="C97" i="28"/>
  <c r="B97" i="28"/>
  <c r="A97" i="28"/>
  <c r="E96" i="28"/>
  <c r="C96" i="28"/>
  <c r="B96" i="28"/>
  <c r="A96" i="28"/>
  <c r="E95" i="28"/>
  <c r="C95" i="28"/>
  <c r="B95" i="28"/>
  <c r="A95" i="28"/>
  <c r="E94" i="28"/>
  <c r="C94" i="28"/>
  <c r="B94" i="28"/>
  <c r="A94" i="28"/>
  <c r="E93" i="28"/>
  <c r="C93" i="28"/>
  <c r="B93" i="28"/>
  <c r="A93" i="28"/>
  <c r="E92" i="28"/>
  <c r="C92" i="28"/>
  <c r="B92" i="28"/>
  <c r="A92" i="28"/>
  <c r="E91" i="28"/>
  <c r="C91" i="28"/>
  <c r="B91" i="28"/>
  <c r="A91" i="28"/>
  <c r="E90" i="28"/>
  <c r="C90" i="28"/>
  <c r="B90" i="28"/>
  <c r="A90" i="28"/>
  <c r="E89" i="28"/>
  <c r="C89" i="28"/>
  <c r="B89" i="28"/>
  <c r="A89" i="28"/>
  <c r="E88" i="28"/>
  <c r="C88" i="28"/>
  <c r="B88" i="28"/>
  <c r="E87" i="28"/>
  <c r="C87" i="28"/>
  <c r="B87" i="28"/>
  <c r="E86" i="28"/>
  <c r="C86" i="28"/>
  <c r="B86" i="28"/>
  <c r="E85" i="28"/>
  <c r="C85" i="28"/>
  <c r="B85" i="28"/>
  <c r="E84" i="28"/>
  <c r="C84" i="28"/>
  <c r="B84" i="28"/>
  <c r="C83" i="28"/>
  <c r="B83" i="28"/>
  <c r="E82" i="28"/>
  <c r="C82" i="28"/>
  <c r="B82" i="28"/>
  <c r="A82" i="28"/>
  <c r="E81" i="28"/>
  <c r="C81" i="28"/>
  <c r="B81" i="28"/>
  <c r="A81" i="28"/>
  <c r="E80" i="28"/>
  <c r="C80" i="28"/>
  <c r="B80" i="28"/>
  <c r="A80" i="28"/>
  <c r="E79" i="28"/>
  <c r="C79" i="28"/>
  <c r="B79" i="28"/>
  <c r="A79" i="28"/>
  <c r="E78" i="28"/>
  <c r="C78" i="28"/>
  <c r="B78" i="28"/>
  <c r="A78" i="28"/>
  <c r="E77" i="28"/>
  <c r="C77" i="28"/>
  <c r="B77" i="28"/>
  <c r="A77" i="28"/>
  <c r="E76" i="28"/>
  <c r="C76" i="28"/>
  <c r="B76" i="28"/>
  <c r="A76" i="28"/>
  <c r="E75" i="28"/>
  <c r="C75" i="28"/>
  <c r="B75" i="28"/>
  <c r="A75" i="28"/>
  <c r="E74" i="28"/>
  <c r="C74" i="28"/>
  <c r="A74" i="28"/>
  <c r="C73" i="28"/>
  <c r="A73" i="28"/>
  <c r="E71" i="28"/>
  <c r="C71" i="28"/>
  <c r="B71" i="28"/>
  <c r="A71" i="28"/>
  <c r="E66" i="28"/>
  <c r="C66" i="28"/>
  <c r="B66" i="28"/>
  <c r="A66" i="28"/>
  <c r="E65" i="28"/>
  <c r="C65" i="28"/>
  <c r="B65" i="28"/>
  <c r="A65" i="28"/>
  <c r="E64" i="28"/>
  <c r="C64" i="28"/>
  <c r="B64" i="28"/>
  <c r="A64" i="28"/>
  <c r="E63" i="28"/>
  <c r="C63" i="28"/>
  <c r="B63" i="28"/>
  <c r="A63" i="28"/>
  <c r="E62" i="28"/>
  <c r="C62" i="28"/>
  <c r="B62" i="28"/>
  <c r="A62" i="28"/>
  <c r="E61" i="28"/>
  <c r="C61" i="28"/>
  <c r="B61" i="28"/>
  <c r="A61" i="28"/>
  <c r="E60" i="28"/>
  <c r="C60" i="28"/>
  <c r="B60" i="28"/>
  <c r="A60" i="28"/>
  <c r="E59" i="28"/>
  <c r="C59" i="28"/>
  <c r="B59" i="28"/>
  <c r="A59" i="28"/>
  <c r="E58" i="28"/>
  <c r="C58" i="28"/>
  <c r="B58" i="28"/>
  <c r="A58" i="28"/>
  <c r="E57" i="28"/>
  <c r="C57" i="28"/>
  <c r="B57" i="28"/>
  <c r="A57" i="28"/>
  <c r="E56" i="28"/>
  <c r="C56" i="28"/>
  <c r="B56" i="28"/>
  <c r="A56" i="28"/>
  <c r="E55" i="28"/>
  <c r="C55" i="28"/>
  <c r="B55" i="28"/>
  <c r="A55" i="28"/>
  <c r="E51" i="28"/>
  <c r="C51" i="28"/>
  <c r="B51" i="28"/>
  <c r="A51" i="28"/>
  <c r="E50" i="28"/>
  <c r="C50" i="28"/>
  <c r="B50" i="28"/>
  <c r="A50" i="28"/>
  <c r="E49" i="28"/>
  <c r="C49" i="28"/>
  <c r="B49" i="28"/>
  <c r="A49" i="28"/>
  <c r="E48" i="28"/>
  <c r="C48" i="28"/>
  <c r="B48" i="28"/>
  <c r="A48" i="28"/>
  <c r="E47" i="28"/>
  <c r="C47" i="28"/>
  <c r="B47" i="28"/>
  <c r="A47" i="28"/>
  <c r="E46" i="28"/>
  <c r="C46" i="28"/>
  <c r="B46" i="28"/>
  <c r="A46" i="28"/>
  <c r="E45" i="28"/>
  <c r="C45" i="28"/>
  <c r="B45" i="28"/>
  <c r="A45" i="28"/>
  <c r="E44" i="28"/>
  <c r="C44" i="28"/>
  <c r="B44" i="28"/>
  <c r="A44" i="28"/>
  <c r="E43" i="28"/>
  <c r="C43" i="28"/>
  <c r="B43" i="28"/>
  <c r="A43" i="28"/>
  <c r="E42" i="28"/>
  <c r="C42" i="28"/>
  <c r="B42" i="28"/>
  <c r="A42" i="28"/>
  <c r="E41" i="28"/>
  <c r="C41" i="28"/>
  <c r="B41" i="28"/>
  <c r="A41" i="28"/>
  <c r="E40" i="28"/>
  <c r="C40" i="28"/>
  <c r="B40" i="28"/>
  <c r="A40" i="28"/>
  <c r="E39" i="28"/>
  <c r="C39" i="28"/>
  <c r="B39" i="28"/>
  <c r="A39" i="28"/>
  <c r="E38" i="28"/>
  <c r="C38" i="28"/>
  <c r="B38" i="28"/>
  <c r="A38" i="28"/>
  <c r="E37" i="28"/>
  <c r="C37" i="28"/>
  <c r="B37" i="28"/>
  <c r="A37" i="28"/>
  <c r="E36" i="28"/>
  <c r="C36" i="28"/>
  <c r="B36" i="28"/>
  <c r="A36" i="28"/>
  <c r="E35" i="28"/>
  <c r="C35" i="28"/>
  <c r="B35" i="28"/>
  <c r="A35" i="28"/>
  <c r="H34" i="28"/>
  <c r="E34" i="28"/>
  <c r="C34" i="28"/>
  <c r="B34" i="28"/>
  <c r="A34" i="28"/>
  <c r="E33" i="28"/>
  <c r="C33" i="28"/>
  <c r="B33" i="28"/>
  <c r="A33" i="28"/>
  <c r="E32" i="28"/>
  <c r="C32" i="28"/>
  <c r="B32" i="28"/>
  <c r="A32" i="28"/>
  <c r="E31" i="28"/>
  <c r="C31" i="28"/>
  <c r="B31" i="28"/>
  <c r="A31" i="28"/>
  <c r="E30" i="28"/>
  <c r="C30" i="28"/>
  <c r="B30" i="28"/>
  <c r="A30" i="28"/>
  <c r="E29" i="28"/>
  <c r="C29" i="28"/>
  <c r="B29" i="28"/>
  <c r="A29" i="28"/>
  <c r="E28" i="28"/>
  <c r="C28" i="28"/>
  <c r="B28" i="28"/>
  <c r="A28" i="28"/>
  <c r="E27" i="28"/>
  <c r="C27" i="28"/>
  <c r="B27" i="28"/>
  <c r="A27" i="28"/>
  <c r="E26" i="28"/>
  <c r="C26" i="28"/>
  <c r="B26" i="28"/>
  <c r="A26" i="28"/>
  <c r="E25" i="28"/>
  <c r="C25" i="28"/>
  <c r="B25" i="28"/>
  <c r="A25" i="28"/>
  <c r="E24" i="28"/>
  <c r="C24" i="28"/>
  <c r="B24" i="28"/>
  <c r="A24" i="28"/>
  <c r="E23" i="28"/>
  <c r="C23" i="28"/>
  <c r="B23" i="28"/>
  <c r="A23" i="28"/>
  <c r="E22" i="28"/>
  <c r="C22" i="28"/>
  <c r="B22" i="28"/>
  <c r="A22" i="28"/>
  <c r="E21" i="28"/>
  <c r="C21" i="28"/>
  <c r="B21" i="28"/>
  <c r="A21" i="28"/>
  <c r="E20" i="28"/>
  <c r="C20" i="28"/>
  <c r="B20" i="28"/>
  <c r="A20" i="28"/>
  <c r="E19" i="28"/>
  <c r="C19" i="28"/>
  <c r="B19" i="28"/>
  <c r="A19" i="28"/>
  <c r="E18" i="28"/>
  <c r="C18" i="28"/>
  <c r="B18" i="28"/>
  <c r="A18" i="28"/>
  <c r="E17" i="28"/>
  <c r="C17" i="28"/>
  <c r="B17" i="28"/>
  <c r="A17" i="28"/>
  <c r="E16" i="28"/>
  <c r="C16" i="28"/>
  <c r="B16" i="28"/>
  <c r="A16" i="28"/>
  <c r="E15" i="28"/>
  <c r="C15" i="28"/>
  <c r="B15" i="28"/>
  <c r="A15" i="28"/>
  <c r="E14" i="28"/>
  <c r="C14" i="28"/>
  <c r="B14" i="28"/>
  <c r="A14" i="28"/>
  <c r="E13" i="28"/>
  <c r="C13" i="28"/>
  <c r="B13" i="28"/>
  <c r="A13" i="28"/>
  <c r="E12" i="28"/>
  <c r="C12" i="28"/>
  <c r="B12" i="28"/>
  <c r="A12" i="28"/>
  <c r="E11" i="28"/>
  <c r="C11" i="28"/>
  <c r="B11" i="28"/>
  <c r="A11" i="28"/>
  <c r="C10" i="28"/>
  <c r="B10" i="28"/>
  <c r="A10" i="28"/>
  <c r="E9" i="28"/>
  <c r="C9" i="28"/>
  <c r="B9" i="28"/>
  <c r="A9" i="28"/>
  <c r="E8" i="28"/>
  <c r="C8" i="28"/>
  <c r="B8" i="28"/>
  <c r="A8" i="28"/>
  <c r="G7" i="28"/>
  <c r="E7" i="28"/>
  <c r="C7" i="28"/>
  <c r="B7" i="28"/>
  <c r="A7" i="28"/>
  <c r="E6" i="28"/>
  <c r="C6" i="28"/>
  <c r="B6" i="28"/>
  <c r="A6" i="28"/>
  <c r="E5" i="28"/>
  <c r="C5" i="28"/>
  <c r="B5" i="28"/>
  <c r="A5" i="28"/>
  <c r="C2" i="28"/>
  <c r="G221" i="1"/>
  <c r="H216" i="1"/>
  <c r="G216" i="1" s="1"/>
  <c r="H215" i="1"/>
  <c r="G215" i="1" s="1"/>
  <c r="H214" i="1"/>
  <c r="G214" i="1" s="1"/>
  <c r="G213" i="1"/>
  <c r="G212" i="1"/>
  <c r="G211" i="1"/>
  <c r="G210" i="1"/>
  <c r="G203" i="1"/>
  <c r="G198" i="1"/>
  <c r="H195" i="1"/>
  <c r="G195" i="1" s="1"/>
  <c r="H194" i="1"/>
  <c r="H193" i="1"/>
  <c r="G192" i="1"/>
  <c r="H189" i="1"/>
  <c r="G189" i="1" s="1"/>
  <c r="H188" i="1"/>
  <c r="G188" i="1"/>
  <c r="H187" i="1"/>
  <c r="G187" i="1"/>
  <c r="G186" i="1"/>
  <c r="G181" i="1"/>
  <c r="G180" i="1"/>
  <c r="G179" i="1"/>
  <c r="F175" i="1"/>
  <c r="G174" i="1"/>
  <c r="G173" i="1"/>
  <c r="G172" i="1"/>
  <c r="G171" i="1"/>
  <c r="F169" i="1"/>
  <c r="G168" i="1"/>
  <c r="G167" i="1"/>
  <c r="G166" i="1"/>
  <c r="G165" i="1"/>
  <c r="F163" i="1"/>
  <c r="E125" i="28"/>
  <c r="E124" i="28"/>
  <c r="G147" i="1"/>
  <c r="G142" i="1"/>
  <c r="G138" i="1"/>
  <c r="G131" i="1"/>
  <c r="G130" i="1"/>
  <c r="H121" i="1"/>
  <c r="G121" i="1" s="1"/>
  <c r="G120" i="1"/>
  <c r="G118" i="1"/>
  <c r="G115" i="1"/>
  <c r="G113" i="1"/>
  <c r="G112" i="1"/>
  <c r="G111" i="1"/>
  <c r="H106" i="1"/>
  <c r="G106" i="1"/>
  <c r="H122" i="1"/>
  <c r="I122" i="1" s="1"/>
  <c r="H106" i="28" s="1"/>
  <c r="E83" i="28"/>
  <c r="G95" i="1"/>
  <c r="G93" i="1"/>
  <c r="G75" i="28"/>
  <c r="G84" i="1"/>
  <c r="G81" i="1"/>
  <c r="H74" i="1"/>
  <c r="G74" i="1" s="1"/>
  <c r="G72" i="1"/>
  <c r="G69" i="1"/>
  <c r="G67" i="1"/>
  <c r="G66" i="1"/>
  <c r="H58" i="1"/>
  <c r="G58" i="1"/>
  <c r="H76" i="1"/>
  <c r="I76" i="1" s="1"/>
  <c r="H66" i="28" s="1"/>
  <c r="G55" i="1"/>
  <c r="G54" i="1"/>
  <c r="G53" i="1"/>
  <c r="G52" i="1"/>
  <c r="G51" i="1"/>
  <c r="G50" i="1"/>
  <c r="G49" i="1"/>
  <c r="G48" i="1"/>
  <c r="G47" i="1"/>
  <c r="G46" i="1"/>
  <c r="G44" i="1"/>
  <c r="G41" i="1"/>
  <c r="O34" i="28"/>
  <c r="H39" i="1"/>
  <c r="G39" i="1" s="1"/>
  <c r="O33" i="28"/>
  <c r="G37" i="1"/>
  <c r="G36" i="1"/>
  <c r="G35" i="1"/>
  <c r="G34" i="1"/>
  <c r="G33" i="1"/>
  <c r="G32" i="1"/>
  <c r="G31" i="1"/>
  <c r="G30" i="1"/>
  <c r="G28" i="1"/>
  <c r="G27" i="1"/>
  <c r="H25" i="1"/>
  <c r="G25" i="1" s="1"/>
  <c r="O21" i="28"/>
  <c r="O20" i="28"/>
  <c r="G22" i="1"/>
  <c r="G20" i="1"/>
  <c r="G13" i="1"/>
  <c r="G12" i="1"/>
  <c r="G10" i="1"/>
  <c r="G9" i="1"/>
  <c r="L216" i="28"/>
  <c r="L107" i="28" l="1"/>
  <c r="L108" i="28"/>
  <c r="L203" i="28"/>
  <c r="L169" i="28"/>
  <c r="L167" i="28"/>
  <c r="L163" i="28"/>
  <c r="L165" i="28"/>
  <c r="L162" i="28"/>
  <c r="L164" i="28"/>
  <c r="L166" i="28"/>
  <c r="L159" i="28"/>
  <c r="L161" i="28"/>
  <c r="L160" i="28"/>
  <c r="L156" i="28"/>
  <c r="L152" i="28"/>
  <c r="L151" i="28"/>
  <c r="L150" i="28"/>
  <c r="L149" i="28"/>
  <c r="L148" i="28"/>
  <c r="L147" i="28"/>
  <c r="L146" i="28"/>
  <c r="L144" i="28"/>
  <c r="L143" i="28"/>
  <c r="L145" i="28"/>
  <c r="L142" i="28"/>
  <c r="L141" i="28"/>
  <c r="L138" i="28"/>
  <c r="L140" i="28"/>
  <c r="L139" i="28"/>
  <c r="L135" i="28"/>
  <c r="L137" i="28"/>
  <c r="L134" i="28"/>
  <c r="L136" i="28"/>
  <c r="L130" i="28"/>
  <c r="L132" i="28"/>
  <c r="L131" i="28"/>
  <c r="L133" i="28"/>
  <c r="L127" i="28"/>
  <c r="L128" i="28"/>
  <c r="L126" i="28"/>
  <c r="L129" i="28"/>
  <c r="L125" i="28"/>
  <c r="L124" i="28"/>
  <c r="L120" i="28"/>
  <c r="L119" i="28"/>
  <c r="L118" i="28"/>
  <c r="L117" i="28"/>
  <c r="L116" i="28"/>
  <c r="L110" i="28"/>
  <c r="L111" i="28"/>
  <c r="L109" i="28"/>
  <c r="L106" i="28"/>
  <c r="L105" i="28"/>
  <c r="L104" i="28"/>
  <c r="L102" i="28"/>
  <c r="L98" i="28"/>
  <c r="L100" i="28"/>
  <c r="L97" i="28"/>
  <c r="L99" i="28"/>
  <c r="L96" i="28"/>
  <c r="L93" i="28"/>
  <c r="L95" i="28"/>
  <c r="L94" i="28"/>
  <c r="L91" i="28"/>
  <c r="L90" i="28"/>
  <c r="L92" i="28"/>
  <c r="L89" i="28"/>
  <c r="L87" i="28"/>
  <c r="L88" i="28"/>
  <c r="L86" i="28"/>
  <c r="L85" i="28"/>
  <c r="L84" i="28"/>
  <c r="L82" i="28"/>
  <c r="L81" i="28"/>
  <c r="L83" i="28"/>
  <c r="L80" i="28"/>
  <c r="L79" i="28"/>
  <c r="L78" i="28"/>
  <c r="L75" i="28"/>
  <c r="L77" i="28"/>
  <c r="L74" i="28"/>
  <c r="L76" i="28"/>
  <c r="L71" i="28"/>
  <c r="C9" i="94" s="1"/>
  <c r="L66" i="28"/>
  <c r="L65" i="28"/>
  <c r="L64" i="28"/>
  <c r="L60" i="28"/>
  <c r="C20" i="94" s="1"/>
  <c r="L62" i="28"/>
  <c r="C31" i="92" s="1"/>
  <c r="L59" i="28"/>
  <c r="L61" i="28"/>
  <c r="C22" i="94" s="1"/>
  <c r="L63" i="28"/>
  <c r="C29" i="92" s="1"/>
  <c r="L57" i="28"/>
  <c r="L56" i="28"/>
  <c r="L58" i="28"/>
  <c r="L55" i="28"/>
  <c r="L49" i="28"/>
  <c r="L51" i="28"/>
  <c r="L50" i="28"/>
  <c r="L47" i="28"/>
  <c r="L48" i="28"/>
  <c r="L46" i="28"/>
  <c r="L44" i="28"/>
  <c r="L43" i="28"/>
  <c r="L45" i="28"/>
  <c r="L42" i="28"/>
  <c r="L39" i="28"/>
  <c r="C8" i="94" s="1"/>
  <c r="L41" i="28"/>
  <c r="L38" i="28"/>
  <c r="L40" i="28"/>
  <c r="L37" i="28"/>
  <c r="L36" i="28"/>
  <c r="L29" i="28"/>
  <c r="L26" i="28"/>
  <c r="L34" i="28"/>
  <c r="L31" i="28"/>
  <c r="L28" i="28"/>
  <c r="L25" i="28"/>
  <c r="L33" i="28"/>
  <c r="L30" i="28"/>
  <c r="L27" i="28"/>
  <c r="L35" i="28"/>
  <c r="L24" i="28"/>
  <c r="L32" i="28"/>
  <c r="L23" i="28"/>
  <c r="L22" i="28"/>
  <c r="L21" i="28"/>
  <c r="L20" i="28"/>
  <c r="L19" i="28"/>
  <c r="L18" i="28"/>
  <c r="L16" i="28"/>
  <c r="L15" i="28"/>
  <c r="L14" i="28"/>
  <c r="L13" i="28"/>
  <c r="L12" i="28"/>
  <c r="L11" i="28"/>
  <c r="L9" i="28"/>
  <c r="L8" i="28"/>
  <c r="L6" i="28"/>
  <c r="L5" i="28"/>
  <c r="L157" i="28"/>
  <c r="L7" i="28"/>
  <c r="L17" i="28"/>
  <c r="L205" i="28"/>
  <c r="L206" i="28"/>
  <c r="L204" i="28"/>
  <c r="L207" i="28"/>
  <c r="E10" i="28"/>
  <c r="G14" i="1"/>
  <c r="G15" i="1"/>
  <c r="G16" i="1"/>
  <c r="G17" i="1"/>
  <c r="G18" i="1"/>
  <c r="G19" i="1"/>
  <c r="E73" i="28"/>
  <c r="O92" i="28"/>
  <c r="O50" i="28"/>
  <c r="O19" i="28"/>
  <c r="F9" i="28"/>
  <c r="F156" i="1"/>
  <c r="F176" i="1" s="1"/>
  <c r="N20" i="88" l="1"/>
  <c r="E20" i="88" s="1"/>
  <c r="G20" i="88" s="1"/>
  <c r="N18" i="88"/>
  <c r="E18" i="88" s="1"/>
  <c r="G18" i="88" s="1"/>
  <c r="L9" i="88"/>
  <c r="L8" i="88" s="1"/>
  <c r="D1" i="28"/>
  <c r="C26" i="92"/>
  <c r="C18" i="94"/>
  <c r="C7" i="92"/>
  <c r="C7" i="94"/>
  <c r="C11" i="92"/>
  <c r="E11" i="92" s="1"/>
  <c r="C13" i="94"/>
  <c r="C10" i="92"/>
  <c r="E10" i="92" s="1"/>
  <c r="C12" i="94"/>
  <c r="C21" i="94"/>
  <c r="E31" i="92"/>
  <c r="E29" i="92"/>
  <c r="C30" i="92"/>
  <c r="E30" i="92" s="1"/>
  <c r="C23" i="94"/>
  <c r="C9" i="92"/>
  <c r="E9" i="92" s="1"/>
  <c r="C11" i="94"/>
  <c r="N15" i="88"/>
  <c r="G15" i="88" s="1"/>
  <c r="C20" i="92"/>
  <c r="E7" i="92"/>
  <c r="C17" i="92"/>
  <c r="C8" i="92"/>
  <c r="G13" i="88"/>
  <c r="C14" i="92"/>
  <c r="C28" i="92"/>
  <c r="E28" i="92" s="1"/>
  <c r="N11" i="88"/>
  <c r="L10" i="28"/>
  <c r="N17" i="88"/>
  <c r="E17" i="88" s="1"/>
  <c r="G17" i="88" s="1"/>
  <c r="M19" i="88"/>
  <c r="N19" i="88" s="1"/>
  <c r="E19" i="88" s="1"/>
  <c r="G19" i="88" s="1"/>
  <c r="L73" i="28"/>
  <c r="F159" i="28"/>
  <c r="F83" i="28"/>
  <c r="L193" i="28"/>
  <c r="L192" i="28"/>
  <c r="F34" i="28"/>
  <c r="F66" i="28"/>
  <c r="F106" i="28"/>
  <c r="F90" i="28"/>
  <c r="F104" i="28"/>
  <c r="F18" i="28"/>
  <c r="F140" i="28"/>
  <c r="F62" i="28"/>
  <c r="F25" i="28"/>
  <c r="F48" i="28"/>
  <c r="F161" i="28"/>
  <c r="F89" i="28"/>
  <c r="F150" i="28"/>
  <c r="F149" i="28"/>
  <c r="F144" i="28"/>
  <c r="F139" i="28"/>
  <c r="F63" i="28"/>
  <c r="F152" i="28"/>
  <c r="F75" i="28"/>
  <c r="F138" i="28"/>
  <c r="F8" i="28"/>
  <c r="F49" i="28"/>
  <c r="F35" i="28"/>
  <c r="F147" i="28"/>
  <c r="F111" i="28"/>
  <c r="F31" i="28"/>
  <c r="F57" i="28"/>
  <c r="F6" i="28"/>
  <c r="F116" i="28"/>
  <c r="F45" i="28"/>
  <c r="F110" i="28"/>
  <c r="F27" i="28"/>
  <c r="F30" i="28"/>
  <c r="F162" i="28"/>
  <c r="F42" i="28"/>
  <c r="F29" i="28"/>
  <c r="F143" i="28"/>
  <c r="F28" i="28"/>
  <c r="F23" i="28"/>
  <c r="F100" i="28"/>
  <c r="F22" i="28"/>
  <c r="F95" i="28"/>
  <c r="F37" i="28"/>
  <c r="F81" i="28"/>
  <c r="F47" i="28"/>
  <c r="F46" i="28"/>
  <c r="F26" i="28"/>
  <c r="F24" i="28"/>
  <c r="F38" i="28"/>
  <c r="F59" i="28"/>
  <c r="F79" i="28"/>
  <c r="F39" i="28"/>
  <c r="F43" i="28"/>
  <c r="H165" i="28"/>
  <c r="G106" i="28"/>
  <c r="F160" i="28"/>
  <c r="H151" i="28"/>
  <c r="F44" i="28"/>
  <c r="F5" i="28"/>
  <c r="F41" i="28"/>
  <c r="G34" i="28"/>
  <c r="G50" i="28"/>
  <c r="F51" i="28"/>
  <c r="F50" i="28"/>
  <c r="F21" i="28"/>
  <c r="H164" i="28"/>
  <c r="G21" i="28"/>
  <c r="F118" i="28"/>
  <c r="F92" i="28"/>
  <c r="G92" i="28"/>
  <c r="F94" i="28"/>
  <c r="F76" i="28"/>
  <c r="F61" i="28"/>
  <c r="F60" i="28"/>
  <c r="F33" i="28"/>
  <c r="F7" i="28"/>
  <c r="G105" i="28"/>
  <c r="F105" i="28"/>
  <c r="F65" i="28"/>
  <c r="G65" i="28"/>
  <c r="G66" i="28"/>
  <c r="G33" i="28"/>
  <c r="F58" i="28"/>
  <c r="F145" i="28"/>
  <c r="H163" i="28"/>
  <c r="F156" i="28"/>
  <c r="F148" i="28"/>
  <c r="E26" i="92" l="1"/>
  <c r="E32" i="92" s="1"/>
  <c r="C32" i="92"/>
  <c r="C24" i="94"/>
  <c r="E12" i="92"/>
  <c r="C14" i="94"/>
  <c r="C12" i="92"/>
  <c r="C15" i="92" s="1"/>
  <c r="C18" i="92" s="1"/>
  <c r="G11" i="88"/>
  <c r="O11" i="88"/>
  <c r="F11" i="88"/>
  <c r="L191" i="28"/>
  <c r="L219" i="28" s="1"/>
  <c r="L221" i="28" s="1"/>
  <c r="F17" i="28"/>
  <c r="G25" i="88"/>
  <c r="F73" i="28"/>
  <c r="F165" i="28"/>
  <c r="F10" i="28"/>
  <c r="F151" i="28"/>
  <c r="F164" i="28"/>
  <c r="F163" i="28"/>
  <c r="C26" i="94" l="1"/>
  <c r="C34" i="92"/>
  <c r="E34" i="92"/>
  <c r="B22" i="92"/>
  <c r="C21" i="92"/>
  <c r="B21" i="92"/>
  <c r="L31" i="88"/>
</calcChain>
</file>

<file path=xl/sharedStrings.xml><?xml version="1.0" encoding="utf-8"?>
<sst xmlns="http://schemas.openxmlformats.org/spreadsheetml/2006/main" count="4985" uniqueCount="2103">
  <si>
    <t xml:space="preserve">Unit Number:      </t>
  </si>
  <si>
    <t>Description of Requested Amount from Audited Financial Statements</t>
  </si>
  <si>
    <t>Capital Assets for Governmental Activities</t>
  </si>
  <si>
    <t>Buildings</t>
  </si>
  <si>
    <t>Plant / distributions systems / water lines</t>
  </si>
  <si>
    <t>Infrastructure(other infrastructure)</t>
  </si>
  <si>
    <t>Construction in progress</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</si>
  <si>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</si>
  <si>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</si>
  <si>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</si>
  <si>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</si>
  <si>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</si>
  <si>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</si>
  <si>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</si>
  <si>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</si>
  <si>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</si>
  <si>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</si>
  <si>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</si>
  <si>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</si>
  <si>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</si>
  <si>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</si>
  <si>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</si>
  <si>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</si>
  <si>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</si>
  <si>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</si>
  <si>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</si>
  <si>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</si>
  <si>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</si>
  <si>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</si>
  <si>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</si>
  <si>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</si>
  <si>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</si>
  <si>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</si>
  <si>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</si>
  <si>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</si>
  <si>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</si>
  <si>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</si>
  <si>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</si>
  <si>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</si>
  <si>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</si>
  <si>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</si>
  <si>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</si>
  <si>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</si>
  <si>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</si>
  <si>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</si>
  <si>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</si>
  <si>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</si>
  <si>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</si>
  <si>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</si>
  <si>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</si>
  <si>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</si>
  <si>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</si>
  <si>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</si>
  <si>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Review Summary</t>
  </si>
  <si>
    <t>Error Detection</t>
  </si>
  <si>
    <t>Water Sewer Memo,
Dashboard,
Water Sewer Dashboard</t>
  </si>
  <si>
    <t>Water Sewer Memo, Water Sewer Dashboard</t>
  </si>
  <si>
    <t>Water Sewer Memo, Water Sewer Dashboard, Dashboard</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</si>
  <si>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</si>
  <si>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</si>
  <si>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</si>
  <si>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</si>
  <si>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</si>
  <si>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</si>
  <si>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</si>
  <si>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</si>
  <si>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</si>
  <si>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</si>
  <si>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Encumbrances at June 30 (listed in the notes)……………………………...…………………………</t>
  </si>
  <si>
    <t>Unavailable or Unearned Revenues Arising from Cash Receipts ……………………………</t>
  </si>
  <si>
    <t>Fund Balance Available for Appropriation ……………………………………………………….</t>
  </si>
  <si>
    <t>Total Restricted by State Statue………………………………………….…………………………………………..</t>
  </si>
  <si>
    <t>Restricted by State Statute Presented on Financial Statements</t>
  </si>
  <si>
    <t>Less</t>
  </si>
  <si>
    <t>Restricted - Stabilization by State Statute (LGC calculation)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</si>
  <si>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</si>
  <si>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</si>
  <si>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</si>
  <si>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</si>
  <si>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</si>
  <si>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</si>
  <si>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</si>
  <si>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</si>
  <si>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 xml:space="preserve">    Fund Balance Available  as % of Expenditures …………………………..........</t>
  </si>
  <si>
    <t xml:space="preserve"> Restricted Cash</t>
  </si>
  <si>
    <t>WS - Change in Net Position</t>
  </si>
  <si>
    <t>WS - Total Net Position</t>
  </si>
  <si>
    <t>Gov - Net Investment in Capital Assets</t>
  </si>
  <si>
    <t>Gov - Restricted Net Position</t>
  </si>
  <si>
    <t>Gov - Unrestricted Net Position</t>
  </si>
  <si>
    <t>Gov - Any Adj. to Beginning Net Position</t>
  </si>
  <si>
    <t>WS - Any Adj. to Beginning Net Position</t>
  </si>
  <si>
    <t>How Data is used</t>
  </si>
  <si>
    <t>Statutory Calculation of Fund Balance Available for Appropriation At June 30 for the General Fund
Restricted - Stabilization by State Statute</t>
  </si>
  <si>
    <t>WS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</si>
  <si>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</si>
  <si>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</si>
  <si>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</si>
  <si>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</si>
  <si>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</si>
  <si>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</si>
  <si>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</si>
  <si>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</si>
  <si>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</si>
  <si>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</si>
  <si>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</si>
  <si>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</si>
  <si>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</si>
  <si>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</si>
  <si>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</si>
  <si>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</si>
  <si>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</si>
  <si>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</si>
  <si>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</si>
  <si>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</si>
  <si>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</si>
  <si>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</si>
  <si>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</si>
  <si>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</si>
  <si>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</si>
  <si>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</si>
  <si>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</si>
  <si>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</si>
  <si>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</si>
  <si>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</si>
  <si>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</si>
  <si>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</si>
  <si>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</si>
  <si>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</si>
  <si>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</si>
  <si>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</si>
  <si>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</si>
  <si>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Total Operating revenues</t>
  </si>
  <si>
    <t>Depreciation and amortization expense</t>
  </si>
  <si>
    <t>Total Operating expenses</t>
  </si>
  <si>
    <t>Interest expense</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</si>
  <si>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</si>
  <si>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</si>
  <si>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</si>
  <si>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</si>
  <si>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</si>
  <si>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</si>
  <si>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</si>
  <si>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</si>
  <si>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</si>
  <si>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</si>
  <si>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</si>
  <si>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</si>
  <si>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</si>
  <si>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</si>
  <si>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</si>
  <si>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</si>
  <si>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</si>
  <si>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</si>
  <si>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</si>
  <si>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</si>
  <si>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</si>
  <si>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</si>
  <si>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</si>
  <si>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</si>
  <si>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</si>
  <si>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</si>
  <si>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</si>
  <si>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</si>
  <si>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</si>
  <si>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</si>
  <si>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</si>
  <si>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</si>
  <si>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</si>
  <si>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</si>
  <si>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</si>
  <si>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</si>
  <si>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</si>
  <si>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</si>
  <si>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</si>
  <si>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</si>
  <si>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</si>
  <si>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</si>
  <si>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</si>
  <si>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</si>
  <si>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</si>
  <si>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</si>
  <si>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</si>
  <si>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</si>
  <si>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</si>
  <si>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</si>
  <si>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</si>
  <si>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</si>
  <si>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</si>
  <si>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</si>
  <si>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</si>
  <si>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</si>
  <si>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</si>
  <si>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</si>
  <si>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</si>
  <si>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</si>
  <si>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</si>
  <si>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</si>
  <si>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</si>
  <si>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</si>
  <si>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WS - Cash Flow from Operating Activities</t>
  </si>
  <si>
    <t>WS - Principal Paid - Cash Flow</t>
  </si>
  <si>
    <t>WS - Capital Outlay - Cashflow</t>
  </si>
  <si>
    <t>Fiduciary - Cash and Investments</t>
  </si>
  <si>
    <t>Cash and Investment - Bond Proceeds - all Funds</t>
  </si>
  <si>
    <t>Gov - Debt Liability</t>
  </si>
  <si>
    <t>Gov - Principal Paid</t>
  </si>
  <si>
    <t>Transfer from General to Debt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</si>
  <si>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</si>
  <si>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</si>
  <si>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</si>
  <si>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</si>
  <si>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</si>
  <si>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</si>
  <si>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</si>
  <si>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</si>
  <si>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</si>
  <si>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</si>
  <si>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</si>
  <si>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</si>
  <si>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</si>
  <si>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</si>
  <si>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</si>
  <si>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</si>
  <si>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</si>
  <si>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</si>
  <si>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</si>
  <si>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</si>
  <si>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</si>
  <si>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</si>
  <si>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</si>
  <si>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</si>
  <si>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</si>
  <si>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</si>
  <si>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</si>
  <si>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</si>
  <si>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</si>
  <si>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</si>
  <si>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Select Your Unit's Name from the drop down box in cell D2</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</si>
  <si>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</si>
  <si>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</si>
  <si>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</si>
  <si>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</si>
  <si>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</si>
  <si>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</si>
  <si>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</si>
  <si>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</si>
  <si>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Fund Statements - all Governmental Funds</t>
  </si>
  <si>
    <t>Information</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</si>
  <si>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</si>
  <si>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</si>
  <si>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</si>
  <si>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</si>
  <si>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</si>
  <si>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</si>
  <si>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</si>
  <si>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</si>
  <si>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</si>
  <si>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</si>
  <si>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</si>
  <si>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WS-EF- Total LT Debt (ST &amp;LT; normal exclusions)</t>
  </si>
  <si>
    <t>WS-revenues and other financing sources over expenditures and other uses-excl. transfers, capital Cont.</t>
  </si>
  <si>
    <t>If unit did not answer you do not need to pursue.</t>
  </si>
  <si>
    <t>Error Amounts</t>
  </si>
  <si>
    <t>Error Count</t>
  </si>
  <si>
    <t>Advance To: Interfund loan receivable-portion of repayment plan longer than 12 months</t>
  </si>
  <si>
    <t>GF-Advance To - Asset</t>
  </si>
  <si>
    <t>WS -  Advance To - Asset</t>
  </si>
  <si>
    <t>WS - Advance From - Liability</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</si>
  <si>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</si>
  <si>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</si>
  <si>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</si>
  <si>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</si>
  <si>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</si>
  <si>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</si>
  <si>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</si>
  <si>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</si>
  <si>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</si>
  <si>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</si>
  <si>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</si>
  <si>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</si>
  <si>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50 - Became Operational</t>
  </si>
  <si>
    <t>51 - Ceased Operations</t>
  </si>
  <si>
    <t>52 - No Change</t>
  </si>
  <si>
    <t>Status of Water Sewer</t>
  </si>
  <si>
    <t>Statement of Activities                               (all governmental and business funds)</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</si>
  <si>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</si>
  <si>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</si>
  <si>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</si>
  <si>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</si>
  <si>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</si>
  <si>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</si>
  <si>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</si>
  <si>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</si>
  <si>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</si>
  <si>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OPEB
 Note or RSI</t>
  </si>
  <si>
    <t>Notes or formulas</t>
  </si>
  <si>
    <t>OPEB
RSI</t>
  </si>
  <si>
    <t>LEO
RSI</t>
  </si>
  <si>
    <t>Debt Issued within next 12 months</t>
  </si>
  <si>
    <t/>
  </si>
  <si>
    <t>LEOSSA – What is the plan’s fiduciary net position as a percentage of the total pension liability?  Please enter as percentage value; for example, 83.5% should be entered as 83.5.  If assets have not been set aside in a trust, please enter 0.0</t>
  </si>
  <si>
    <t>FS., OPEB  note or RSI</t>
  </si>
  <si>
    <t>FS., Pension note or RSI</t>
  </si>
  <si>
    <t>Notes to the Financial Statements - Pension Note</t>
  </si>
  <si>
    <t>FS., OPEB note or RSI</t>
  </si>
  <si>
    <t>Net Pension Liability</t>
  </si>
  <si>
    <t>Determination of Fiscal Health</t>
  </si>
  <si>
    <t>Fund Balance, Unassigned</t>
  </si>
  <si>
    <t>Debt Service Fund</t>
  </si>
  <si>
    <t>Please enter the Total Fund Balance for any Debt Service Funds</t>
  </si>
  <si>
    <t>Water Sewer Net Position Statement</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</si>
  <si>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</si>
  <si>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</si>
  <si>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</si>
  <si>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</si>
  <si>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</si>
  <si>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</si>
  <si>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</si>
  <si>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</si>
  <si>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</si>
  <si>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</si>
  <si>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</si>
  <si>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</si>
  <si>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</si>
  <si>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 xml:space="preserve"> GF - Fund balance, Assigned </t>
  </si>
  <si>
    <t>GF - Fund Balance, Unassigned</t>
  </si>
  <si>
    <t>Acct #</t>
  </si>
  <si>
    <t>Fund balance, Assigned (total of all assigned components)</t>
  </si>
  <si>
    <t>Amount of the General Fund Balance appropriated in next year's budget. As reported on the General Fund Balance Sheet.</t>
  </si>
  <si>
    <t>Unit Data From Audit Worksheet</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</si>
  <si>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</si>
  <si>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</si>
  <si>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</si>
  <si>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</si>
  <si>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</si>
  <si>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</si>
  <si>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</si>
  <si>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</si>
  <si>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</si>
  <si>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</si>
  <si>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</si>
  <si>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</si>
  <si>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</si>
  <si>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</si>
  <si>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</si>
  <si>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</si>
  <si>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Total OPEB benefits - total OPEB liability
If you do not provide benefit, please enter 0</t>
  </si>
  <si>
    <t>Total OPEB benefits- OPEB plan fiduciary net position
If no fiduciary net position, enter 0</t>
  </si>
  <si>
    <t>OPEB-Plan's fiduciary net position as a % of total OPEB liability</t>
  </si>
  <si>
    <t>Do you use prepared food/occupancy tax revenue stream to support debt.  Yes =1 No=2</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</si>
  <si>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</si>
  <si>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</si>
  <si>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</si>
  <si>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</si>
  <si>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</si>
  <si>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</si>
  <si>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</si>
  <si>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</si>
  <si>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</si>
  <si>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</si>
  <si>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</si>
  <si>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</si>
  <si>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</si>
  <si>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Jackson</t>
  </si>
  <si>
    <t>Dashboard; Determination of Fiscal Health</t>
  </si>
  <si>
    <t>WS-Any current assets that are restricted (Cash, Accounts Rec., etc..) and included in account 654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</si>
  <si>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</si>
  <si>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</si>
  <si>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</si>
  <si>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</si>
  <si>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</si>
  <si>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</si>
  <si>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</si>
  <si>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</si>
  <si>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</si>
  <si>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</si>
  <si>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</si>
  <si>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</si>
  <si>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</si>
  <si>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</si>
  <si>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</si>
  <si>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</si>
  <si>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Is the Independent Auditor's Report Opinion Unmodified?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</si>
  <si>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</si>
  <si>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</si>
  <si>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</si>
  <si>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</si>
  <si>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</si>
  <si>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</si>
  <si>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</si>
  <si>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Anson County</t>
  </si>
  <si>
    <t>Bertie County</t>
  </si>
  <si>
    <t>Edgecombe County</t>
  </si>
  <si>
    <t>Hyde County</t>
  </si>
  <si>
    <t>Madison County</t>
  </si>
  <si>
    <t>Northampton County</t>
  </si>
  <si>
    <t>Orange County</t>
  </si>
  <si>
    <t>Pender County</t>
  </si>
  <si>
    <t>Scotland County</t>
  </si>
  <si>
    <t>Tyrrell County</t>
  </si>
  <si>
    <t>Performance Indicator</t>
  </si>
  <si>
    <t>Unit Number:</t>
  </si>
  <si>
    <t>Equal or greater than 1</t>
  </si>
  <si>
    <t>Less than 3%</t>
  </si>
  <si>
    <t>Unit Data from Audit Worksheet tab : (654-655-579-510)/(633-634-635-636-637-638-578)</t>
  </si>
  <si>
    <t>Date the Auditor presented or plans to present the Audit to the Governing Board</t>
  </si>
  <si>
    <t>Of the transfers-in above in acct # 352, list amount of transfers-in that were used to support Water Sewer operations  (exclude capital transfers)</t>
  </si>
  <si>
    <t>Unit Data from Audit worksheet tab : (984-985)/985</t>
  </si>
  <si>
    <t>Unit Data from Audit worksheet tab :  CCH acct # 991</t>
  </si>
  <si>
    <t>No over-expenditures</t>
  </si>
  <si>
    <t>hidden data</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</si>
  <si>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</si>
  <si>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</si>
  <si>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</si>
  <si>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</si>
  <si>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Auditor indicated that there was at least one Performance indicator of Concern on the PI tab</t>
  </si>
  <si>
    <t>Unit Name:</t>
  </si>
  <si>
    <t>D</t>
  </si>
  <si>
    <t>E</t>
  </si>
  <si>
    <t>F</t>
  </si>
  <si>
    <t>G</t>
  </si>
  <si>
    <t>H</t>
  </si>
  <si>
    <t>JACKSON</t>
  </si>
  <si>
    <t>accounts set-up in 2020 that are equivalent to account 44</t>
  </si>
  <si>
    <t>=654-655-579)</t>
  </si>
  <si>
    <t>accounts set-up in 2020 that are equivalent to account 45</t>
  </si>
  <si>
    <t>=(633-634-635-636-637-638-578)</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</si>
  <si>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</si>
  <si>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</si>
  <si>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</si>
  <si>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</si>
  <si>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</si>
  <si>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</si>
  <si>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</si>
  <si>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Cell L224 contains link that has to be relinked to prior year  "YYYY Data(H)" tab</t>
  </si>
  <si>
    <t>Do you operate a landfill that will be closing  or have a significant portion closing within the next 5 years?  Select "1" for Yes and "2" for No</t>
  </si>
  <si>
    <t xml:space="preserve">Estimated cost not yet budgeted of any mandate placed on unit by DEQ, a court order or some similar requirement (that has no realistic appeal path). </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</si>
  <si>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</si>
  <si>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</si>
  <si>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L225 contains link that has to be relinked to prior year  "YYYY Data(H)" tab</t>
  </si>
  <si>
    <t>Cell L226 contains link that has to be relinked to prior year "YYYY Data(H)" tab</t>
  </si>
  <si>
    <t>must be populated  in L column for database upload</t>
  </si>
  <si>
    <t xml:space="preserve"> formula in E column - use for handling date from TD Info Completed by Auditor tab uploading to database</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</si>
  <si>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</si>
  <si>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</si>
  <si>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</si>
  <si>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</si>
  <si>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Did the Unit have any of the following occur:
1.  Bond covenants were not met
2.  Debt service payments made late?  Deferred payments authorized by LGC or other state
     agencies should not be counted as late for purposes of this question.</t>
  </si>
  <si>
    <t>TD Info Completed by Auditor : CCH acct # 974</t>
  </si>
  <si>
    <t>Minimum Threshold</t>
  </si>
  <si>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</si>
  <si>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</si>
  <si>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</si>
  <si>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</si>
  <si>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</si>
  <si>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</si>
  <si>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</si>
  <si>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</si>
  <si>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</si>
  <si>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</si>
  <si>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</si>
  <si>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</si>
  <si>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</si>
  <si>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</si>
  <si>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</si>
  <si>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</si>
  <si>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</si>
  <si>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</si>
  <si>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</si>
  <si>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</si>
  <si>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</si>
  <si>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</si>
  <si>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</si>
  <si>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</si>
  <si>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</si>
  <si>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</si>
  <si>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</si>
  <si>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</si>
  <si>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</si>
  <si>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</si>
  <si>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</si>
  <si>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</si>
  <si>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</si>
  <si>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</si>
  <si>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</si>
  <si>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</si>
  <si>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</si>
  <si>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</si>
  <si>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</si>
  <si>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</si>
  <si>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</si>
  <si>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</si>
  <si>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</si>
  <si>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</si>
  <si>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</si>
  <si>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</si>
  <si>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</si>
  <si>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</si>
  <si>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</si>
  <si>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</si>
  <si>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</si>
  <si>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</si>
  <si>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</si>
  <si>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</si>
  <si>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</si>
  <si>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</si>
  <si>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</si>
  <si>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</si>
  <si>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</si>
  <si>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</si>
  <si>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</si>
  <si>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</si>
  <si>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</si>
  <si>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</si>
  <si>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</si>
  <si>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</si>
  <si>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</si>
  <si>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</si>
  <si>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</si>
  <si>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</si>
  <si>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</si>
  <si>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</si>
  <si>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</si>
  <si>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Capital Assets for Water and Sewer Activity </t>
    </r>
    <r>
      <rPr>
        <sz val="11"/>
        <color indexed="60"/>
        <rFont val="Calibri"/>
        <family val="2"/>
        <scheme val="minor"/>
      </rPr>
      <t>(If unit maintains separate funds please combine all water, sewer and wastewater funds into one activity for purposes of this worksheet)</t>
    </r>
    <r>
      <rPr>
        <b/>
        <sz val="11"/>
        <color indexed="8"/>
        <rFont val="Calibri"/>
        <family val="2"/>
        <scheme val="minor"/>
      </rPr>
      <t xml:space="preserve">
Exclude </t>
    </r>
    <r>
      <rPr>
        <sz val="11"/>
        <color indexed="8"/>
        <rFont val="Calibri"/>
        <family val="2"/>
        <scheme val="minor"/>
      </rPr>
      <t>Stormwater funds</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</si>
  <si>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</si>
  <si>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</si>
  <si>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</si>
  <si>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</si>
  <si>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</si>
  <si>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</si>
  <si>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</si>
  <si>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</si>
  <si>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</si>
  <si>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</si>
  <si>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</si>
  <si>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</si>
  <si>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</si>
  <si>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</si>
  <si>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</si>
  <si>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</si>
  <si>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</si>
  <si>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</si>
  <si>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</si>
  <si>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</si>
  <si>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</si>
  <si>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</si>
  <si>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Messages</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</si>
  <si>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</si>
  <si>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</si>
  <si>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</si>
  <si>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</si>
  <si>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</si>
  <si>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</si>
  <si>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</si>
  <si>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</si>
  <si>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</si>
  <si>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If you answered "yes" to question #988 above, will you have the closure/postclosure cost fully funded by the date of closure?  Select "1" for Yes,  "2" for No, or "3" for N/A.</t>
  </si>
  <si>
    <r>
      <rPr>
        <u/>
        <sz val="11"/>
        <rFont val="Calibri"/>
        <family val="2"/>
        <scheme val="minor"/>
      </rPr>
      <t xml:space="preserve">Please enter the </t>
    </r>
    <r>
      <rPr>
        <b/>
        <u/>
        <sz val="11"/>
        <rFont val="Calibri"/>
        <family val="2"/>
        <scheme val="minor"/>
      </rPr>
      <t>Net Current year's levy for property excluding registered motor vehicles</t>
    </r>
    <r>
      <rPr>
        <sz val="11"/>
        <rFont val="Calibri"/>
        <family val="2"/>
        <scheme val="minor"/>
      </rPr>
      <t xml:space="preserve">-- </t>
    </r>
    <r>
      <rPr>
        <sz val="11"/>
        <color indexed="60"/>
        <rFont val="Calibri"/>
        <family val="2"/>
        <scheme val="minor"/>
      </rPr>
      <t>(after adjusting for discoveries and abatements)</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</si>
  <si>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Leave blank if data not available</t>
  </si>
  <si>
    <t>Debt Service Fund Balance</t>
  </si>
  <si>
    <t>Did unit have problems with debt service payments being late, debt restructured or not meeting bond covenants</t>
  </si>
  <si>
    <t>If you answered "yes" to question CCH #988 above, will you have the closure/postclosure cost fully funded by the date of closure</t>
  </si>
  <si>
    <t>Greater than 16% (2 months)</t>
  </si>
  <si>
    <t>Unit Data from Audit worksheet tab :  CCH acct # 986 is greater than (CCH 85+CCH 351)*.03</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</si>
  <si>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</si>
  <si>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Select Unit Name from Drop Down List</t>
  </si>
  <si>
    <t>Section 1: Data Collection NOTE:  the data submitted below may be used in various published reports</t>
  </si>
  <si>
    <t>Caswell County</t>
  </si>
  <si>
    <t>Cherokee County</t>
  </si>
  <si>
    <t>Columbus County</t>
  </si>
  <si>
    <t>Davie County</t>
  </si>
  <si>
    <t>Graham County</t>
  </si>
  <si>
    <t>Martin County</t>
  </si>
  <si>
    <t>Person County</t>
  </si>
  <si>
    <t>Unit Results</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</si>
  <si>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</si>
  <si>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Greater than zero</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</si>
  <si>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</si>
  <si>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</si>
  <si>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</si>
  <si>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Any estimated decrease</t>
  </si>
  <si>
    <t>You indicated that you expect a decrease in property value for your next property revaluation which could result in lost tax revenue.</t>
  </si>
  <si>
    <t>This indicator lists whether or not the unit has issues with debt service payments or bond covenants.</t>
  </si>
  <si>
    <t>Please indicate if you expect your revaluation to increase, decrease, or no change.  If you are not listed please select N/A</t>
  </si>
  <si>
    <t>I</t>
  </si>
  <si>
    <t>Do you operate a landfill that will be closing  or have a significant portion closing within the next 5 years</t>
  </si>
  <si>
    <t>Please have the completed audit report available to complete this form.  ALL questions must be answered before submitting to the portal.</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</si>
  <si>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</si>
  <si>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</si>
  <si>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</si>
  <si>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</si>
  <si>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</si>
  <si>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</si>
  <si>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</si>
  <si>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</si>
  <si>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</si>
  <si>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</si>
  <si>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</si>
  <si>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</si>
  <si>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</si>
  <si>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</si>
  <si>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Intergovernmental Data Code</t>
  </si>
  <si>
    <t>WS - Total Current Assets</t>
  </si>
  <si>
    <t>WS - Select Current Liabilities</t>
  </si>
  <si>
    <t>Counties Only- Local Current Expense to BOEs</t>
  </si>
  <si>
    <t>Counties Only- Capital Outlay Contribution to BOEs</t>
  </si>
  <si>
    <t>WS Cap Asset - Land &amp; other Non-Construction</t>
  </si>
  <si>
    <t>Gov - Select Current Liabilities</t>
  </si>
  <si>
    <t>GA- Total General revenues (No transfers, special, extraordinary items)(SOA)</t>
  </si>
  <si>
    <t>WS - Total Non-Operating Revenues-exclude capital contrib.</t>
  </si>
  <si>
    <t>Gen Fund - Any Adj. to Beginning Net Position</t>
  </si>
  <si>
    <t>Gen Fund - Total Expenditures</t>
  </si>
  <si>
    <t>Gen Fund - Proceeds from LTD</t>
  </si>
  <si>
    <t>Amount of the Water Sewer Fund Balance appropriated in next year's budget</t>
  </si>
  <si>
    <t>Supplemental School Tax</t>
  </si>
  <si>
    <t>OPEB
1-implicit rate only
2-no benefit
3-benfit
4- state health plan</t>
  </si>
  <si>
    <t>Yes  or "1" indicates unit has defined benefit other than the ones adm. By the state</t>
  </si>
  <si>
    <t>WS-Advance From - Liability</t>
  </si>
  <si>
    <t>WS-Advance To - Asset</t>
  </si>
  <si>
    <t>County only-timber receipts sent to the schools</t>
  </si>
  <si>
    <t>GF - Advance to</t>
  </si>
  <si>
    <t>County-supplemental school tax reported in Agency fund</t>
  </si>
  <si>
    <t>Compliance opinion - enter "1" for clean Opinion or "2" for other than clean opinion</t>
  </si>
  <si>
    <t>LEO - plan's fiduary net position as a % of total pension liability</t>
  </si>
  <si>
    <t>Do you expect to issue debt requiring LGC approval within 12 months from the date that the audit is submitted - select "1" for year and "2" for no</t>
  </si>
  <si>
    <t>IMPORT TAB ONLY - OPEB - If a unit is an employer participant in the State's RHBF (Retiree Health Benefit Fund) then only the Net OPEB liability is available and should be put in the reviewer correction field, column D.  It should be the total amount of t</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</si>
  <si>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</si>
  <si>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</si>
  <si>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</si>
  <si>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</si>
  <si>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</si>
  <si>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</si>
  <si>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</si>
  <si>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GW-Current Liabilities - closure/Postclosure</t>
  </si>
  <si>
    <t>Debt Service Funds Total Fund Balance</t>
  </si>
  <si>
    <t>WS-Any current assets that are restricted (Cash, Accounts Rec., ect.)</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</si>
  <si>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</si>
  <si>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</si>
  <si>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</si>
  <si>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</si>
  <si>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</si>
  <si>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</si>
  <si>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Amy</t>
  </si>
  <si>
    <t>Cindy</t>
  </si>
  <si>
    <t>Susan</t>
  </si>
  <si>
    <t>Last name of finance officer or interim finance officer (please enter GÇ£vacantGÇ¥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</si>
  <si>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</si>
  <si>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</si>
  <si>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</si>
  <si>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</si>
  <si>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</si>
  <si>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</si>
  <si>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</si>
  <si>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</si>
  <si>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TD-Did unit have their debt service payments restructured in this fiscal year? (does not include refinancings designed to take advantage of lower interest rates)</t>
  </si>
  <si>
    <t>Name of Official who signed the Data Input Worksheet</t>
  </si>
  <si>
    <t>Title of Official who signed the Data input Worksheet</t>
  </si>
  <si>
    <t>Finance Director</t>
  </si>
  <si>
    <t>Finance Officer</t>
  </si>
  <si>
    <t>FINANCE OFFICER</t>
  </si>
  <si>
    <t>Date the FO signed the Data Input worksheet</t>
  </si>
  <si>
    <t>Telephone number of the FO who signed the data input worksheet</t>
  </si>
  <si>
    <t>E-mail address of FO who signed the data input worksheet</t>
  </si>
  <si>
    <t>Did the Unit have any of the following occur:
1.  Were any debt service payments deferred or restructured in this fiscal year? (does not include refinancings designed to take advantage of lower interest rates)
2.  Bond covenants were not met
3.  Debt serv</t>
  </si>
  <si>
    <t>The Auditor will submit the Audit Report to the LGC within five months plus one day after the fiscal year end.-á (for units with a June 30th fiscal year-end this would be December 1)-á-á Select Yes or No</t>
  </si>
  <si>
    <t>12/13/2021</t>
  </si>
  <si>
    <t>1/13/2022</t>
  </si>
  <si>
    <t>Amount of Ad valorem tax collected (including motor vehicle and prior years) reported on budget actual statement</t>
  </si>
  <si>
    <t>Amount of Ad valorem tax budgeted (including motor vehicle and prior years) reported on budget actual statement</t>
  </si>
  <si>
    <t>Estimated cost of any mandate placed on unit by DEQ, a court order or some similar requirement (that has no realistic appeal path) that the finacial effect will be greater that 3% of the WS budget and is not already been budgeted.</t>
  </si>
  <si>
    <t>Do you operate a landfill that will be closing  or have a significant portion closing within the next 5 years?</t>
  </si>
  <si>
    <t>If you answered "yes" to question CCH #988 above, will you have the closure/postclosure cost fully funded by the date of closure?</t>
  </si>
  <si>
    <t>The Counties listed in cell H260 are scheduled to revalue property listing by 1/1/2022 according to the Dept. of Revenue records.  Please indicate if you expect your revaluation to increase, decrease, or no change.  If you are not listed please select N/A</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</si>
  <si>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</si>
  <si>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</si>
  <si>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</si>
  <si>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</si>
  <si>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</si>
  <si>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</si>
  <si>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</si>
  <si>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</si>
  <si>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</si>
  <si>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LGC Records indicate that your unit has an operational Water and/or Sewer system and needs to complete the Water Sewer Question</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</si>
  <si>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</si>
  <si>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</si>
  <si>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</si>
  <si>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</si>
  <si>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</si>
  <si>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</si>
  <si>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</si>
  <si>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</si>
  <si>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Statistic reported on DIW FPIC tab</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</si>
  <si>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</si>
  <si>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</si>
  <si>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</si>
  <si>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</si>
  <si>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</si>
  <si>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</si>
  <si>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</si>
  <si>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</si>
  <si>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</si>
  <si>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</si>
  <si>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Net Total row 311 less row 351</t>
  </si>
  <si>
    <t>Not on Unit Data from Audit Worksheet</t>
  </si>
  <si>
    <t>Mary</t>
  </si>
  <si>
    <t>Robin</t>
  </si>
  <si>
    <t>Vicki</t>
  </si>
  <si>
    <t>Kimberly</t>
  </si>
  <si>
    <t>Dee</t>
  </si>
  <si>
    <t>David</t>
  </si>
  <si>
    <t>Jennifer</t>
  </si>
  <si>
    <t>Karen</t>
  </si>
  <si>
    <t>Lisa</t>
  </si>
  <si>
    <t>Anthony</t>
  </si>
  <si>
    <t>Hinson</t>
  </si>
  <si>
    <t>Edwards</t>
  </si>
  <si>
    <t>Patton</t>
  </si>
  <si>
    <t>8/9/2021</t>
  </si>
  <si>
    <t>1/1/2018</t>
  </si>
  <si>
    <t>1/1/2014</t>
  </si>
  <si>
    <t>1/1/2011</t>
  </si>
  <si>
    <t>1/1/2019</t>
  </si>
  <si>
    <t>4/1/2009</t>
  </si>
  <si>
    <t>7/1/2021</t>
  </si>
  <si>
    <t>FINANCE DIRECTOR</t>
  </si>
  <si>
    <t>Chief Financial Officer</t>
  </si>
  <si>
    <t>2/14/2022</t>
  </si>
  <si>
    <t>10/7/2021</t>
  </si>
  <si>
    <t>Governmental Activities - Benchmarking Tool uses account 336 in the code to calculate liquidity quick ratio.  Must be included on imported to CCH and SQL database.  Memos used these accounts as well.</t>
  </si>
  <si>
    <t>Governmental Activities - Benchmarking Tool uses account 336 in the code to calculate liquidity quick ratio.  Must be included on imported to CCH and SQL database. Memos used these accounts as well.</t>
  </si>
  <si>
    <t>Telephone Number and Ext., etc.</t>
  </si>
  <si>
    <t>formula code</t>
  </si>
  <si>
    <t>12/7/2020</t>
  </si>
  <si>
    <t>1/4/2021</t>
  </si>
  <si>
    <t>9/22/2020</t>
  </si>
  <si>
    <t>Y</t>
  </si>
  <si>
    <t>Chris</t>
  </si>
  <si>
    <t>Donna</t>
  </si>
  <si>
    <t>Beverly</t>
  </si>
  <si>
    <t>Kim</t>
  </si>
  <si>
    <t>PERMANENT</t>
  </si>
  <si>
    <t>permanent</t>
  </si>
  <si>
    <t>YES</t>
  </si>
  <si>
    <t>1/1/2013</t>
  </si>
  <si>
    <t>7/1/2019</t>
  </si>
  <si>
    <t xml:space="preserve">PERFORMANCE INDICATORS </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</si>
  <si>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 unit must submit a "Response to the Auditor's Findings, Recommendations, and Fiscal Matters" within 60 days from the auditor's board presentation.  The response must address all performance indicators shaded in red.</t>
  </si>
  <si>
    <t>This column provides the accounts and formula used in the calculation.  If the Unit Results cell is red, please verify that the data is entered correctly in the "Unit Data From Audit Worksheet" or "TD Info Completed by Auditor" as indicated for accounts listed in Column J.</t>
  </si>
  <si>
    <t>1.</t>
  </si>
  <si>
    <t>2.</t>
  </si>
  <si>
    <t>Units of government are grouped by general fund expenditures for purposes of evaluating available fund balance as a percentage of expenditures (GF FBA%).  Each grouping category has its own minimum threshold. If you are in the lower quartile your GF FBA% might be considered a performance indicator of concern and you might be asked to communicate to us. To the left are the minimum thresholds for Municipalities and Counties.</t>
  </si>
  <si>
    <t>3.</t>
  </si>
  <si>
    <t>4.</t>
  </si>
  <si>
    <t>Note: If more than one performance indicator is identified,  one proposed solution may solve all water and sewer performance indicators.</t>
  </si>
  <si>
    <t>5.</t>
  </si>
  <si>
    <t>Cash Flow Indicators:</t>
  </si>
  <si>
    <t>6.</t>
  </si>
  <si>
    <t>Operating Net Income (loss) excluding depreciation, including debt service principal and interest</t>
  </si>
  <si>
    <t>7.</t>
  </si>
  <si>
    <t>Unrestricted cash /total expenses excluding depreciation, including debt service principal and interest</t>
  </si>
  <si>
    <r>
      <t xml:space="preserve">This indicator calculates how many month's worth of expenses (including debt principal and interest but not depreciation) a unit can pay based on the amount of unrestricted cash at year-end.  The typical billing cycle is one month (8.33%) and one extra month usually gives a local government enough cash to handle unusual monthly expenses (16.66%). </t>
    </r>
    <r>
      <rPr>
        <b/>
        <sz val="12"/>
        <color theme="1"/>
        <rFont val="Calibri"/>
        <family val="2"/>
        <scheme val="minor"/>
      </rPr>
      <t xml:space="preserve"> This 16% would be the bare minimum necessary to keep the fund from experiencing cash flow issues.</t>
    </r>
  </si>
  <si>
    <t>It appears your Water Sewer Fund has  transfers-in for the support of operations that are greater than 3% of the total of operating and non-operating expenses.  Please discuss the purpose of such transfers-in and if you plan to continue these transfers-in.</t>
  </si>
  <si>
    <t>The rate structure of the Water and Sewer Fund should support the operating expenses of the fund without operating subsidies or transfers from other funds.</t>
  </si>
  <si>
    <t>The unit had problems with debt service payments being late and/or did not comply with the bond covenants.</t>
  </si>
  <si>
    <t>You indicated that you expect a decrease in property value for your next property revaluation.   In your FPIC Response Letter please discuss the magnitude of the drop in valuation, the overall cause of the drop and how you plan to recover the lost revenues.</t>
  </si>
  <si>
    <t>The unit has expenditures that exceed the legal budget ordinance.  This indicates that the unit's purchase order system, contract approval process and / or payment process is not in compliance with North Carolina General Statute 159.</t>
  </si>
  <si>
    <t>Cary</t>
  </si>
  <si>
    <t>Garland</t>
  </si>
  <si>
    <t>Garner</t>
  </si>
  <si>
    <t>The budgeted ad valorem tax (including motor vehicles) for the General fund had more than 3% uncollected for the fiscal year audited. Decreases are shown by a negative percentage.</t>
  </si>
  <si>
    <t>Less:</t>
  </si>
  <si>
    <t>Encumbrances at June 30 - General Fund (listed in the notes)</t>
  </si>
  <si>
    <t>Fund Balance Available for Appropriation Percentage</t>
  </si>
  <si>
    <t xml:space="preserve">Expenditures: </t>
  </si>
  <si>
    <t>Adjustments:</t>
  </si>
  <si>
    <r>
      <t xml:space="preserve">
In the past, units of government have been grouped by population to evaluate ratios and benchmarking (including Fund Balance Available).  Beginning with fiscal year 2020, we have grouped units by General Fund expenditures for purposes of evaluating the minimum amount of fund balance a unit needs to operate.  A unit's General Fund expenditures proved to be a better correlation to the amount of funds balance needed to operate, especially for units with large higher education or tourism populations. </t>
    </r>
    <r>
      <rPr>
        <b/>
        <sz val="14"/>
        <rFont val="Calibri"/>
        <family val="2"/>
        <scheme val="minor"/>
      </rPr>
      <t xml:space="preserve"> Activity from Debt Service Funds (if applicable) is included in the calculation because these funds typically originate from the General Fund and are transferred to a Debt Service Fund.</t>
    </r>
    <r>
      <rPr>
        <b/>
        <sz val="14"/>
        <color theme="1"/>
        <rFont val="Calibri"/>
        <family val="2"/>
        <scheme val="minor"/>
      </rPr>
      <t xml:space="preserve">
The table below lists the thresholds that are used in the analysis of your unit's fiscal health.  These thresholds were determined based on an analysis of previous years </t>
    </r>
    <r>
      <rPr>
        <b/>
        <sz val="14"/>
        <rFont val="Calibri"/>
        <family val="2"/>
        <scheme val="minor"/>
      </rPr>
      <t xml:space="preserve">general fund activity.  These thresholds will be monitored and updated as applicable. </t>
    </r>
  </si>
  <si>
    <t xml:space="preserve">This indicator shows that the local government did not collect 3% (or more) of its budgeted ad valorem taxes.  This could be an indicator of negative economic events, inaccurate budgeting, and/or issues with the collection process.  Uncollected revenues at the 3% level represent several pennies of the tax rate.  </t>
  </si>
  <si>
    <t>Water &amp; Sewer Revenue, Expenses &amp; Changes in Fund Net Position</t>
  </si>
  <si>
    <t>Mark to Market unrealized losses in the Water and Sewer Fund.</t>
  </si>
  <si>
    <t>American Rescue Plan Ace (ARPA)</t>
  </si>
  <si>
    <t xml:space="preserve"> Did your audit disclose as a finding bank reconciliations or subsidiary ledger reconciliations not performed timely? (Yes or No)</t>
  </si>
  <si>
    <t>Did your audit disclose as a finding that the unit’s records were not completed by the agreed upon time? (Yes or No)</t>
  </si>
  <si>
    <t>Did your audit disclose as a finding any budget violations? (Yes or No)</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</si>
  <si>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</si>
  <si>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</si>
  <si>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</si>
  <si>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Number of significant deficiency findings (financial statement findings only)</t>
  </si>
  <si>
    <t>Number of material weaknesses findings (financial statements findings only)</t>
  </si>
  <si>
    <t>Date (MM/DD/YYYY)</t>
  </si>
  <si>
    <t>Data Collection</t>
  </si>
  <si>
    <t>Trial Balance</t>
  </si>
  <si>
    <t>TD Info Completed by Auditor : CCH acct # 1057</t>
  </si>
  <si>
    <t xml:space="preserve">NC DEPARTMENT OF STATE TREASURER- STATE AND LOCAL GOVERNMENT FINANCE DIVISION
TD Info Completed by Auditor
</t>
  </si>
  <si>
    <t>Please see the INSTRUCTIONS worksheet before completing this form</t>
  </si>
  <si>
    <t>Use of General Fund Balance (account #9)</t>
  </si>
  <si>
    <t>Positive Fund Balance</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</si>
  <si>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</si>
  <si>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Positive Change in Fund Balance</t>
  </si>
  <si>
    <t>The General Fund had total fund balance less than zero - Fund Deficit</t>
  </si>
  <si>
    <t>TD Info Completed by Auditor : CCH acct # 1059</t>
  </si>
  <si>
    <t>Total American Rescue Plan Act (ARPA) of 2021-Coronavrius State &amp; Local Fiscal Recovery Funds actually expended since inception as of June 30th.  Do not include encumbered funds in this number.</t>
  </si>
  <si>
    <t>Total American Rescue Plan Act (ARPA) of 2021-Coronavrius State &amp; Local Fiscal Recovery Funds encumbered or obligated and not yet expended since inception as of June 30th.</t>
  </si>
  <si>
    <t xml:space="preserve">Explanation of Performance Indicator
</t>
  </si>
  <si>
    <t>If the General Fund has more expenditures than revenues because of operational issues and fund balance was appropriated to cover the loss, the continuation of this practice could result in deterioration of a unit's fund balance available.</t>
  </si>
  <si>
    <t>TD Info Completed by Auditor : CCH acct # 1055, 1056, 1058, 955 and 957</t>
  </si>
  <si>
    <r>
      <t xml:space="preserve">Notes From Auditor
</t>
    </r>
    <r>
      <rPr>
        <sz val="11"/>
        <rFont val="Calibri"/>
        <family val="2"/>
        <scheme val="minor"/>
      </rPr>
      <t xml:space="preserve">The Auditor can use the cells below to provide additional details that are pertinent to the performance indicator. </t>
    </r>
    <r>
      <rPr>
        <b/>
        <sz val="11"/>
        <rFont val="Calibri"/>
        <family val="2"/>
        <scheme val="minor"/>
      </rPr>
      <t>Please be aware even if notes are provided, an official response is still required (if applicable).</t>
    </r>
  </si>
  <si>
    <t>School Current Expense Report</t>
  </si>
  <si>
    <t>General Fund-Rev, Exp. Change in Fund Balance or General Fund Budget Actual</t>
  </si>
  <si>
    <t>Local Current Expense sent to Boards of Education (some units present this information in the detailed general fund statements after the notes)
Exclude: amounts for community colleges and 
                  supplemental taxes
Include: amounts spent on resource officers, 
                  nurses and Timber receipts</t>
  </si>
  <si>
    <t xml:space="preserve">How much of the above number in account 147 is from Timber Receipts sent to the schools </t>
  </si>
  <si>
    <t>Amount of Supplemental School Tax revenue recorded in the governmental funds.</t>
  </si>
  <si>
    <t>Amount of Supplemental School Tax revenue recorded in agency funds.</t>
  </si>
  <si>
    <t>School Capital Outlay Report to the Legislature</t>
  </si>
  <si>
    <t>All Gov. Funds Rev, Exp. Change in Fund Balance</t>
  </si>
  <si>
    <t>Capital Outlay contributions to the BOEs (include amounts from general fund, capital project funds and any other fund sent to the BOE as part of capital outlay)</t>
  </si>
  <si>
    <t>Alamance County</t>
  </si>
  <si>
    <t>Alexander County</t>
  </si>
  <si>
    <t>Alleghany County</t>
  </si>
  <si>
    <t>Ashe County</t>
  </si>
  <si>
    <t>Avery County</t>
  </si>
  <si>
    <t>Beaufort County</t>
  </si>
  <si>
    <t>Bladen County</t>
  </si>
  <si>
    <t>Brunswick County</t>
  </si>
  <si>
    <t>Buncombe County</t>
  </si>
  <si>
    <t>Burke County</t>
  </si>
  <si>
    <t>Cabarrus County</t>
  </si>
  <si>
    <t>Caldwell County</t>
  </si>
  <si>
    <t>Camden County</t>
  </si>
  <si>
    <t>Carteret County</t>
  </si>
  <si>
    <t>Catawba County</t>
  </si>
  <si>
    <t>Chatham County</t>
  </si>
  <si>
    <t>Chowan County</t>
  </si>
  <si>
    <t>Clay County</t>
  </si>
  <si>
    <t>Cleveland County</t>
  </si>
  <si>
    <t>Craven County</t>
  </si>
  <si>
    <t>Cumberland County</t>
  </si>
  <si>
    <t>Currituck County</t>
  </si>
  <si>
    <t>Dare County</t>
  </si>
  <si>
    <t>Davidson County</t>
  </si>
  <si>
    <t>Duplin County</t>
  </si>
  <si>
    <t>Durham County</t>
  </si>
  <si>
    <t>Forsyth County</t>
  </si>
  <si>
    <t>Franklin County</t>
  </si>
  <si>
    <t>Gaston County</t>
  </si>
  <si>
    <t>Gates County</t>
  </si>
  <si>
    <t>Granville County</t>
  </si>
  <si>
    <t>Greene County</t>
  </si>
  <si>
    <t>Guilford County</t>
  </si>
  <si>
    <t>Halifax County</t>
  </si>
  <si>
    <t>Harnett County</t>
  </si>
  <si>
    <t>Haywood County</t>
  </si>
  <si>
    <t>Henderson County</t>
  </si>
  <si>
    <t>Hertford County</t>
  </si>
  <si>
    <t>Hoke County</t>
  </si>
  <si>
    <t>Iredell County</t>
  </si>
  <si>
    <t>Jackson County</t>
  </si>
  <si>
    <t>Johnston County</t>
  </si>
  <si>
    <t>Jones County</t>
  </si>
  <si>
    <t>Lee County</t>
  </si>
  <si>
    <t>Lenoir County</t>
  </si>
  <si>
    <t>Lincoln County</t>
  </si>
  <si>
    <t>Macon County</t>
  </si>
  <si>
    <t>McDowell County</t>
  </si>
  <si>
    <t>Mecklenburg County</t>
  </si>
  <si>
    <t>Mitchell County</t>
  </si>
  <si>
    <t>Montgomery County</t>
  </si>
  <si>
    <t>Moore County</t>
  </si>
  <si>
    <t>Nash County</t>
  </si>
  <si>
    <t>New Hanover County</t>
  </si>
  <si>
    <t>Onslow County</t>
  </si>
  <si>
    <t>Pamlico County</t>
  </si>
  <si>
    <t>Pasquotank County</t>
  </si>
  <si>
    <t>Perquimans County</t>
  </si>
  <si>
    <t>Pitt County</t>
  </si>
  <si>
    <t>Polk County</t>
  </si>
  <si>
    <t>Randolph County</t>
  </si>
  <si>
    <t>Richmond County</t>
  </si>
  <si>
    <t>Robeson County</t>
  </si>
  <si>
    <t>Rockingham County</t>
  </si>
  <si>
    <t>Rowan County</t>
  </si>
  <si>
    <t>Rutherford County</t>
  </si>
  <si>
    <t>Sampson County</t>
  </si>
  <si>
    <t>Stanly County</t>
  </si>
  <si>
    <t>Stokes County</t>
  </si>
  <si>
    <t>Surry County</t>
  </si>
  <si>
    <t>Swain County</t>
  </si>
  <si>
    <t>Transylvania County</t>
  </si>
  <si>
    <t>Union County</t>
  </si>
  <si>
    <t>Vance County</t>
  </si>
  <si>
    <t>Wake County</t>
  </si>
  <si>
    <t>Warren County</t>
  </si>
  <si>
    <t>Washington County</t>
  </si>
  <si>
    <t>Watauga County</t>
  </si>
  <si>
    <t>Wayne County</t>
  </si>
  <si>
    <t>Wilkes County</t>
  </si>
  <si>
    <t>Wilson County</t>
  </si>
  <si>
    <t>Yadkin County</t>
  </si>
  <si>
    <t>Yancey County</t>
  </si>
  <si>
    <t>SANDRA</t>
  </si>
  <si>
    <t>Caleb</t>
  </si>
  <si>
    <t>Anita</t>
  </si>
  <si>
    <t>William</t>
  </si>
  <si>
    <t>Donald</t>
  </si>
  <si>
    <t>Margaret</t>
  </si>
  <si>
    <t>Betty</t>
  </si>
  <si>
    <t>Lucas</t>
  </si>
  <si>
    <t>Craig</t>
  </si>
  <si>
    <t>Sandra</t>
  </si>
  <si>
    <t>Katherine</t>
  </si>
  <si>
    <t>Terri</t>
  </si>
  <si>
    <t>Jamie</t>
  </si>
  <si>
    <t>Rebecca</t>
  </si>
  <si>
    <t>Stephen</t>
  </si>
  <si>
    <t>Kristian</t>
  </si>
  <si>
    <t>Samantha</t>
  </si>
  <si>
    <t>Debra</t>
  </si>
  <si>
    <t>Darlene</t>
  </si>
  <si>
    <t>Chad</t>
  </si>
  <si>
    <t>Deanna</t>
  </si>
  <si>
    <t>Lori</t>
  </si>
  <si>
    <t>Kary</t>
  </si>
  <si>
    <t>Alison</t>
  </si>
  <si>
    <t>Amber</t>
  </si>
  <si>
    <t>Caroline</t>
  </si>
  <si>
    <t>Gary</t>
  </si>
  <si>
    <t>Bill</t>
  </si>
  <si>
    <t>Carla</t>
  </si>
  <si>
    <t>James</t>
  </si>
  <si>
    <t>Paula</t>
  </si>
  <si>
    <t>Beth</t>
  </si>
  <si>
    <t>Toby</t>
  </si>
  <si>
    <t>Cally</t>
  </si>
  <si>
    <t>Jonathan</t>
  </si>
  <si>
    <t>W. Patrick</t>
  </si>
  <si>
    <t>Lee</t>
  </si>
  <si>
    <t>Missy</t>
  </si>
  <si>
    <t>Allison</t>
  </si>
  <si>
    <t>Angel</t>
  </si>
  <si>
    <t>Brandi</t>
  </si>
  <si>
    <t>Evans</t>
  </si>
  <si>
    <t>Herman</t>
  </si>
  <si>
    <t>Hamm</t>
  </si>
  <si>
    <t>LONG</t>
  </si>
  <si>
    <t>Hogan</t>
  </si>
  <si>
    <t>Radcliffe</t>
  </si>
  <si>
    <t>Miller</t>
  </si>
  <si>
    <t>Warn</t>
  </si>
  <si>
    <t>Pierce</t>
  </si>
  <si>
    <t>Helton</t>
  </si>
  <si>
    <t>Meshaw</t>
  </si>
  <si>
    <t>Smith</t>
  </si>
  <si>
    <t>Warren</t>
  </si>
  <si>
    <t>Hill</t>
  </si>
  <si>
    <t>Clawson</t>
  </si>
  <si>
    <t>West</t>
  </si>
  <si>
    <t>Tezai</t>
  </si>
  <si>
    <t>Goodman</t>
  </si>
  <si>
    <t>Holtzman</t>
  </si>
  <si>
    <t>Outland</t>
  </si>
  <si>
    <t>McNally</t>
  </si>
  <si>
    <t>Duncan</t>
  </si>
  <si>
    <t>Honeycutt</t>
  </si>
  <si>
    <t>Owen</t>
  </si>
  <si>
    <t>Reynolds</t>
  </si>
  <si>
    <t>Prevatte</t>
  </si>
  <si>
    <t>Cheek</t>
  </si>
  <si>
    <t>Fox</t>
  </si>
  <si>
    <t>McLamb</t>
  </si>
  <si>
    <t>Rios</t>
  </si>
  <si>
    <t>Carpenter</t>
  </si>
  <si>
    <t>Ledford</t>
  </si>
  <si>
    <t>Ange</t>
  </si>
  <si>
    <t>Bell</t>
  </si>
  <si>
    <t>Boyd</t>
  </si>
  <si>
    <t>Daniels</t>
  </si>
  <si>
    <t>Xiong</t>
  </si>
  <si>
    <t>Wood</t>
  </si>
  <si>
    <t>Donaldson</t>
  </si>
  <si>
    <t>Fentress</t>
  </si>
  <si>
    <t>Blue</t>
  </si>
  <si>
    <t>Wehrenberg</t>
  </si>
  <si>
    <t>Hughes</t>
  </si>
  <si>
    <t>Massie</t>
  </si>
  <si>
    <t>Kinlaw</t>
  </si>
  <si>
    <t>Galloway</t>
  </si>
  <si>
    <t>Howden</t>
  </si>
  <si>
    <t>Roach</t>
  </si>
  <si>
    <t>Clack</t>
  </si>
  <si>
    <t>Hobbs</t>
  </si>
  <si>
    <t>Elliott</t>
  </si>
  <si>
    <t>Griffin</t>
  </si>
  <si>
    <t>Gerhart</t>
  </si>
  <si>
    <t>Liles</t>
  </si>
  <si>
    <t>Bigelow</t>
  </si>
  <si>
    <t>Flanary</t>
  </si>
  <si>
    <t>Faines</t>
  </si>
  <si>
    <t>Dixon</t>
  </si>
  <si>
    <t>Huffman</t>
  </si>
  <si>
    <t>Landrau</t>
  </si>
  <si>
    <t>Burleson</t>
  </si>
  <si>
    <t>11/6/2014</t>
  </si>
  <si>
    <t>11/30/2001</t>
  </si>
  <si>
    <t>4/1/2001</t>
  </si>
  <si>
    <t>1/1/2016</t>
  </si>
  <si>
    <t>10/31/2011</t>
  </si>
  <si>
    <t>2/1/2002</t>
  </si>
  <si>
    <t>11/13/2018</t>
  </si>
  <si>
    <t>8/1/2018</t>
  </si>
  <si>
    <t>8/1/2009</t>
  </si>
  <si>
    <t>11/4/2019</t>
  </si>
  <si>
    <t>7/13/1998</t>
  </si>
  <si>
    <t>2/27/2017</t>
  </si>
  <si>
    <t>8/13/2015</t>
  </si>
  <si>
    <t>12/30/2015</t>
  </si>
  <si>
    <t>9/1/2001</t>
  </si>
  <si>
    <t>3/1/1991</t>
  </si>
  <si>
    <t>2/11/2019</t>
  </si>
  <si>
    <t>4/30/2018</t>
  </si>
  <si>
    <t>7/10/2017</t>
  </si>
  <si>
    <t>6/30/2017</t>
  </si>
  <si>
    <t>1/1/2009</t>
  </si>
  <si>
    <t>1/1/1993</t>
  </si>
  <si>
    <t>3/2/2018</t>
  </si>
  <si>
    <t>3/1/2012</t>
  </si>
  <si>
    <t>4/1/2003</t>
  </si>
  <si>
    <t>2/28/2014</t>
  </si>
  <si>
    <t>12/1/1996</t>
  </si>
  <si>
    <t>3/4/2019</t>
  </si>
  <si>
    <t>2/1/2015</t>
  </si>
  <si>
    <t>12/6/1999</t>
  </si>
  <si>
    <t>7/1/2017</t>
  </si>
  <si>
    <t>11/28/2011</t>
  </si>
  <si>
    <t>7/28/2008</t>
  </si>
  <si>
    <t>4/1/2021</t>
  </si>
  <si>
    <t>10/1/2018</t>
  </si>
  <si>
    <t>9/22/2014</t>
  </si>
  <si>
    <t>7/6/2020</t>
  </si>
  <si>
    <t>12/7/2019</t>
  </si>
  <si>
    <t>7/1/2016</t>
  </si>
  <si>
    <t>7/2/2018</t>
  </si>
  <si>
    <t>2/15/2019</t>
  </si>
  <si>
    <t>9/1/2017</t>
  </si>
  <si>
    <t>Susan Evans</t>
  </si>
  <si>
    <t>Jennifer Herman</t>
  </si>
  <si>
    <t>April Hamm</t>
  </si>
  <si>
    <t>SANDRA LONG</t>
  </si>
  <si>
    <t>Caleb Hogan</t>
  </si>
  <si>
    <t>William Roberson</t>
  </si>
  <si>
    <t>Margaret Pierce</t>
  </si>
  <si>
    <t>Anthony Helton</t>
  </si>
  <si>
    <t>Dee Meshaw</t>
  </si>
  <si>
    <t>Cathy Smith</t>
  </si>
  <si>
    <t>Betty Patton</t>
  </si>
  <si>
    <t>Craig Warren</t>
  </si>
  <si>
    <t>Vicki Evans</t>
  </si>
  <si>
    <t>Sandra Hill</t>
  </si>
  <si>
    <t>David Clawson</t>
  </si>
  <si>
    <t>Terri L. Goodman</t>
  </si>
  <si>
    <t>Jamie Holtzman</t>
  </si>
  <si>
    <t>Kim Outland</t>
  </si>
  <si>
    <t>Rebecca Garland, MPA, CPA</t>
  </si>
  <si>
    <t>Mary Duncan</t>
  </si>
  <si>
    <t>Kimberly Honeycutt</t>
  </si>
  <si>
    <t>Kristian Owen</t>
  </si>
  <si>
    <t>Samantha Reynolds</t>
  </si>
  <si>
    <t>Ellis Prevatte</t>
  </si>
  <si>
    <t>Debra L. Cheek</t>
  </si>
  <si>
    <t>Darlene Fox</t>
  </si>
  <si>
    <t>J. Chad McLamb, CPA</t>
  </si>
  <si>
    <t>Lori Carpenter</t>
  </si>
  <si>
    <t>Kary Ledford</t>
  </si>
  <si>
    <t>Cindy Ange</t>
  </si>
  <si>
    <t>Alison Bell</t>
  </si>
  <si>
    <t>David Boyd</t>
  </si>
  <si>
    <t>Mavis Parsley</t>
  </si>
  <si>
    <t>Amber Daniels</t>
  </si>
  <si>
    <t>Caroline Ly Xiong</t>
  </si>
  <si>
    <t>Donna Wood</t>
  </si>
  <si>
    <t>Bill Fentress</t>
  </si>
  <si>
    <t>Margaret C. Blue</t>
  </si>
  <si>
    <t>Sandra Hughes</t>
  </si>
  <si>
    <t>Cary Garner</t>
  </si>
  <si>
    <t>Carla Kinlaw</t>
  </si>
  <si>
    <t>James Howden</t>
  </si>
  <si>
    <t>Paula Roach</t>
  </si>
  <si>
    <t>David Clack</t>
  </si>
  <si>
    <t>Beth Hobbs</t>
  </si>
  <si>
    <t>Toby R. Hinson</t>
  </si>
  <si>
    <t>Cally Elliott</t>
  </si>
  <si>
    <t>Jonathan Griffin</t>
  </si>
  <si>
    <t>Karen Gerhart</t>
  </si>
  <si>
    <t>W. Patrick Flanary</t>
  </si>
  <si>
    <t>Lee Faines</t>
  </si>
  <si>
    <t>Missy Dixon</t>
  </si>
  <si>
    <t>Chris Huffman</t>
  </si>
  <si>
    <t>Angel Landrau</t>
  </si>
  <si>
    <t>Brandi Burleson</t>
  </si>
  <si>
    <t>Director of Fiscal Operations</t>
  </si>
  <si>
    <t>Finance Director/CFO</t>
  </si>
  <si>
    <t>Deputy County Manager/Finance Director</t>
  </si>
  <si>
    <t>Assistant County Manager</t>
  </si>
  <si>
    <t>Finance Director &amp; General Manager of Financial Services</t>
  </si>
  <si>
    <t>Assistant County Manager/CFO</t>
  </si>
  <si>
    <t>Director of Finance</t>
  </si>
  <si>
    <t>Interim Finance Officer</t>
  </si>
  <si>
    <t>Finance officer</t>
  </si>
  <si>
    <t>Assistant County Manager / Finance Officer</t>
  </si>
  <si>
    <t>Financial Services Director</t>
  </si>
  <si>
    <t>336-570-4026</t>
  </si>
  <si>
    <t>828-352-7587</t>
  </si>
  <si>
    <t>336-846-5501</t>
  </si>
  <si>
    <t>828-733-8200</t>
  </si>
  <si>
    <t>252-794-5360</t>
  </si>
  <si>
    <t>910-862-6723</t>
  </si>
  <si>
    <t>828-250-4137</t>
  </si>
  <si>
    <t>828-764-9050</t>
  </si>
  <si>
    <t>704-920-2894</t>
  </si>
  <si>
    <t>828-757-1302</t>
  </si>
  <si>
    <t>252-338-6363 ext.314</t>
  </si>
  <si>
    <t>252-728-8410</t>
  </si>
  <si>
    <t>828-465-8219</t>
  </si>
  <si>
    <t>919-545-8471</t>
  </si>
  <si>
    <t>252-482-8334</t>
  </si>
  <si>
    <t>828-389-0089</t>
  </si>
  <si>
    <t>704-484-4838</t>
  </si>
  <si>
    <t>252-636-6603</t>
  </si>
  <si>
    <t>910-678-7750</t>
  </si>
  <si>
    <t>252-232-2381</t>
  </si>
  <si>
    <t>252-475-5731</t>
  </si>
  <si>
    <t>919-560-0039</t>
  </si>
  <si>
    <t>252-641-7840</t>
  </si>
  <si>
    <t>336-703-2059</t>
  </si>
  <si>
    <t>704-866-3032</t>
  </si>
  <si>
    <t>252-357-1251</t>
  </si>
  <si>
    <t>828-479-7960</t>
  </si>
  <si>
    <t>919-603-1301</t>
  </si>
  <si>
    <t>252-747-3446</t>
  </si>
  <si>
    <t>252-593-2111</t>
  </si>
  <si>
    <t>910-814-6093</t>
  </si>
  <si>
    <t>828-356-2615</t>
  </si>
  <si>
    <t>910-875-8751</t>
  </si>
  <si>
    <t>704-878-3040</t>
  </si>
  <si>
    <t>828-631-2249</t>
  </si>
  <si>
    <t>252-559-6454</t>
  </si>
  <si>
    <t>704-736-8488</t>
  </si>
  <si>
    <t>828-349-2027</t>
  </si>
  <si>
    <t>252-789-4330</t>
  </si>
  <si>
    <t>828-652-7121 ext.1318</t>
  </si>
  <si>
    <t>980-314-2688</t>
  </si>
  <si>
    <t>828-688-2139</t>
  </si>
  <si>
    <t>910-947-7119</t>
  </si>
  <si>
    <t>252-459-9802</t>
  </si>
  <si>
    <t>252-745-5195</t>
  </si>
  <si>
    <t>252-335-4580</t>
  </si>
  <si>
    <t>910-259-1407</t>
  </si>
  <si>
    <t>252-426-8484</t>
  </si>
  <si>
    <t>828-894-3302</t>
  </si>
  <si>
    <t>336-318-6310</t>
  </si>
  <si>
    <t>910-997-8220</t>
  </si>
  <si>
    <t>910-671-3030</t>
  </si>
  <si>
    <t>336-347-2023</t>
  </si>
  <si>
    <t>828-287-6348</t>
  </si>
  <si>
    <t>910-592-7181</t>
  </si>
  <si>
    <t>910-277-2405</t>
  </si>
  <si>
    <t>704-986-3613</t>
  </si>
  <si>
    <t>828-488-9273</t>
  </si>
  <si>
    <t>828-884-1981</t>
  </si>
  <si>
    <t>252-738-2006</t>
  </si>
  <si>
    <t>919-856-6106</t>
  </si>
  <si>
    <t>252-257-1778</t>
  </si>
  <si>
    <t>252-793-3523</t>
  </si>
  <si>
    <t>828-265-8007</t>
  </si>
  <si>
    <t>919-731-1437</t>
  </si>
  <si>
    <t>336-651-7378</t>
  </si>
  <si>
    <t>252-399-2953</t>
  </si>
  <si>
    <t>336-849-7569</t>
  </si>
  <si>
    <t>828-682-3971</t>
  </si>
  <si>
    <t>susan.evans@alamance-nc.com</t>
  </si>
  <si>
    <t>jherman@alexandercountync.gov</t>
  </si>
  <si>
    <t>April.Hamm@alleghanycounty-nc.gov</t>
  </si>
  <si>
    <t>caleb.hogan@averycountync.gov</t>
  </si>
  <si>
    <t>william.roberson@bertie.nc.gov</t>
  </si>
  <si>
    <t>finance@bladenco.org</t>
  </si>
  <si>
    <t>don.warn@buncombecounty.org</t>
  </si>
  <si>
    <t>margaret.pierce@burkenc.org</t>
  </si>
  <si>
    <t>thelton@caldwellcountync.org</t>
  </si>
  <si>
    <t>deem@carteretcountync.gov</t>
  </si>
  <si>
    <t>cathy.smith@chowan.nc.gov</t>
  </si>
  <si>
    <t>bpatton@claync.us</t>
  </si>
  <si>
    <t>cwarren@cravencountync.gov</t>
  </si>
  <si>
    <t>davec@darenc.com</t>
  </si>
  <si>
    <t>rwest@daviecountync.gov</t>
  </si>
  <si>
    <t>stezai@dconc.gov</t>
  </si>
  <si>
    <t>goodmatg@forsyth.cc</t>
  </si>
  <si>
    <t>koutland@gatescountync.gov</t>
  </si>
  <si>
    <t>steve.mcnally@granvillecounty.org</t>
  </si>
  <si>
    <t>duncanm@halifaxnc.com</t>
  </si>
  <si>
    <t>khoneycutt@harnett.org</t>
  </si>
  <si>
    <t>Kristian.Owen@haywoodcountync.gov</t>
  </si>
  <si>
    <t>sreynolds@hendersoncountync.gov</t>
  </si>
  <si>
    <t>eprevatte@hokecounty.org</t>
  </si>
  <si>
    <t>debra.cheek@co.iredell.nc.us</t>
  </si>
  <si>
    <t>darlenefox@jacksonnc.org</t>
  </si>
  <si>
    <t>chad.mclamb@johnstonnc.com</t>
  </si>
  <si>
    <t>drios@lincolncounty.org</t>
  </si>
  <si>
    <t>lhall@maconnc.org</t>
  </si>
  <si>
    <t>kledford@madisoncountync.gov</t>
  </si>
  <si>
    <t>cange@martincountyncgov.com</t>
  </si>
  <si>
    <t>amorgan@mcdowellgov.com</t>
  </si>
  <si>
    <t>David.Boyd@mecklenburgcountync.gov</t>
  </si>
  <si>
    <t>cxiong@moorecountync.gov</t>
  </si>
  <si>
    <t>donna.wood@nashcountync.gov</t>
  </si>
  <si>
    <t>bill.fentress@pamlicocounty.org</t>
  </si>
  <si>
    <t>mblue@pendercountync.gov</t>
  </si>
  <si>
    <t>amyw@personcountync.gov</t>
  </si>
  <si>
    <t>shughes@polknc.org</t>
  </si>
  <si>
    <t>william.massie@randolphcountync.gov</t>
  </si>
  <si>
    <t>cary.garner@richmondnc.com</t>
  </si>
  <si>
    <t>carla.kinlaw@co.robeson.nc.us</t>
  </si>
  <si>
    <t>pgalloway@co.rockingham.nc.us</t>
  </si>
  <si>
    <t>paula.roach@rutherfordcountync.gov</t>
  </si>
  <si>
    <t>davec@sampsonnc.com</t>
  </si>
  <si>
    <t>bhobbs@scotlandcounty.org</t>
  </si>
  <si>
    <t>thinson@stanlycountync.gov</t>
  </si>
  <si>
    <t>cally.elliott@swaincountync.gov</t>
  </si>
  <si>
    <t>jonathan.griffin@transylvaniacounty.org</t>
  </si>
  <si>
    <t>kgerhart@tyrrellcounty.net</t>
  </si>
  <si>
    <t>kbigelow@vancecounty.org</t>
  </si>
  <si>
    <t>patrick.flanary@wakegov.com</t>
  </si>
  <si>
    <t>leefaines@warrencountync.gov</t>
  </si>
  <si>
    <t>mdixon@washconc.org</t>
  </si>
  <si>
    <t>chuffman@wilkescounty.net</t>
  </si>
  <si>
    <t>alandrau@wilson-co.com</t>
  </si>
  <si>
    <t>lcearlock@yadkincountync.gov</t>
  </si>
  <si>
    <t>Brandi.Burleson@yanceycountync.gov</t>
  </si>
  <si>
    <t>3/28/2022</t>
  </si>
  <si>
    <t>GF FBA% of Exp w/o Powell Bill Formula: (506+536-4-5-6-11+647)/(532+20+509-533-508)</t>
  </si>
  <si>
    <t>candy.anderson@cherokeecounty-nc.gov</t>
  </si>
  <si>
    <t>lucas.jackson@clevelandcountync.gov</t>
  </si>
  <si>
    <t>tiffany.murray@gastongov.com</t>
  </si>
  <si>
    <t>Becky.Garland@grahamcounty.org</t>
  </si>
  <si>
    <t>cgibbs@hydecountync.gov</t>
  </si>
  <si>
    <t>gdonaldson@orangecountync.gov</t>
  </si>
  <si>
    <t>Candy</t>
  </si>
  <si>
    <t>Patricia</t>
  </si>
  <si>
    <t>Anderson</t>
  </si>
  <si>
    <t>12/15/2014</t>
  </si>
  <si>
    <t>9/16/2013</t>
  </si>
  <si>
    <t>7/5/2011</t>
  </si>
  <si>
    <t>7/1/2008</t>
  </si>
  <si>
    <t>Donald P. Warn</t>
  </si>
  <si>
    <t>Candy Anderson</t>
  </si>
  <si>
    <t>Lucas Jackson</t>
  </si>
  <si>
    <t>Robin M. West</t>
  </si>
  <si>
    <t>Gary Donaldson</t>
  </si>
  <si>
    <t>Katherine Bigelow</t>
  </si>
  <si>
    <t>Allison Speight, CPA, CLGFO</t>
  </si>
  <si>
    <t>336-372-2946</t>
  </si>
  <si>
    <t>919-989-5112</t>
  </si>
  <si>
    <t>910-576-4221</t>
  </si>
  <si>
    <t>919-245-2453</t>
  </si>
  <si>
    <t>Lisa Coleman</t>
  </si>
  <si>
    <t>Tiffany Murray</t>
  </si>
  <si>
    <t>Sandra Barss</t>
  </si>
  <si>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t>
    </r>
    <r>
      <rPr>
        <b/>
        <sz val="11"/>
        <color rgb="FF993300"/>
        <rFont val="Calibri"/>
        <family val="2"/>
        <scheme val="minor"/>
      </rPr>
      <t>answer Yes =1 or No= 2</t>
    </r>
  </si>
  <si>
    <r>
      <t xml:space="preserve">Do you expect to issue debt requiring LGC approval within 12 months from the date that the audit is submitted - </t>
    </r>
    <r>
      <rPr>
        <b/>
        <sz val="11"/>
        <color theme="1"/>
        <rFont val="Calibri"/>
        <family val="2"/>
        <scheme val="minor"/>
      </rPr>
      <t>select "1" for yes and "2" for no</t>
    </r>
  </si>
  <si>
    <t xml:space="preserve">Counties Only- Local Current Expense to BOEs </t>
  </si>
  <si>
    <t xml:space="preserve">Amount of Supplemental School Tax revenue recorded in agency funds.
</t>
  </si>
  <si>
    <t xml:space="preserve">Counties Only- Capital Outlay Contribution to BOEs </t>
  </si>
  <si>
    <r>
      <t xml:space="preserve">Mark to Market unrealized losses in the General Fund.  </t>
    </r>
    <r>
      <rPr>
        <sz val="11"/>
        <color theme="5" tint="-0.249977111117893"/>
        <rFont val="Calibri"/>
        <family val="2"/>
        <scheme val="minor"/>
      </rPr>
      <t>(enter as a negative number)</t>
    </r>
  </si>
  <si>
    <r>
      <t xml:space="preserve">Mark to Market unrealized losses in the Water and Sewer Fund. </t>
    </r>
    <r>
      <rPr>
        <sz val="11"/>
        <color theme="5" tint="-0.249977111117893"/>
        <rFont val="Calibri"/>
        <family val="2"/>
        <scheme val="minor"/>
      </rPr>
      <t>(enter as a negative number)</t>
    </r>
  </si>
  <si>
    <r>
      <t xml:space="preserve">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t>
    </r>
    <r>
      <rPr>
        <b/>
        <sz val="12"/>
        <color theme="1"/>
        <rFont val="Calibri"/>
        <family val="2"/>
        <scheme val="minor"/>
      </rPr>
      <t xml:space="preserve"> Note that 8.33% represents enough fund balance to cover only one month of expenditures.</t>
    </r>
    <r>
      <rPr>
        <sz val="12"/>
        <color theme="1"/>
        <rFont val="Calibri"/>
        <family val="2"/>
        <scheme val="minor"/>
      </rPr>
      <t xml:space="preserve">  Normally, a unit has to either increase revenues or decrease expenditures to increase fund balance available. 
This calculation looks at fund balance available plus debt service fund balance (if applicable).  This number is them divided by the total of total expenditures plus transfers out less bond proceeds.
</t>
    </r>
  </si>
  <si>
    <t>Unit Data from Audit Worksheet tab : 9</t>
  </si>
  <si>
    <t>TD Info Completed by Auditor : CCH acct # 973</t>
  </si>
  <si>
    <t>If unit is an employer participant in one of the State Cost Sharing Plans rows 149-151 should be blank.  Unless they have an additional single employer plan.</t>
  </si>
  <si>
    <t>DIW Batch Total</t>
  </si>
  <si>
    <t>Mark to Market unrealized losses in the General Fund</t>
  </si>
  <si>
    <t>Estimated cost not yet budgeted of any mandate placed on unit by DEQ, a court order or some similar requirement (that has no realistic appeal path)</t>
  </si>
  <si>
    <t>WS-revenues and other financing sources over expenditures and other uses-excl. transfers, capital Cont</t>
  </si>
  <si>
    <t>Number of other matters that auditor asked the unit to respond to</t>
  </si>
  <si>
    <t>7/18/2022</t>
  </si>
  <si>
    <t>Fund Balance Available for Performance Indicator</t>
  </si>
  <si>
    <t>Unit Data from Audit Worksheet tab: (506+536-4-5-6+647)/(532+509+20-533-508)</t>
  </si>
  <si>
    <t>=506+536-4-6-5+647</t>
  </si>
  <si>
    <t>Formula</t>
  </si>
  <si>
    <t xml:space="preserve">Restricted cash and investments </t>
  </si>
  <si>
    <t>Gen Fund -deferred inflows derived from Cash Receipts</t>
  </si>
  <si>
    <t>=532+20+509-533-508</t>
  </si>
  <si>
    <t>Debt Service Fund Fund Balance…..................................................................................................................................</t>
  </si>
  <si>
    <t>General Fund Cash and investments - restricted…........................................................................................................</t>
  </si>
  <si>
    <t>Liabilities- General Fund…...................................................................................................................................................</t>
  </si>
  <si>
    <t>Unavailable or unearned revenues arising from cash receipts - General Fund…............................................................</t>
  </si>
  <si>
    <t>Gen Fund - Transfer Out</t>
  </si>
  <si>
    <t>Total expenditures - General Fund…................................................................................................................................</t>
  </si>
  <si>
    <t>Negative Debt Refunding….................................................................................................................................................</t>
  </si>
  <si>
    <t>Transfers out-General Fund…......................................................................................................................................................</t>
  </si>
  <si>
    <t>Positive Debt Refunding…...................................................................................................................................................</t>
  </si>
  <si>
    <t>Gen Fund - Current Liabilities</t>
  </si>
  <si>
    <t>Fund Balance Available for Appropriation …..................................</t>
  </si>
  <si>
    <t>Fund Balance Available  as % of Expenditures….........</t>
  </si>
  <si>
    <t>Issuance of capital leases &amp; installment purchases - General Fund….............................</t>
  </si>
  <si>
    <t>Total expenditures (As Adjusted)….................................................</t>
  </si>
  <si>
    <t xml:space="preserve">Unrestricted Cash and Investments </t>
  </si>
  <si>
    <t>Non Spendable -  Inventory, Prepaids, or Other …………………</t>
  </si>
  <si>
    <t>Restricted - Stabilization by State Statute (From Audited Financial Statements) ……………</t>
  </si>
  <si>
    <t>Total Fund Balance (From Audited Financial Statements) …………………</t>
  </si>
  <si>
    <t xml:space="preserve">    Negative Debt Refunding</t>
  </si>
  <si>
    <t xml:space="preserve">    Positive Debt Refunding</t>
  </si>
  <si>
    <t xml:space="preserve">          Total Expenditures (As Adjusted) ………………………………...…………………….</t>
  </si>
  <si>
    <t>Total ARPA funds actually expended since inception as of June 30th.  Do not include encumbered funds in this number</t>
  </si>
  <si>
    <t>Total ARPA funds committed and not yet expended since inception as of June 30th</t>
  </si>
  <si>
    <t>Date the Auditor presented or plans to present the Audit to the Governing Board (date 7/1/2022 indicates N/R)</t>
  </si>
  <si>
    <t>General Fund Cash and investments - unrestricted…........................................................................................................</t>
  </si>
  <si>
    <t>Account Number</t>
  </si>
  <si>
    <t>Account Description</t>
  </si>
  <si>
    <t xml:space="preserve">Calculation of Fund Balance Available for Performance Indicator
</t>
  </si>
  <si>
    <t>Fund Balance Available/Total Expenditure (As Adjusted)</t>
  </si>
  <si>
    <t>Did your audit disclose as a finding any statutory violations (not including budget violations) (Yes or No)</t>
  </si>
  <si>
    <t>Did your audit disclose as a finding that the unit’s records were not completed by the agreed upon time (Yes or No)</t>
  </si>
  <si>
    <t xml:space="preserve"> Did your audit disclose as a finding bank reconciliations or subsidiary ledger reconciliations not performed timely (Yes or No)</t>
  </si>
  <si>
    <t>Single Audit Only - Coronavirus State and Local Recovery Funds expenditures (21.027)</t>
  </si>
  <si>
    <t>Single Audit Only - Opioid Settlement Funds</t>
  </si>
  <si>
    <t xml:space="preserve"> Are the  ARPA-related funds on target to be committed by December 31, 2024 (Yes or No)</t>
  </si>
  <si>
    <t>Are the  ARPA-related funds on target to be completely expended by December 31, 2026 (Yes or No)</t>
  </si>
  <si>
    <r>
      <t xml:space="preserve">Do you use prepared food/occupancy tax revenue stream to support debt?  </t>
    </r>
    <r>
      <rPr>
        <b/>
        <sz val="11"/>
        <color theme="1"/>
        <rFont val="Calibri"/>
        <family val="2"/>
        <scheme val="minor"/>
      </rPr>
      <t>Select "1" for Yes and "2" for No</t>
    </r>
    <r>
      <rPr>
        <sz val="11"/>
        <color theme="1"/>
        <rFont val="Calibri"/>
        <family val="2"/>
        <scheme val="minor"/>
      </rPr>
      <t xml:space="preserve"> from drop down list.</t>
    </r>
  </si>
  <si>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Select "1" for Yes and "2" for No from drop down list.
</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</si>
  <si>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drop down list.</t>
    </r>
    <r>
      <rPr>
        <sz val="11"/>
        <color theme="1"/>
        <rFont val="Calibri"/>
        <family val="2"/>
        <scheme val="minor"/>
      </rPr>
      <t xml:space="preserve">
</t>
    </r>
  </si>
  <si>
    <r>
      <t xml:space="preserve">Indicate if your water/sewer system:
50 - Became Operational
51 - Ceased Operations
52 - No Change
</t>
    </r>
    <r>
      <rPr>
        <b/>
        <sz val="11"/>
        <color theme="1"/>
        <rFont val="Calibri"/>
        <family val="2"/>
        <scheme val="minor"/>
      </rPr>
      <t>Select from drop down.</t>
    </r>
  </si>
  <si>
    <r>
      <t xml:space="preserve">Telephone number - </t>
    </r>
    <r>
      <rPr>
        <b/>
        <sz val="11"/>
        <color theme="1"/>
        <rFont val="Calibri"/>
        <family val="2"/>
        <scheme val="minor"/>
      </rPr>
      <t>enter only telephone number</t>
    </r>
    <r>
      <rPr>
        <sz val="11"/>
        <color theme="1"/>
        <rFont val="Calibri"/>
        <family val="2"/>
        <scheme val="minor"/>
      </rPr>
      <t xml:space="preserve"> ###-###-####</t>
    </r>
  </si>
  <si>
    <t>Enter telephone extension, etc.</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</si>
  <si>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</si>
  <si>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t>=506+536-4-6-5</t>
  </si>
  <si>
    <t>=9-(506+536-4-6-5)</t>
  </si>
  <si>
    <t>=(9-(506+536-4-6-5))-7</t>
  </si>
  <si>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b/>
        <sz val="11"/>
        <color rgb="FF993300"/>
        <rFont val="Calibri"/>
        <family val="2"/>
        <scheme val="minor"/>
      </rPr>
      <t>answer Yes=1 or No=2</t>
    </r>
  </si>
  <si>
    <t>Column C Formula</t>
  </si>
  <si>
    <t>This calculation subtracts operating expenses  from operating revenues. Depreciation expense is not included the calculation but debt principal and interest payments are included.  A negative balance indicates that your rates are not covering your operating expenses and debt service payments.</t>
  </si>
  <si>
    <t>Unit Data from Audit Worksheet tab : 84-85+49-331-89</t>
  </si>
  <si>
    <t>Unit Data from Audit worksheet tab : 80/(85+351-49+331)</t>
  </si>
  <si>
    <t>The data collected in the Data Input Workbook is used for reporting purposes. This self-reported data is used in:  (1) determining units placed on the Unit Assistance List (2) calculation of Financial Indicators of Concern (3) Statistical Memos (4) internal reports used for audit review analysis.  Other state agencies and other governmental entities are provided with data that they use for their purposes on a recurring basis such as the Department of Environmental Quality and the UNC, School of Government, Environmental Finance Center.</t>
  </si>
  <si>
    <t>As of the publication date of this workbook, prior year self-reported numbers may not been received by the LGC staff, please contact LGC staff at lgcaudit@nctreasurer.com to have the prior year’s numbers populated on this worksheet.  Please include in email subject "Prior Year Financial Data."</t>
  </si>
  <si>
    <t>Data documenting the unit's compliance with General Statue 159-25 is captured in account numbers 947, 948, 949, 950, and 952</t>
  </si>
  <si>
    <r>
      <rPr>
        <b/>
        <i/>
        <sz val="12"/>
        <rFont val="Cambria"/>
        <family val="1"/>
      </rPr>
      <t xml:space="preserve"> Data Input Workbook</t>
    </r>
    <r>
      <rPr>
        <i/>
        <sz val="12"/>
        <rFont val="Cambria"/>
        <family val="1"/>
      </rPr>
      <t xml:space="preserve"> - This workbook combines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</si>
  <si>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</si>
  <si>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t>This is a description question that is retained on the data input tab - This information is not uploaded to CCH or our data base</t>
  </si>
  <si>
    <t>Capital Tropical storm Fred cleanup</t>
  </si>
  <si>
    <t>Capital Transfers to various capital projects for pay-as-you-go renovations and new construction</t>
  </si>
  <si>
    <t>WS-Please enter any pension liabilities that are classified as current liabilities and included in account 633 above (amounts entered should agree to the current amount included in the changes to long-term debt note)</t>
  </si>
  <si>
    <t>WS-Please enter any current liabilities that are payable from restricted assets and included row 12 above (amounts entered should agree to the current amount included in the changes to long-term debt note)</t>
  </si>
  <si>
    <t>WS-Please enter any OPEB liabilities that are classified as current liabilities and included in account 633 above (amounts entered should agree to the current amount included in the changes to long-term debt note)</t>
  </si>
  <si>
    <t>Apil</t>
  </si>
  <si>
    <t>WILLIAM</t>
  </si>
  <si>
    <t>Aaron</t>
  </si>
  <si>
    <t>STEPHANIE</t>
  </si>
  <si>
    <t>Roy</t>
  </si>
  <si>
    <t>CATHY</t>
  </si>
  <si>
    <t>Christy</t>
  </si>
  <si>
    <t>Tiffany</t>
  </si>
  <si>
    <t>John</t>
  </si>
  <si>
    <t>Ellis</t>
  </si>
  <si>
    <t>Blake</t>
  </si>
  <si>
    <t>Candace</t>
  </si>
  <si>
    <t>MAVIS</t>
  </si>
  <si>
    <t>Eric</t>
  </si>
  <si>
    <t>R. Andrew</t>
  </si>
  <si>
    <t>SHERI</t>
  </si>
  <si>
    <t>TRACY</t>
  </si>
  <si>
    <t>Sam</t>
  </si>
  <si>
    <t>Anna</t>
  </si>
  <si>
    <t>Laura</t>
  </si>
  <si>
    <t>LINDSEY</t>
  </si>
  <si>
    <t>ROBERSON</t>
  </si>
  <si>
    <t>Coleman</t>
  </si>
  <si>
    <t>Morrison</t>
  </si>
  <si>
    <t>Lynch</t>
  </si>
  <si>
    <t>SMITH</t>
  </si>
  <si>
    <t>Stilwell</t>
  </si>
  <si>
    <t>Edmondson</t>
  </si>
  <si>
    <t>Murray</t>
  </si>
  <si>
    <t>Loftin</t>
  </si>
  <si>
    <t>Barfield</t>
  </si>
  <si>
    <t>Batchelor</t>
  </si>
  <si>
    <t>Iceman</t>
  </si>
  <si>
    <t>Barss</t>
  </si>
  <si>
    <t>PARSLEY</t>
  </si>
  <si>
    <t>Credle</t>
  </si>
  <si>
    <t>Prince</t>
  </si>
  <si>
    <t>SMALL</t>
  </si>
  <si>
    <t>MATHEWS</t>
  </si>
  <si>
    <t>Croom</t>
  </si>
  <si>
    <t>Bumgarner</t>
  </si>
  <si>
    <t>Lankford</t>
  </si>
  <si>
    <t>Neely</t>
  </si>
  <si>
    <t>Jones</t>
  </si>
  <si>
    <t>Speight, CPA, CLGFO</t>
  </si>
  <si>
    <t>CEARLOCK</t>
  </si>
  <si>
    <t>5/1/2022</t>
  </si>
  <si>
    <t>11/1/2008</t>
  </si>
  <si>
    <t>2/1/2023</t>
  </si>
  <si>
    <t>6/3/2022</t>
  </si>
  <si>
    <t>6/14/2022</t>
  </si>
  <si>
    <t>10/3/2022</t>
  </si>
  <si>
    <t>4/6/2021</t>
  </si>
  <si>
    <t>2/2/2015</t>
  </si>
  <si>
    <t>4/1/2022</t>
  </si>
  <si>
    <t>8/23/2019</t>
  </si>
  <si>
    <t>10/1/2022</t>
  </si>
  <si>
    <t>Anita Radcliffe</t>
  </si>
  <si>
    <t>Aaron C. Smith</t>
  </si>
  <si>
    <t>STEPHANIE B JACKSON</t>
  </si>
  <si>
    <t>Mary Morrison</t>
  </si>
  <si>
    <t>Roy Lynch</t>
  </si>
  <si>
    <t>Christy E. Stilwell</t>
  </si>
  <si>
    <t>Susan Tezai</t>
  </si>
  <si>
    <t>Beth Edmondson</t>
  </si>
  <si>
    <t>STEPHEN MCNALLY</t>
  </si>
  <si>
    <t>Paula Loftin</t>
  </si>
  <si>
    <t>John Barfield</t>
  </si>
  <si>
    <t>Blake Batchelor</t>
  </si>
  <si>
    <t>Candace Iceman</t>
  </si>
  <si>
    <t>Deanna L. Rios</t>
  </si>
  <si>
    <t>Eric Credle</t>
  </si>
  <si>
    <t>R. Andrew Prince</t>
  </si>
  <si>
    <t>SHERI SMALL</t>
  </si>
  <si>
    <t>TRACY MATHEWS</t>
  </si>
  <si>
    <t>AMY WEHRENBERG</t>
  </si>
  <si>
    <t>Sam Croom</t>
  </si>
  <si>
    <t>William Masssie</t>
  </si>
  <si>
    <t>Patricia P Galloway</t>
  </si>
  <si>
    <t>Anna R. Bumgarner</t>
  </si>
  <si>
    <t>Lisa Lankford</t>
  </si>
  <si>
    <t>Laura Neely</t>
  </si>
  <si>
    <t>Beverly Liles</t>
  </si>
  <si>
    <t>Sam Jones</t>
  </si>
  <si>
    <t>LINDSEY CEARLOCK</t>
  </si>
  <si>
    <t>Finance Offficer</t>
  </si>
  <si>
    <t>FIANACE OFFICE</t>
  </si>
  <si>
    <t>Interim CFO</t>
  </si>
  <si>
    <t>Fiance Officer</t>
  </si>
  <si>
    <t>Interim Finance Director</t>
  </si>
  <si>
    <t>Deputy Director/Finance</t>
  </si>
  <si>
    <t>Finance Ofifcer</t>
  </si>
  <si>
    <t>Chief Finance Officer</t>
  </si>
  <si>
    <t>Finance</t>
  </si>
  <si>
    <t>finance director</t>
  </si>
  <si>
    <t>11/22/2022</t>
  </si>
  <si>
    <t>11/2/2022</t>
  </si>
  <si>
    <t>11/29/2022</t>
  </si>
  <si>
    <t>3/13/2023</t>
  </si>
  <si>
    <t>11/30/2022</t>
  </si>
  <si>
    <t>1/6/2023</t>
  </si>
  <si>
    <t>12/1/2022</t>
  </si>
  <si>
    <t>10/31/2022</t>
  </si>
  <si>
    <t>10/13/2022</t>
  </si>
  <si>
    <t>11/28/2022</t>
  </si>
  <si>
    <t>9/26/2022</t>
  </si>
  <si>
    <t>1/11/2023</t>
  </si>
  <si>
    <t>11/17/2022</t>
  </si>
  <si>
    <t>1/13/2023</t>
  </si>
  <si>
    <t>10/28/2022</t>
  </si>
  <si>
    <t>2/24/2023</t>
  </si>
  <si>
    <t>11/20/2022</t>
  </si>
  <si>
    <t>1/19/2023</t>
  </si>
  <si>
    <t>12/28/2022</t>
  </si>
  <si>
    <t>1/25/2023</t>
  </si>
  <si>
    <t>11/11/2022</t>
  </si>
  <si>
    <t>2/6/2023</t>
  </si>
  <si>
    <t>1/30/2023</t>
  </si>
  <si>
    <t>2/20/2023</t>
  </si>
  <si>
    <t>12/8/2022</t>
  </si>
  <si>
    <t>3/29/2023</t>
  </si>
  <si>
    <t>1/31/2023</t>
  </si>
  <si>
    <t>1/20/2023</t>
  </si>
  <si>
    <t>12/21/2022</t>
  </si>
  <si>
    <t>11/8/2022</t>
  </si>
  <si>
    <t>1/24/2023</t>
  </si>
  <si>
    <t>2/8/2023</t>
  </si>
  <si>
    <t>11/19/2022</t>
  </si>
  <si>
    <t>3/28/2023</t>
  </si>
  <si>
    <t>10/25/2022</t>
  </si>
  <si>
    <t>12/22/2022</t>
  </si>
  <si>
    <t>11/23/2022</t>
  </si>
  <si>
    <t>11/18/2022</t>
  </si>
  <si>
    <t>3/9/2023</t>
  </si>
  <si>
    <t>1/18/2023</t>
  </si>
  <si>
    <t>10/10/2022</t>
  </si>
  <si>
    <t>3/7/2023</t>
  </si>
  <si>
    <t>3/30/2023</t>
  </si>
  <si>
    <t>10/24/2022</t>
  </si>
  <si>
    <t>11/16/2022</t>
  </si>
  <si>
    <t>1/23/2023</t>
  </si>
  <si>
    <t>3/31/2023</t>
  </si>
  <si>
    <t>10/27/2022</t>
  </si>
  <si>
    <t>5/5/2023</t>
  </si>
  <si>
    <t>7/19/2023</t>
  </si>
  <si>
    <t>4/12/2023</t>
  </si>
  <si>
    <t>11/14/2022</t>
  </si>
  <si>
    <t>1/4/2023</t>
  </si>
  <si>
    <t>1/27/2023</t>
  </si>
  <si>
    <t>1/9/2023</t>
  </si>
  <si>
    <t>252-946-7721 ext.1079</t>
  </si>
  <si>
    <t>910-253-2060</t>
  </si>
  <si>
    <t>336-242-2027</t>
  </si>
  <si>
    <t>336-753-6022</t>
  </si>
  <si>
    <t>336-641-4574</t>
  </si>
  <si>
    <t>828-697-4821 ext.5018</t>
  </si>
  <si>
    <t>252-448-5111</t>
  </si>
  <si>
    <t>919-718-4600 ext.5512</t>
  </si>
  <si>
    <t>910-798-7138</t>
  </si>
  <si>
    <t>910-455-3404 ext.3134</t>
  </si>
  <si>
    <t>336-597-1726 ext.219</t>
  </si>
  <si>
    <t>252-902-3011</t>
  </si>
  <si>
    <t>704-216-8174</t>
  </si>
  <si>
    <t>336-593-2451</t>
  </si>
  <si>
    <t>336-401-251</t>
  </si>
  <si>
    <t>252-796-1371 ext.2678</t>
  </si>
  <si>
    <t>704-263-3675</t>
  </si>
  <si>
    <t>finance@ashecounty.gov</t>
  </si>
  <si>
    <t>anita.radcliffe@beaufortcountync.gov</t>
  </si>
  <si>
    <t>aaron.smith@brunswickcountync.gov</t>
  </si>
  <si>
    <t>jmhowden@cabarruscounty.us</t>
  </si>
  <si>
    <t>SJACKSON@CAMDENCOUNTYNC.GOV</t>
  </si>
  <si>
    <t>mmorrison@catawbacountync.gov</t>
  </si>
  <si>
    <t>roy.lynch@chathamcountync.gov</t>
  </si>
  <si>
    <t>vevans@cumberlandcountync.gov</t>
  </si>
  <si>
    <t>sandra.hill@currituckcountync.org</t>
  </si>
  <si>
    <t>Christy.Stilwell@DavidsonCountyNC.gov</t>
  </si>
  <si>
    <t>bethedmondson@edgecombeco.com</t>
  </si>
  <si>
    <t>jholtzman@franklincountync.gov</t>
  </si>
  <si>
    <t>paula.loftin@greenecountync.gov</t>
  </si>
  <si>
    <t>jbarfield@guilfordocuntync.gov</t>
  </si>
  <si>
    <t>bbatchelor@jonescountync.gov</t>
  </si>
  <si>
    <t>caiceman@leecountync.gov</t>
  </si>
  <si>
    <t>Sandra.barss@lenoircountync.gov</t>
  </si>
  <si>
    <t>Mavis.parsley@mitchellcounty.org</t>
  </si>
  <si>
    <t>finance@montgomerycountync.com</t>
  </si>
  <si>
    <t>ecredle@nhcgov.com</t>
  </si>
  <si>
    <t>andrew_prince@onslowcountync.gov</t>
  </si>
  <si>
    <t>SMALLS@CO.PASQUOTNAK.NC.US</t>
  </si>
  <si>
    <t>TRACYMATHEWS@PERQUIMANSCOUNTYNC.GOV</t>
  </si>
  <si>
    <t>sam.croom@pittcountync.gov</t>
  </si>
  <si>
    <t>anna.bumgarner@rowancountync.gov</t>
  </si>
  <si>
    <t>llankford@co.stokes.nc.us</t>
  </si>
  <si>
    <t>neelyl@co.surry.nc.us</t>
  </si>
  <si>
    <t>Beverly.Liles@unioncountync.gov</t>
  </si>
  <si>
    <t>samantha.jones@watgov.org</t>
  </si>
  <si>
    <t>Number of other matters that auditor asked the unit to respond to.</t>
  </si>
  <si>
    <t>12/5/2022</t>
  </si>
  <si>
    <t>7/1/2022</t>
  </si>
  <si>
    <t>12/19/2022</t>
  </si>
  <si>
    <t>4/3/2023</t>
  </si>
  <si>
    <t>1/10/2023</t>
  </si>
  <si>
    <t>1/17/2023</t>
  </si>
  <si>
    <t>11/15/2022</t>
  </si>
  <si>
    <t>3/2/2023</t>
  </si>
  <si>
    <t>1/16/2023</t>
  </si>
  <si>
    <t>2/16/2023</t>
  </si>
  <si>
    <t>2/28/2023</t>
  </si>
  <si>
    <t>1/3/2023</t>
  </si>
  <si>
    <t>3/15/2023</t>
  </si>
  <si>
    <t>12/13/2022</t>
  </si>
  <si>
    <t>1/15/2023</t>
  </si>
  <si>
    <t>11/21/2022</t>
  </si>
  <si>
    <t>5/1/2023</t>
  </si>
  <si>
    <t>3/6/2023</t>
  </si>
  <si>
    <t>4/26/2023</t>
  </si>
  <si>
    <t>6/12/2023</t>
  </si>
  <si>
    <t>8/15/2023</t>
  </si>
  <si>
    <t>5/8/2023</t>
  </si>
  <si>
    <t>12/6/2022</t>
  </si>
  <si>
    <t>12/20/2022</t>
  </si>
  <si>
    <t>2/21/2023</t>
  </si>
  <si>
    <t>11/7/2022</t>
  </si>
  <si>
    <t>Mark to Market unrealized losses in the General Fund.</t>
  </si>
  <si>
    <t>Did your audit disclose as a finding bank reconciliations or subsidiary ledger reconciliations not performed timely? (Yes or No)</t>
  </si>
  <si>
    <t>Did your audit disclose as a finding that the unitGÇÖs records were not completed by the agreed upon time? (Yes or No)</t>
  </si>
  <si>
    <t>Did the unit have a board-appointed finance officer the entire fiscal year? (Yes or No)?</t>
  </si>
  <si>
    <t>Total ARPA funds actually expended since inception as of June 30th. -áDo not include encumbered funds in this number.</t>
  </si>
  <si>
    <t>Total ARPA funds committed and not yet expended since inception as of June 30th.</t>
  </si>
  <si>
    <t>Are the-á ARPA-related funds on target to be committed by December 31, 2024? (Yes or No)</t>
  </si>
  <si>
    <t>Are the-á ARPA-related funds on target to be completely expended by December 31, 2026? (Yes or No)</t>
  </si>
  <si>
    <t>Date Audit First Received</t>
  </si>
  <si>
    <t>2022-12-01</t>
  </si>
  <si>
    <t>2022-11-09</t>
  </si>
  <si>
    <t>2022-11-29</t>
  </si>
  <si>
    <t>2023-03-13</t>
  </si>
  <si>
    <t>2022-11-23</t>
  </si>
  <si>
    <t>2023-01-27</t>
  </si>
  <si>
    <t>2022-11-01</t>
  </si>
  <si>
    <t>2022-11-30</t>
  </si>
  <si>
    <t>2022-10-25</t>
  </si>
  <si>
    <t>2022-11-07</t>
  </si>
  <si>
    <t>2023-01-11</t>
  </si>
  <si>
    <t>2022-12-16</t>
  </si>
  <si>
    <t>2022-10-31</t>
  </si>
  <si>
    <t>2023-02-24</t>
  </si>
  <si>
    <t>2023-01-19</t>
  </si>
  <si>
    <t>2022-12-29</t>
  </si>
  <si>
    <t>2023-01-31</t>
  </si>
  <si>
    <t>2022-11-11</t>
  </si>
  <si>
    <t>2023-02-02</t>
  </si>
  <si>
    <t>2023-03-29</t>
  </si>
  <si>
    <t>2023-01-20</t>
  </si>
  <si>
    <t>2023-02-28</t>
  </si>
  <si>
    <t>2022-11-22</t>
  </si>
  <si>
    <t>2022-12-08</t>
  </si>
  <si>
    <t>2023-04-03</t>
  </si>
  <si>
    <t>2022-12-21</t>
  </si>
  <si>
    <t>2023-02-14</t>
  </si>
  <si>
    <t>2023-01-25</t>
  </si>
  <si>
    <t>2023-02-10</t>
  </si>
  <si>
    <t>2023-04-26</t>
  </si>
  <si>
    <t>2022-11-28</t>
  </si>
  <si>
    <t>2023-02-03</t>
  </si>
  <si>
    <t>2022-12-22</t>
  </si>
  <si>
    <t>2022-11-16</t>
  </si>
  <si>
    <t>2023-03-14</t>
  </si>
  <si>
    <t>2023-01-18</t>
  </si>
  <si>
    <t>2022-10-28</t>
  </si>
  <si>
    <t>2022-11-18</t>
  </si>
  <si>
    <t>2023-03-10</t>
  </si>
  <si>
    <t>2023-03-31</t>
  </si>
  <si>
    <t>2023-01-24</t>
  </si>
  <si>
    <t>2023-06-09</t>
  </si>
  <si>
    <t>2023-01-30</t>
  </si>
  <si>
    <t>2023-07-19</t>
  </si>
  <si>
    <t>2023-04-28</t>
  </si>
  <si>
    <t>2023-01-05</t>
  </si>
  <si>
    <t>2023-01-10</t>
  </si>
  <si>
    <t>WS - total operating revenues less total operating expenses plus depreciation less debt service principal payments and less debt service interest expense payments Formula: 84-85+49-331-89</t>
  </si>
  <si>
    <t>WS - unrestricted cash and investments divided by (total operating expenses plus total all non-operating expenses less depreciation plus debt service principal payments) Formula: 80/(85+351-49+331)</t>
  </si>
  <si>
    <t>Elec - total operating revenues less total operating expenses plus depreciation less debt service principal payments and less debt service interest expense payments Formula: 93-94+52-100-98</t>
  </si>
  <si>
    <t>Elec - unrestricted cash and investments divided by (total operating expenses plus total all non-operating expenses less depreciation plus debt service principal payments) Formula: 90/(94+364-52+100)</t>
  </si>
  <si>
    <t>Holly</t>
  </si>
  <si>
    <t>Corrinne</t>
  </si>
  <si>
    <t>Berry</t>
  </si>
  <si>
    <t>Gibbs</t>
  </si>
  <si>
    <t>Holly Berry</t>
  </si>
  <si>
    <t>704-994-3206</t>
  </si>
  <si>
    <t>hberry@ansoncountync.gov</t>
  </si>
  <si>
    <t xml:space="preserve">This self-reported data is used in calculations including but not limited to: reporting Financial Performance Indicators (FPI), FPI thresholds, published memos, legislative reporting, and determining units placed on the Unit Assistance List (UAL). </t>
  </si>
  <si>
    <t>Please do not answer this question unless the unit has a  water and/or sewer fund</t>
  </si>
  <si>
    <t>Transfers from General Fund to Water and Sewer Fund.  (Enter as positive)</t>
  </si>
  <si>
    <t>Transfers from Water and Sewer to General Fund.  (Enter as positive)</t>
  </si>
  <si>
    <t>Water and Sewer - Fund Revenue, Expenses &amp; Changes in Fund Net Position or Notes to Financial Statements</t>
  </si>
  <si>
    <t>Cash &amp; Tax Memo, UAL Determination, Financial Performance Indicator</t>
  </si>
  <si>
    <t>Error Detection, UAL Determination, Financial Performance Indicator</t>
  </si>
  <si>
    <t>Finance Performance Indicator</t>
  </si>
  <si>
    <t>Determination of Fiscal Health, UAL Determination, Financial Performance Indicator</t>
  </si>
  <si>
    <t>Water Sewer Dashboard, UAL Determination, Financial Performance Indicator</t>
  </si>
  <si>
    <t>Review Summary, Financial Performance Indicator</t>
  </si>
  <si>
    <t>Water Sewer Dashboard, Financial Performance Indicator</t>
  </si>
  <si>
    <t>Dashboard; Determination of Fiscal Health, Financial Performance Indicator</t>
  </si>
  <si>
    <t>Determination of Fiscal Health, Financial Performance Indicator</t>
  </si>
  <si>
    <t>UAL Determination, Financial Performance Indicator</t>
  </si>
  <si>
    <t>Review</t>
  </si>
  <si>
    <t>Please enter page number if information included in the audit report/other communications</t>
  </si>
  <si>
    <t>Did your audit disclose any budget violations at the adopted ordinance level? (Yes or No)</t>
  </si>
  <si>
    <t>Did your audit disclose as a finding any statutory violations? (not including budget violations) (Yes or No) If the answer  is "Yes", review whether this needs to be disclosed in the Stewardship, Compliance and Accountability Note</t>
  </si>
  <si>
    <t xml:space="preserve"> 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t>
  </si>
  <si>
    <t>If the answer to 1059 is "No,"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t>
  </si>
  <si>
    <t>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t>
  </si>
  <si>
    <t xml:space="preserve">Is there is a going concern noted in the audit report? </t>
  </si>
  <si>
    <r>
      <t xml:space="preserve">Number of significant deficiency findings (financial statement findings only)
</t>
    </r>
    <r>
      <rPr>
        <sz val="11"/>
        <color rgb="FFFF0000"/>
        <rFont val="Calibri"/>
        <family val="2"/>
        <scheme val="minor"/>
      </rPr>
      <t>Exclude finding reported in questions 907, 951</t>
    </r>
  </si>
  <si>
    <r>
      <t xml:space="preserve">Number of material weaknesses findings (financial statements findings only)
</t>
    </r>
    <r>
      <rPr>
        <sz val="11"/>
        <color rgb="FFFF0000"/>
        <rFont val="Calibri"/>
        <family val="2"/>
        <scheme val="minor"/>
      </rPr>
      <t>Exclude findings reported in questions 907, 951</t>
    </r>
  </si>
  <si>
    <t>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t>
  </si>
  <si>
    <t xml:space="preserve">Was an AU-C Section 260 (The Auditor's Communication With Those Charged With Governance) letter issued?     </t>
  </si>
  <si>
    <t>Was an AU-C Section 265 (Communicating Internal Control Related Matters Identified in an Audit) letter issued?</t>
  </si>
  <si>
    <t>J</t>
  </si>
  <si>
    <t>What date was the audit report submitted to the LGC?  (Note audit reports are due four months after fiscal year end regardless of the contract submission date.)</t>
  </si>
  <si>
    <t>Does the Performance Indicator Print worksheet in this workbook have a red shaded cell?</t>
  </si>
  <si>
    <t>Section 2:</t>
  </si>
  <si>
    <t xml:space="preserve">Does the unit have a self-insurance fund? </t>
  </si>
  <si>
    <t>If the unit is self-insured for employee health care, does the unit use a qualified consultant to establish rates and appropriate reserve levels?</t>
  </si>
  <si>
    <r>
      <t xml:space="preserve">Does the Unit have a non-state administered pension plan?
</t>
    </r>
    <r>
      <rPr>
        <sz val="11"/>
        <color theme="5" tint="-0.249977111117893"/>
        <rFont val="Calibri"/>
        <family val="2"/>
        <scheme val="minor"/>
      </rPr>
      <t>(Note - OPEB is not a pension plan.)</t>
    </r>
  </si>
  <si>
    <t>Transfers from General Fund to Water and Sewer Fund</t>
  </si>
  <si>
    <t>Transfers from Water and Sewer to General Fund</t>
  </si>
  <si>
    <t>Did your audit disclose any budget violations at the adopted ordinance level (Yes or No)</t>
  </si>
  <si>
    <t>If the answer to 1059 is "No," was the unit without a board-appointed interim or permanent finance officer for more than 2 weeks at any time in the fiscal year</t>
  </si>
  <si>
    <t>Was the finance officer or interim finance officer bonded (Yes or No) pursuant to G.S. 159-29</t>
  </si>
  <si>
    <t>Is there is a going concern noted in the audit report</t>
  </si>
  <si>
    <t>Does the Performance Indicator Print worksheet in this workbook have a red shaded cell</t>
  </si>
  <si>
    <t>Does the unit have a self-insurance fund</t>
  </si>
  <si>
    <t>If the unit is self-insured for employee health care, does the unit use a qualified consultant to establish rates and appropriate reserve levels</t>
  </si>
  <si>
    <t>Amount of ARPA funds expended in total for fiscal year for non-capital purposes</t>
  </si>
  <si>
    <t xml:space="preserve">What date was the audit report submitted to the LGC? </t>
  </si>
  <si>
    <t>Water and Sewer Capital Assets Condition Ratio</t>
  </si>
  <si>
    <t>Remaining useful life of asset greater than or equal to 0.50</t>
  </si>
  <si>
    <t xml:space="preserve">This capital assets condition ratio formula calculates the remaining useful life. A remaining useful asset value less than 0.50  may signal the need to replace the assets in the near future. </t>
  </si>
  <si>
    <t>Unit Data from Audit worksheet tab:
 1-((523+524+525+526)/(515+516+517+518))</t>
  </si>
  <si>
    <t>9</t>
  </si>
  <si>
    <t>TD Info Completed by Auditor tab: CCH acct #1079</t>
  </si>
  <si>
    <t>C31</t>
  </si>
  <si>
    <t>C30</t>
  </si>
  <si>
    <r>
      <t xml:space="preserve">The Unit had material weaknesses, significant deficiencies, statutory violations and/or items identified on the </t>
    </r>
    <r>
      <rPr>
        <b/>
        <i/>
        <sz val="11"/>
        <rFont val="Calibri"/>
        <family val="2"/>
        <scheme val="minor"/>
      </rPr>
      <t>TD Info Completed by Auditor</t>
    </r>
    <r>
      <rPr>
        <b/>
        <sz val="11"/>
        <rFont val="Calibri"/>
        <family val="2"/>
        <scheme val="minor"/>
      </rPr>
      <t xml:space="preserve"> tab that should be addressed in the FPIC Response Letter.  </t>
    </r>
  </si>
  <si>
    <r>
      <t xml:space="preserve">This indicator identifies whether the unit has any material weaknesses, significant deficiencies, management letter comments or items identified on the </t>
    </r>
    <r>
      <rPr>
        <b/>
        <i/>
        <sz val="12"/>
        <color theme="1"/>
        <rFont val="Calibri"/>
        <family val="2"/>
        <scheme val="minor"/>
      </rPr>
      <t>TD Info Completed by Audit tab</t>
    </r>
    <r>
      <rPr>
        <b/>
        <sz val="12"/>
        <color theme="1"/>
        <rFont val="Calibri"/>
        <family val="2"/>
        <scheme val="minor"/>
      </rPr>
      <t xml:space="preserve"> including 1055, 1056, 1058, 955 and 957, that require a response.</t>
    </r>
  </si>
  <si>
    <t>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No)The unit had a board-appointed finance officer the entire fiscal year.</t>
  </si>
  <si>
    <t>The indicator is to determine if any time during the fiscal year, the unit was without a board-appointed finance officer.</t>
  </si>
  <si>
    <t>TD Info Completed by Auditor : CCH acct # 1067</t>
  </si>
  <si>
    <t>The indicator is to determine if any time during the fiscal year, the unit was board-appointed finance officer was bonded.</t>
  </si>
  <si>
    <r>
      <t xml:space="preserve">GENERAL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Data."GENERAL FUND:</t>
    </r>
  </si>
  <si>
    <r>
      <t xml:space="preserve">WATER SEWER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Data."WATER SEWER FUND:</t>
    </r>
  </si>
  <si>
    <r>
      <t xml:space="preserve">There was appropriated fund balance for the General Fund in the 2023 budget </t>
    </r>
    <r>
      <rPr>
        <b/>
        <u/>
        <sz val="11"/>
        <color theme="1"/>
        <rFont val="Calibri"/>
        <family val="2"/>
        <scheme val="minor"/>
      </rPr>
      <t>AND</t>
    </r>
    <r>
      <rPr>
        <b/>
        <sz val="11"/>
        <color theme="1"/>
        <rFont val="Calibri"/>
        <family val="2"/>
        <scheme val="minor"/>
      </rPr>
      <t xml:space="preserve"> your change in fund balance was negative.  Please state if fund balance was used for operations or capital purposes </t>
    </r>
    <r>
      <rPr>
        <b/>
        <sz val="11"/>
        <color rgb="FFFF0000"/>
        <rFont val="Calibri"/>
        <family val="2"/>
        <scheme val="minor"/>
      </rPr>
      <t>in account 590 on the Unit Data from Audit Worksheet.</t>
    </r>
  </si>
  <si>
    <t>Unit Data from Audit Worksheet tab : 590 and 23</t>
  </si>
  <si>
    <t>N/A</t>
  </si>
  <si>
    <t xml:space="preserve">Are the American Rescue Plan Act (ARPA) of 2021-Coronavrius State &amp; Local Fiscal Recovery Funds on target to be committed by December 31, 2024? (Yes = 1 or No = 2or N/A = 3 if unit did not receive funds) </t>
  </si>
  <si>
    <t>Are the American Rescue Plan Act (ARPA) of 2021-Coronavrius State &amp; Local Fiscal Recovery Funds on target to be completely expended by December 31, 2026? (Yes = 1 or No = 2 or N/A = 3 if unit did not receive funds)</t>
  </si>
  <si>
    <t>Amount transferred from the Water and Sewer Fund to Water and Sewer Capital Project Funds</t>
  </si>
  <si>
    <t>Does the Unit have a non-state administered pension plan</t>
  </si>
  <si>
    <t>Must be linked to unit number on Unit Data from Audit Worksheet tab</t>
  </si>
  <si>
    <r>
      <t xml:space="preserve">Are there additional issues the unit should address that affect the fiscal health or internal controls of the unit that were communicated to the unit during the audit presentation?   </t>
    </r>
    <r>
      <rPr>
        <b/>
        <u/>
        <sz val="11"/>
        <rFont val="Calibri"/>
        <family val="2"/>
        <scheme val="minor"/>
      </rPr>
      <t>Please include details of the issue in cell J37 to the right and in your FPIC Response.</t>
    </r>
  </si>
  <si>
    <t>This indicator advises if any other issues that the unit should address in the FPIC response letter.</t>
  </si>
  <si>
    <t>Fiscal Review, UAL Determination, Financial Performance Indicator</t>
  </si>
  <si>
    <t xml:space="preserve"> Did the unit have a board-appointed finance officer or board-appointed interim finance officer for the entire fiscal year (Yes or No)</t>
  </si>
  <si>
    <t>Corrinne Gibbs</t>
  </si>
  <si>
    <t>9/19/2023</t>
  </si>
  <si>
    <t>252-946-4192</t>
  </si>
  <si>
    <t>9/25/2023</t>
  </si>
  <si>
    <t>2023-09-20</t>
  </si>
  <si>
    <r>
      <t>Please list the amount of ARPA funds expended in total this fiscal year for non-capital purposes.  Enter</t>
    </r>
    <r>
      <rPr>
        <b/>
        <sz val="11"/>
        <color theme="1"/>
        <rFont val="Calibri"/>
        <family val="2"/>
        <scheme val="minor"/>
      </rPr>
      <t xml:space="preserve"> </t>
    </r>
    <r>
      <rPr>
        <sz val="11"/>
        <rFont val="Calibri"/>
        <family val="2"/>
        <scheme val="minor"/>
      </rPr>
      <t>"</t>
    </r>
    <r>
      <rPr>
        <b/>
        <sz val="11"/>
        <rFont val="Calibri"/>
        <family val="2"/>
        <scheme val="minor"/>
      </rPr>
      <t>0</t>
    </r>
    <r>
      <rPr>
        <sz val="11"/>
        <rFont val="Calibri"/>
        <family val="2"/>
        <scheme val="minor"/>
      </rPr>
      <t>"</t>
    </r>
    <r>
      <rPr>
        <sz val="11"/>
        <color theme="1"/>
        <rFont val="Calibri"/>
        <family val="2"/>
        <scheme val="minor"/>
      </rPr>
      <t xml:space="preserve"> if no ARPA funds expended for this fiscal year for non-capital purposes.</t>
    </r>
  </si>
  <si>
    <t>W/S Condition of Assets</t>
  </si>
  <si>
    <t>Chelsey</t>
  </si>
  <si>
    <t>Lanier</t>
  </si>
  <si>
    <t>9/5/2023</t>
  </si>
  <si>
    <t>Chelsey Lanier</t>
  </si>
  <si>
    <t>10/2/2023</t>
  </si>
  <si>
    <t>910-372-9257</t>
  </si>
  <si>
    <t>chelsey.lanier@duplincountync.com</t>
  </si>
  <si>
    <t>9/22/2023</t>
  </si>
  <si>
    <t>2023-09-22</t>
  </si>
  <si>
    <t xml:space="preserve">The TD Info Completed by Auditor Worksheet is to be filled out using the completed audit report for the fiscal year 2024. </t>
  </si>
  <si>
    <t>Please remember the original 2024 audit report submission cannot be processed unless we receive the following:</t>
  </si>
  <si>
    <t xml:space="preserve">- PDF file of the Audit Report named “Unit Name 2024 Audit”             </t>
  </si>
  <si>
    <t>- PDF file of all communication letters from the auditor to the unit  named “Unit Name 2024 comm #1”, “Unit Name 2024 comm #2”, etc.</t>
  </si>
  <si>
    <t xml:space="preserve">- Excel file named “Unit Name 2024 Data Input Workbook" </t>
  </si>
  <si>
    <t>If the 2024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</si>
  <si>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t>Location of Documents for the 2024 Audit Submission Process</t>
  </si>
  <si>
    <t>Instructions for Audits with a Fiscal Year Ending Earlier than June 30, 2024</t>
  </si>
  <si>
    <t>If you are performing an audit for a year earlier than June 30, 2024, please email LGCAudit@nctreasurer.com, as you will need to use the appropriate transmittal and data input document for that time period.</t>
  </si>
  <si>
    <t>Fiscal Year 2024 -  Data Input Workbook incorporates the
Unit Data from Audit Worksheet, TD Info Completed by Auditor Worksheet, Performance Indicators Print Worksheet</t>
  </si>
  <si>
    <r>
      <t xml:space="preserve">The questions to the 2024 </t>
    </r>
    <r>
      <rPr>
        <b/>
        <i/>
        <u/>
        <sz val="12"/>
        <rFont val="Cambria"/>
        <family val="1"/>
      </rPr>
      <t>TD Info Completed by Auditor</t>
    </r>
    <r>
      <rPr>
        <b/>
        <i/>
        <sz val="12"/>
        <rFont val="Cambria"/>
        <family val="1"/>
      </rPr>
      <t xml:space="preserve"> tab assist our team in routing the audit report through our review process.  Please answer all questions before submitting the Data Input Workbook to the portal.  Incomplete TD Info Completed by Auditor tabs will be returned and may delay invoice processing.  </t>
    </r>
  </si>
  <si>
    <r>
      <t xml:space="preserve">If you appropriated General Fund Balance in your 2024 budget and your "change in fund balance": (account # 23 above) is </t>
    </r>
    <r>
      <rPr>
        <sz val="11"/>
        <color rgb="FFFF0000"/>
        <rFont val="Calibri"/>
        <family val="2"/>
        <scheme val="minor"/>
      </rPr>
      <t>negative</t>
    </r>
    <r>
      <rPr>
        <sz val="11"/>
        <color theme="1"/>
        <rFont val="Calibri"/>
        <family val="2"/>
        <scheme val="minor"/>
      </rPr>
      <t>, please select from the drop down box in column F either "operations" or "capital", whichever best describes what the fund balance was used for.  Briefly describe in column G to the right what the fund balance was used for.</t>
    </r>
  </si>
  <si>
    <r>
      <t xml:space="preserve">Please enter the fiscal year end reported on the unit's audited financial statements if other than 6/30/2024.                    </t>
    </r>
    <r>
      <rPr>
        <b/>
        <sz val="11"/>
        <color theme="1"/>
        <rFont val="Calibri"/>
        <family val="2"/>
        <scheme val="minor"/>
      </rPr>
      <t>DO NOT DELETE 6/30/2024 if applicable.</t>
    </r>
    <r>
      <rPr>
        <sz val="11"/>
        <color theme="1"/>
        <rFont val="Calibri"/>
        <family val="2"/>
        <scheme val="minor"/>
      </rPr>
      <t xml:space="preserve">  Format "MM/DD/YYYY"</t>
    </r>
  </si>
  <si>
    <r>
      <t xml:space="preserve">Date the auditor presented or plans to present Financial Performance Indicators of Concern (FPIC) to the Governing Board. </t>
    </r>
    <r>
      <rPr>
        <sz val="11"/>
        <color theme="9" tint="-0.499984740745262"/>
        <rFont val="Calibri"/>
        <family val="2"/>
        <scheme val="minor"/>
      </rPr>
      <t xml:space="preserve"> If there are no FPICs to present to the governing board,  enter "7/1/2024" to indicate that an FPIC response is not required.</t>
    </r>
  </si>
  <si>
    <t>If the fiscal year-end is other than 6/30/2024, 9/30/2024, 12/31/2024 or 3/31/2025, please contact us.</t>
  </si>
  <si>
    <t>Fiscal Year 2024</t>
  </si>
  <si>
    <t>Operations Appropriated fund balance was not used.</t>
  </si>
  <si>
    <t>Melissa</t>
  </si>
  <si>
    <t>Lacie</t>
  </si>
  <si>
    <t>Leslie</t>
  </si>
  <si>
    <t>Kenyia</t>
  </si>
  <si>
    <t>Jacobs</t>
  </si>
  <si>
    <t>Walker</t>
  </si>
  <si>
    <t>5/21/2024</t>
  </si>
  <si>
    <t>12/16/2021</t>
  </si>
  <si>
    <t>2/13/2023</t>
  </si>
  <si>
    <t>N</t>
  </si>
  <si>
    <t>Melissa Miller</t>
  </si>
  <si>
    <t>Lacie Jacobs</t>
  </si>
  <si>
    <t>Leslie H. Edwards</t>
  </si>
  <si>
    <t>Kenyia Walker</t>
  </si>
  <si>
    <t>1/22/2024</t>
  </si>
  <si>
    <t>7/26/2024</t>
  </si>
  <si>
    <t>3/8/2024</t>
  </si>
  <si>
    <t>4/29/2024</t>
  </si>
  <si>
    <t>10/16/2023</t>
  </si>
  <si>
    <t>12/14/2023</t>
  </si>
  <si>
    <t>336-933-4552</t>
  </si>
  <si>
    <t>828-837-2130 ext.1811</t>
  </si>
  <si>
    <t>910-640-6611 ext.237</t>
  </si>
  <si>
    <t>252-358-7804</t>
  </si>
  <si>
    <t>252-534-1536 ext.4602</t>
  </si>
  <si>
    <t>mmiller@caswellcountync.gov</t>
  </si>
  <si>
    <t>lacie.jacobs@columbusco.org</t>
  </si>
  <si>
    <t>leslie.edwards@hertfordcountync.gov</t>
  </si>
  <si>
    <t>kenyia.walker@nhcnc.net</t>
  </si>
  <si>
    <t>2/6/2024</t>
  </si>
  <si>
    <t>8/19/2024</t>
  </si>
  <si>
    <t>4/1/2024</t>
  </si>
  <si>
    <t>11/6/2023</t>
  </si>
  <si>
    <t>12/18/2023</t>
  </si>
  <si>
    <t>2024-01-31</t>
  </si>
  <si>
    <t>2024-07-31</t>
  </si>
  <si>
    <t>2024-02-22</t>
  </si>
  <si>
    <t>2024-05-01</t>
  </si>
  <si>
    <t>2023-10-20</t>
  </si>
  <si>
    <t>2023-12-19</t>
  </si>
  <si>
    <t>N/A -</t>
  </si>
  <si>
    <t>Operations -</t>
  </si>
  <si>
    <t>Capital - vehicles for sheriff, ambulances for EMS</t>
  </si>
  <si>
    <t>Operations - The County has appropriated a portion of the General Fund balance to support the operations of the County.</t>
  </si>
  <si>
    <t>Capital - Fund balance is used to offset large onetime expenditures</t>
  </si>
  <si>
    <t>Capital -</t>
  </si>
  <si>
    <t>Capital - Grants and other projects not completed during FY2022 were rolled over into FY 2023. A major rehabilititation project for a community center accounts for the majority of the FB appropriated.</t>
  </si>
  <si>
    <t>Capital - Equipment / vehicles for public safety</t>
  </si>
  <si>
    <t>Capital - ARPA Revenue Replacement from prior year transferred to capital project fund for County Building project.</t>
  </si>
  <si>
    <t>April</t>
  </si>
  <si>
    <t>SANDY</t>
  </si>
  <si>
    <t>LISA</t>
  </si>
  <si>
    <t>Stephanie</t>
  </si>
  <si>
    <t>Cathy</t>
  </si>
  <si>
    <t>Sherrie</t>
  </si>
  <si>
    <t>Heather</t>
  </si>
  <si>
    <t>Linda</t>
  </si>
  <si>
    <t>Kyle</t>
  </si>
  <si>
    <t>Steve</t>
  </si>
  <si>
    <t>Don</t>
  </si>
  <si>
    <t>Garvin</t>
  </si>
  <si>
    <t>Mavis</t>
  </si>
  <si>
    <t>Pam</t>
  </si>
  <si>
    <t>Sheri</t>
  </si>
  <si>
    <t>Will</t>
  </si>
  <si>
    <t>BETH</t>
  </si>
  <si>
    <t>TOBY</t>
  </si>
  <si>
    <t>Meagan</t>
  </si>
  <si>
    <t>Nikki</t>
  </si>
  <si>
    <t>Derib</t>
  </si>
  <si>
    <t>Angie</t>
  </si>
  <si>
    <t>Lindsey</t>
  </si>
  <si>
    <t>Scarborough</t>
  </si>
  <si>
    <t>COLEMAN</t>
  </si>
  <si>
    <t>Moore</t>
  </si>
  <si>
    <t>Geer</t>
  </si>
  <si>
    <t>Woody</t>
  </si>
  <si>
    <t>Sutherland</t>
  </si>
  <si>
    <t>Roberson</t>
  </si>
  <si>
    <t>Ferguson</t>
  </si>
  <si>
    <t>Parsley</t>
  </si>
  <si>
    <t>Wortham</t>
  </si>
  <si>
    <t>Small</t>
  </si>
  <si>
    <t>HOBBS</t>
  </si>
  <si>
    <t>HINSON</t>
  </si>
  <si>
    <t>O'Neal</t>
  </si>
  <si>
    <t>Williams</t>
  </si>
  <si>
    <t>Dickerson</t>
  </si>
  <si>
    <t>Geouque</t>
  </si>
  <si>
    <t>Boswell</t>
  </si>
  <si>
    <t>Cearlock</t>
  </si>
  <si>
    <t>1/6/2016</t>
  </si>
  <si>
    <t>4/10/2023</t>
  </si>
  <si>
    <t>9/18/2023</t>
  </si>
  <si>
    <t>7/10/2023</t>
  </si>
  <si>
    <t>7/16/2023</t>
  </si>
  <si>
    <t>7/31/2024</t>
  </si>
  <si>
    <t>11/27/2023</t>
  </si>
  <si>
    <t>11/11/2023</t>
  </si>
  <si>
    <t>3/1/2024</t>
  </si>
  <si>
    <t>1/1/2023</t>
  </si>
  <si>
    <t>1/1/2000</t>
  </si>
  <si>
    <t>10/12/2023</t>
  </si>
  <si>
    <t>10/9/2023</t>
  </si>
  <si>
    <t>4/3/2024</t>
  </si>
  <si>
    <t>9/11/2023</t>
  </si>
  <si>
    <t>11/20/2023</t>
  </si>
  <si>
    <t>Anita C. Radcliffe</t>
  </si>
  <si>
    <t>David Scarborough</t>
  </si>
  <si>
    <t>LISA COLEMAN</t>
  </si>
  <si>
    <t>Melissa Moore</t>
  </si>
  <si>
    <t>Stephanie Jackson</t>
  </si>
  <si>
    <t>Sherrie Geer</t>
  </si>
  <si>
    <t>Heather Woody</t>
  </si>
  <si>
    <t>Linda J. Barfield</t>
  </si>
  <si>
    <t>Terri Goodman</t>
  </si>
  <si>
    <t>Kyle Sutherland</t>
  </si>
  <si>
    <t>Steve McNally</t>
  </si>
  <si>
    <t>Garvin Ferguson</t>
  </si>
  <si>
    <t>Pam Wortham</t>
  </si>
  <si>
    <t>Sheri Small</t>
  </si>
  <si>
    <t>Amy Wehrenberg</t>
  </si>
  <si>
    <t>Anna Bumgarner</t>
  </si>
  <si>
    <t>BETH HOBBS</t>
  </si>
  <si>
    <t>Meagan O'Neal</t>
  </si>
  <si>
    <t>Stephanie Williams</t>
  </si>
  <si>
    <t>Nikki Dickerson</t>
  </si>
  <si>
    <t>Deron Geouque</t>
  </si>
  <si>
    <t>Angie Boswell, CLGFO</t>
  </si>
  <si>
    <t>Lindsey Cearlock</t>
  </si>
  <si>
    <t>CFO</t>
  </si>
  <si>
    <t>Finance Director &amp;
General Manager of Financial Services</t>
  </si>
  <si>
    <t>Finanace Director</t>
  </si>
  <si>
    <t>Director of Financial Services</t>
  </si>
  <si>
    <t>Budget and Finance Director</t>
  </si>
  <si>
    <t>County manger, Interim Finance Director</t>
  </si>
  <si>
    <t>11/22/2023</t>
  </si>
  <si>
    <t>11/4/2023</t>
  </si>
  <si>
    <t>11/29/2023</t>
  </si>
  <si>
    <t>5/1/2024</t>
  </si>
  <si>
    <t>3/11/2024</t>
  </si>
  <si>
    <t>11/30/2023</t>
  </si>
  <si>
    <t>4/18/2024</t>
  </si>
  <si>
    <t>2/26/2024</t>
  </si>
  <si>
    <t>10/24/2023</t>
  </si>
  <si>
    <t>11/10/2023</t>
  </si>
  <si>
    <t>11/8/2023</t>
  </si>
  <si>
    <t>12/1/2023</t>
  </si>
  <si>
    <t>2/23/2024</t>
  </si>
  <si>
    <t>11/21/2023</t>
  </si>
  <si>
    <t>10/31/2023</t>
  </si>
  <si>
    <t>1/3/2024</t>
  </si>
  <si>
    <t>1/24/2024</t>
  </si>
  <si>
    <t>12/27/2023</t>
  </si>
  <si>
    <t>11/28/2023</t>
  </si>
  <si>
    <t>12/19/2023</t>
  </si>
  <si>
    <t>12/29/2023</t>
  </si>
  <si>
    <t>5/11/2024</t>
  </si>
  <si>
    <t>1/26/2024</t>
  </si>
  <si>
    <t>11/17/2023</t>
  </si>
  <si>
    <t>5/3/2024</t>
  </si>
  <si>
    <t>1/12/2024</t>
  </si>
  <si>
    <t>10/27/2023</t>
  </si>
  <si>
    <t>6/26/2024</t>
  </si>
  <si>
    <t>3/21/2024</t>
  </si>
  <si>
    <t>7/5/2024</t>
  </si>
  <si>
    <t>11/16/2023</t>
  </si>
  <si>
    <t>10/29/2023</t>
  </si>
  <si>
    <t>12/28/2023</t>
  </si>
  <si>
    <t>1/19/2024</t>
  </si>
  <si>
    <t>5/6/2024</t>
  </si>
  <si>
    <t>1/30/2024</t>
  </si>
  <si>
    <t>1/11/2024</t>
  </si>
  <si>
    <t>10/30/2023</t>
  </si>
  <si>
    <t>11/13/2023</t>
  </si>
  <si>
    <t>3/15/2024</t>
  </si>
  <si>
    <t>6/30/2024</t>
  </si>
  <si>
    <t>11/15/2023</t>
  </si>
  <si>
    <t>1/25/2024</t>
  </si>
  <si>
    <t>11/18/2023</t>
  </si>
  <si>
    <t>10/11/2023</t>
  </si>
  <si>
    <t>2/25/2024</t>
  </si>
  <si>
    <t>4/12/2024</t>
  </si>
  <si>
    <t>11/3/2023</t>
  </si>
  <si>
    <t>2/29/2024</t>
  </si>
  <si>
    <t>3/30/2024</t>
  </si>
  <si>
    <t>2/16/2024</t>
  </si>
  <si>
    <t>7/28/2024</t>
  </si>
  <si>
    <t>2/2/2024</t>
  </si>
  <si>
    <t>6/3/2024</t>
  </si>
  <si>
    <t>1/31/2024</t>
  </si>
  <si>
    <t>12/22/2023</t>
  </si>
  <si>
    <t>11/24/2023</t>
  </si>
  <si>
    <t>252-940-6158</t>
  </si>
  <si>
    <t>252-794-6121</t>
  </si>
  <si>
    <t>704-484-4985</t>
  </si>
  <si>
    <t>910-640-6611</t>
  </si>
  <si>
    <t>910-296-2104</t>
  </si>
  <si>
    <t>704-866-3130</t>
  </si>
  <si>
    <t>336-641-3949</t>
  </si>
  <si>
    <t>252-926-4192</t>
  </si>
  <si>
    <t>252-559-6464</t>
  </si>
  <si>
    <t>828-537-1397</t>
  </si>
  <si>
    <t>910-576-4221 ext.1303</t>
  </si>
  <si>
    <t>910-798-7134</t>
  </si>
  <si>
    <t>910-455-3404</t>
  </si>
  <si>
    <t>336-401-8251</t>
  </si>
  <si>
    <t>828-884-3104 ext.110</t>
  </si>
  <si>
    <t>252-796-1371</t>
  </si>
  <si>
    <t>828-265-8000</t>
  </si>
  <si>
    <t>919-731-1423</t>
  </si>
  <si>
    <t>FINANCE@ASHECOUNTY.GOV</t>
  </si>
  <si>
    <t>david.scarborough@bertie.nc.gov</t>
  </si>
  <si>
    <t>Melissa.Moore@buncombecounty.org</t>
  </si>
  <si>
    <t>sherrie.geer@clevelandcountync.gov</t>
  </si>
  <si>
    <t>hwoody@columbusco.org</t>
  </si>
  <si>
    <t>sandra.hill@currituckcountync.gov</t>
  </si>
  <si>
    <t>davec@darenc.gov</t>
  </si>
  <si>
    <t>tmurray@dconc.org</t>
  </si>
  <si>
    <t>lindabarfield@edgecombeco.com</t>
  </si>
  <si>
    <t>kyle.sutherland@gastongov.com</t>
  </si>
  <si>
    <t>wroberson@gatescountync.gov</t>
  </si>
  <si>
    <t>dwarn@guilfordcountync.gov</t>
  </si>
  <si>
    <t>kristian.owen@haywoodcountync.gov</t>
  </si>
  <si>
    <t>gferguson@hokecounty.org</t>
  </si>
  <si>
    <t>sandra.barss@lenoircountync.gov</t>
  </si>
  <si>
    <t>Mavis.Parsley@mitchellcountync.gov</t>
  </si>
  <si>
    <t>finance@montgomerycountync.gov</t>
  </si>
  <si>
    <t>Pam_Wortham@onslowcountync.gov</t>
  </si>
  <si>
    <t>smalls@co.pasquotank.nc.us</t>
  </si>
  <si>
    <t>cary.garmer@richmondnc.com</t>
  </si>
  <si>
    <t>carla.kinlaw@robesoncountync.gov</t>
  </si>
  <si>
    <t>Paula.Roach@rutherfordcountync.gov</t>
  </si>
  <si>
    <t>meagan.oneal@transylvaniacounty.org</t>
  </si>
  <si>
    <t>mailto:kgerhart@tyrrellcounty.net</t>
  </si>
  <si>
    <t>swilliams@vancecounty.org</t>
  </si>
  <si>
    <t>patrick.flanary@wake.gov</t>
  </si>
  <si>
    <t>nikkidickerson@warrencountync.gov</t>
  </si>
  <si>
    <t>deron.geouque@watgov.org</t>
  </si>
  <si>
    <t>Angie.Boswell@Waynegov.com</t>
  </si>
  <si>
    <t>alandrau@wilsoncountync.gov</t>
  </si>
  <si>
    <t>brandi.burleson@yanceycountync.gov</t>
  </si>
  <si>
    <t>Were there any issues or other matters presented to the Governing Board regarding internal controls (not already listed as a material weakness or significant deficiency?</t>
  </si>
  <si>
    <t>7/1/2023</t>
  </si>
  <si>
    <t>3/18/2024</t>
  </si>
  <si>
    <t>1/6/2024</t>
  </si>
  <si>
    <t>5/8/2024</t>
  </si>
  <si>
    <t>1/16/2024</t>
  </si>
  <si>
    <t>1/2/2024</t>
  </si>
  <si>
    <t>12/4/2023</t>
  </si>
  <si>
    <t>12/15/2023</t>
  </si>
  <si>
    <t>3/4/2024</t>
  </si>
  <si>
    <t>1/4/2024</t>
  </si>
  <si>
    <t>3/19/2024</t>
  </si>
  <si>
    <t>2/19/2024</t>
  </si>
  <si>
    <t>2/5/2024</t>
  </si>
  <si>
    <t>1/8/2024</t>
  </si>
  <si>
    <t>5/23/2024</t>
  </si>
  <si>
    <t>5/15/2024</t>
  </si>
  <si>
    <t>7/15/2024</t>
  </si>
  <si>
    <t>7/16/2024</t>
  </si>
  <si>
    <t>5/14/2024</t>
  </si>
  <si>
    <t>3/13/2024</t>
  </si>
  <si>
    <t>12/5/2023</t>
  </si>
  <si>
    <t>1/17/2024</t>
  </si>
  <si>
    <t>12/21/2023</t>
  </si>
  <si>
    <t>4/15/2024</t>
  </si>
  <si>
    <t>4/10/2024</t>
  </si>
  <si>
    <t>2/12/2024</t>
  </si>
  <si>
    <t>2/20/2024</t>
  </si>
  <si>
    <t>8/26/2024</t>
  </si>
  <si>
    <t>8/5/2024</t>
  </si>
  <si>
    <t>2023-12-01</t>
  </si>
  <si>
    <t>2023-11-06</t>
  </si>
  <si>
    <t>2023-11-29</t>
  </si>
  <si>
    <t>2024-05-15</t>
  </si>
  <si>
    <t>2024-03-06</t>
  </si>
  <si>
    <t>2023-11-30</t>
  </si>
  <si>
    <t>2024-02-29</t>
  </si>
  <si>
    <t>2023-10-25</t>
  </si>
  <si>
    <t>2024-01-15</t>
  </si>
  <si>
    <t>2023-10-31</t>
  </si>
  <si>
    <t>2023-11-21</t>
  </si>
  <si>
    <t>2024-01-25</t>
  </si>
  <si>
    <t>2023-12-29</t>
  </si>
  <si>
    <t>2023-12-08</t>
  </si>
  <si>
    <t>2024-01-30</t>
  </si>
  <si>
    <t>2024-05-28</t>
  </si>
  <si>
    <t>2024-01-26</t>
  </si>
  <si>
    <t>2024-05-08</t>
  </si>
  <si>
    <t>2024-01-19</t>
  </si>
  <si>
    <t>2023-10-27</t>
  </si>
  <si>
    <t>2023-11-01</t>
  </si>
  <si>
    <t>2024-06-28</t>
  </si>
  <si>
    <t>2024-03-29</t>
  </si>
  <si>
    <t>2024-07-10</t>
  </si>
  <si>
    <t>2023-11-17</t>
  </si>
  <si>
    <t>2024-01-16</t>
  </si>
  <si>
    <t>2024-05-12</t>
  </si>
  <si>
    <t>2024-01-11</t>
  </si>
  <si>
    <t>2023-11-16</t>
  </si>
  <si>
    <t>2023-11-22</t>
  </si>
  <si>
    <t>2024-04-08</t>
  </si>
  <si>
    <t>2024-07-23</t>
  </si>
  <si>
    <t>2023-10-30</t>
  </si>
  <si>
    <t>2024-02-28</t>
  </si>
  <si>
    <t>2024-04-12</t>
  </si>
  <si>
    <t>2023-11-09</t>
  </si>
  <si>
    <t>2024-04-03</t>
  </si>
  <si>
    <t>2023-10-13</t>
  </si>
  <si>
    <t>2024-02-21</t>
  </si>
  <si>
    <t>2024-08-07</t>
  </si>
  <si>
    <t>2024-02-02</t>
  </si>
  <si>
    <t>2024-06-06</t>
  </si>
  <si>
    <t>2023-11-28</t>
  </si>
  <si>
    <t>2024-06-26</t>
  </si>
  <si>
    <t>2024-02-09</t>
  </si>
  <si>
    <t>2023-12-21</t>
  </si>
  <si>
    <t>2023-11-24</t>
  </si>
  <si>
    <t>Was the finance officer or interim finance officer bonded pursuant to G.S. 159-29 which requires that the finance officer give a true accounting and faithful performance bond in an amount not less than the greater of (1) $50,000 or (2) an amount equal to</t>
  </si>
  <si>
    <t>Does the unit have a self-insurance fund?</t>
  </si>
  <si>
    <t>Does the Unit have a non-state administrered pension plan?</t>
  </si>
  <si>
    <t>Please list the amount of ARPA funds expended in total this fiscal year for non-capital purposes.  Enter "zero" if no ARPA funds expended for this fiscal year for non-capital purposes.</t>
  </si>
  <si>
    <t>Transfers from General Fund to Water and Sewer Fund (Enter as positive.)</t>
  </si>
  <si>
    <t>Transfers from Water and Sewer to General Fund. (Enter as positive.)</t>
  </si>
  <si>
    <t>Amount transferred from the Water and Sewer Fund to a Water and Sewer Capital Project Fund</t>
  </si>
  <si>
    <t>If the answer to 1059 is "No" then was the unit without a board-appointed interim or permanent finance officer for more than 2 weeks at any time in the fiscal year? (Note:  Please include a noncompliance finding related to GS 159-24, GS 159-25(a)(2) or GS</t>
  </si>
  <si>
    <t>What date was the audit report submitted to the LGC?  (Note audit reports are due four months after fiscal year end regardless of the contract submission date.)  Enter as "MM/DD/YYYY"</t>
  </si>
  <si>
    <t>3/6/2024</t>
  </si>
  <si>
    <t>10/25/2023</t>
  </si>
  <si>
    <t>1/15/2024</t>
  </si>
  <si>
    <t>12/8/2023</t>
  </si>
  <si>
    <t>5/17/2024</t>
  </si>
  <si>
    <t>6/28/2024</t>
  </si>
  <si>
    <t>3/29/2024</t>
  </si>
  <si>
    <t>7/10/2024</t>
  </si>
  <si>
    <t>5/13/2024</t>
  </si>
  <si>
    <t>4/8/2024</t>
  </si>
  <si>
    <t>2/28/2024</t>
  </si>
  <si>
    <t>10/13/2023</t>
  </si>
  <si>
    <t>8/7/2024</t>
  </si>
  <si>
    <t>6/6/2024</t>
  </si>
  <si>
    <t>2/9/2024</t>
  </si>
  <si>
    <t>PY1</t>
  </si>
  <si>
    <t>Audit Year 2023</t>
  </si>
  <si>
    <t>PY2</t>
  </si>
  <si>
    <t>Audit Year 2022</t>
  </si>
  <si>
    <t xml:space="preserve">Was a  Management Letter issued by the auditor to the unit of government? </t>
  </si>
  <si>
    <r>
      <t xml:space="preserve">The Counties listed in cell H219 and municipalities within these counties are scheduled to revalue property listing by 1/1/2025 according to the Dept. of Revenue records.  Please indicate if you expect your revaluation to: 
Enter  "20" for increase, 
            "21" for decrease, 
            "22" for no change,
            "23" if this question is not applicable
</t>
    </r>
    <r>
      <rPr>
        <b/>
        <sz val="11"/>
        <color theme="1"/>
        <rFont val="Calibri"/>
        <family val="2"/>
        <scheme val="minor"/>
      </rPr>
      <t>Select from drop list.</t>
    </r>
  </si>
  <si>
    <t>Beaufort, Buncombe, Caldwell, Carteret, Chatham, Cleveland, Cumberland, Dare, Davie, Duplin, Durham, Forsyth, Gates, Haywood, Jackson, Johnston, Lenior, Martin, New Hanover, Orange, Person, Polk, Stanly, Stokes, Surry, Transylvania, Tyrrell, Union, Warren, Wayne, Wilkes</t>
  </si>
  <si>
    <t xml:space="preserve">                        -  </t>
  </si>
  <si>
    <t xml:space="preserve">                            -  </t>
  </si>
  <si>
    <t xml:space="preserve">                         -  </t>
  </si>
  <si>
    <t>CCH Batch Total</t>
  </si>
  <si>
    <t>Version Date 8/31/2024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</si>
</sst>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00_);\(0.0000\)"/>
    <numFmt numFmtId="183" formatCode="_(* #,##0.000_);_(* \(#,##0.000\);_(* &quot;-&quot;??_);_(@_)"/>
    <numFmt numFmtId="184" formatCode="[&lt;=9999999]###\-####;\(###\)\ ###\-####"/>
    <numFmt numFmtId="185" formatCode="###\-###\-####"/>
    <numFmt numFmtId="186" formatCode="@*."/>
    <numFmt numFmtId="187" formatCode="#,##0.0_);[Red]\(#,##0.0\)"/>
    <numFmt numFmtId="188" formatCode="0.00_);[Red]\(0.00\)"/>
  </numFmts>
  <fonts count="187"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sz val="10"/>
      <color rgb="FF000000"/>
      <name val="Times New Roman"/>
      <family val="1"/>
    </font>
    <font>
      <sz val="10"/>
      <name val="Arial"/>
      <family val="2"/>
    </font>
    <font>
      <sz val="8"/>
      <name val="Arial"/>
      <family val="2"/>
    </font>
    <font>
      <sz val="12"/>
      <name val="Garamond"/>
      <family val="1"/>
    </font>
    <font>
      <sz val="10"/>
      <color rgb="FF000000"/>
      <name val="Times New Roman"/>
      <family val="1"/>
    </font>
    <font>
      <i/>
      <sz val="14"/>
      <color theme="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4"/>
      <name val="Calibri"/>
      <family val="2"/>
      <scheme val="minor"/>
    </font>
    <font>
      <b/>
      <sz val="12"/>
      <name val="Calibri"/>
      <family val="2"/>
      <scheme val="minor"/>
    </font>
    <font>
      <sz val="11"/>
      <color theme="1"/>
      <name val="Century Schoolbook"/>
      <family val="1"/>
    </font>
    <font>
      <i/>
      <sz val="14"/>
      <name val="Calibri"/>
      <family val="2"/>
      <scheme val="minor"/>
    </font>
    <font>
      <sz val="14"/>
      <color theme="0"/>
      <name val="Calibri"/>
      <family val="2"/>
      <scheme val="minor"/>
    </font>
    <font>
      <sz val="10"/>
      <name val="Arial"/>
      <family val="2"/>
    </font>
    <font>
      <b/>
      <sz val="16"/>
      <color theme="0"/>
      <name val="Calibri"/>
      <family val="2"/>
      <scheme val="minor"/>
    </font>
    <font>
      <sz val="10.5"/>
      <color theme="1"/>
      <name val="Calibri"/>
      <family val="2"/>
      <scheme val="minor"/>
    </font>
    <font>
      <b/>
      <u/>
      <sz val="11"/>
      <color theme="1"/>
      <name val="Calibri"/>
      <family val="2"/>
      <scheme val="minor"/>
    </font>
    <font>
      <b/>
      <sz val="11"/>
      <color rgb="FF993300"/>
      <name val="Calibri"/>
      <family val="2"/>
      <scheme val="minor"/>
    </font>
    <font>
      <b/>
      <i/>
      <sz val="12"/>
      <color rgb="FFFF0000"/>
      <name val="Cambria"/>
      <family val="1"/>
    </font>
    <font>
      <sz val="11"/>
      <color theme="9" tint="-0.499984740745262"/>
      <name val="Calibri"/>
      <family val="2"/>
      <scheme val="minor"/>
    </font>
    <font>
      <b/>
      <sz val="14"/>
      <color rgb="FFFF0000"/>
      <name val="Calibri"/>
      <family val="2"/>
      <scheme val="minor"/>
    </font>
    <font>
      <b/>
      <i/>
      <sz val="11"/>
      <name val="Calibri"/>
      <family val="2"/>
      <scheme val="minor"/>
    </font>
    <font>
      <b/>
      <i/>
      <sz val="12"/>
      <color theme="1"/>
      <name val="Calibri"/>
      <family val="2"/>
      <scheme val="minor"/>
    </font>
    <font>
      <b/>
      <u/>
      <sz val="14"/>
      <color theme="1"/>
      <name val="Calibri"/>
      <family val="2"/>
      <scheme val="minor"/>
    </font>
    <font>
      <b/>
      <u/>
      <sz val="11"/>
      <color theme="10"/>
      <name val="Calibri"/>
      <family val="2"/>
      <scheme val="minor"/>
    </font>
    <font>
      <b/>
      <i/>
      <u/>
      <sz val="12"/>
      <name val="Cambria"/>
      <family val="1"/>
    </font>
  </fonts>
  <fills count="85">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DCFDD3"/>
        <bgColor indexed="64"/>
      </patternFill>
    </fill>
    <fill>
      <patternFill patternType="solid">
        <fgColor theme="9" tint="0.39997558519241921"/>
        <bgColor indexed="64"/>
      </patternFill>
    </fill>
    <fill>
      <patternFill patternType="gray125">
        <fgColor auto="1"/>
        <bgColor auto="1"/>
      </patternFill>
    </fill>
    <fill>
      <patternFill patternType="solid">
        <fgColor rgb="FF92D050"/>
        <bgColor indexed="64"/>
      </patternFill>
    </fill>
    <fill>
      <patternFill patternType="solid">
        <fgColor theme="8" tint="0.79998168889431442"/>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theme="0"/>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s>
  <cellStyleXfs count="31737">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6" fillId="0" borderId="0"/>
    <xf numFmtId="0" fontId="66" fillId="0" borderId="0"/>
    <xf numFmtId="0" fontId="65" fillId="0" borderId="0"/>
    <xf numFmtId="0" fontId="66" fillId="0" borderId="0"/>
    <xf numFmtId="0" fontId="66" fillId="0" borderId="0"/>
    <xf numFmtId="0" fontId="67" fillId="0" borderId="0"/>
    <xf numFmtId="0" fontId="66"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7"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5"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65" fillId="0" borderId="0"/>
    <xf numFmtId="0" fontId="65" fillId="0" borderId="0"/>
    <xf numFmtId="0" fontId="65" fillId="0" borderId="0"/>
    <xf numFmtId="0" fontId="11" fillId="0" borderId="0"/>
    <xf numFmtId="0" fontId="65"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3" fillId="0" borderId="0"/>
    <xf numFmtId="0" fontId="33" fillId="0" borderId="0"/>
    <xf numFmtId="0" fontId="21" fillId="0" borderId="0"/>
    <xf numFmtId="0" fontId="33" fillId="0" borderId="0"/>
    <xf numFmtId="0" fontId="33" fillId="0" borderId="0"/>
    <xf numFmtId="0" fontId="33" fillId="0" borderId="0"/>
    <xf numFmtId="0" fontId="65"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3" fillId="0" borderId="0"/>
    <xf numFmtId="0" fontId="33" fillId="0" borderId="0"/>
    <xf numFmtId="0" fontId="33" fillId="0" borderId="0"/>
    <xf numFmtId="0" fontId="33" fillId="0" borderId="0"/>
    <xf numFmtId="0" fontId="33" fillId="0" borderId="0"/>
    <xf numFmtId="0" fontId="11" fillId="0" borderId="0"/>
    <xf numFmtId="0" fontId="67" fillId="0" borderId="0"/>
    <xf numFmtId="0" fontId="67" fillId="0" borderId="0"/>
    <xf numFmtId="0" fontId="67" fillId="0" borderId="0"/>
    <xf numFmtId="0" fontId="67"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67" fillId="0" borderId="0"/>
    <xf numFmtId="0" fontId="33" fillId="0" borderId="0"/>
    <xf numFmtId="0" fontId="33" fillId="0" borderId="0"/>
    <xf numFmtId="0" fontId="33" fillId="0" borderId="0"/>
    <xf numFmtId="0" fontId="33"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6"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7"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6" fillId="0" borderId="0"/>
    <xf numFmtId="0" fontId="19" fillId="0" borderId="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0" fillId="0" borderId="47" applyNumberFormat="0" applyFill="0" applyAlignment="0" applyProtection="0"/>
    <xf numFmtId="0" fontId="71" fillId="0" borderId="48" applyNumberFormat="0" applyFill="0" applyAlignment="0" applyProtection="0"/>
    <xf numFmtId="0" fontId="72" fillId="0" borderId="49" applyNumberFormat="0" applyFill="0" applyAlignment="0" applyProtection="0"/>
    <xf numFmtId="0" fontId="72" fillId="0" borderId="0" applyNumberFormat="0" applyFill="0" applyBorder="0" applyAlignment="0" applyProtection="0"/>
    <xf numFmtId="0" fontId="73" fillId="37" borderId="0" applyNumberFormat="0" applyBorder="0" applyAlignment="0" applyProtection="0"/>
    <xf numFmtId="0" fontId="74" fillId="38" borderId="0" applyNumberFormat="0" applyBorder="0" applyAlignment="0" applyProtection="0"/>
    <xf numFmtId="0" fontId="75" fillId="40" borderId="50" applyNumberFormat="0" applyAlignment="0" applyProtection="0"/>
    <xf numFmtId="0" fontId="76" fillId="41" borderId="51" applyNumberFormat="0" applyAlignment="0" applyProtection="0"/>
    <xf numFmtId="0" fontId="77" fillId="41" borderId="50" applyNumberFormat="0" applyAlignment="0" applyProtection="0"/>
    <xf numFmtId="0" fontId="78" fillId="0" borderId="52" applyNumberFormat="0" applyFill="0" applyAlignment="0" applyProtection="0"/>
    <xf numFmtId="0" fontId="79" fillId="42" borderId="53" applyNumberFormat="0" applyAlignment="0" applyProtection="0"/>
    <xf numFmtId="0" fontId="68" fillId="0" borderId="0" applyNumberFormat="0" applyFill="0" applyBorder="0" applyAlignment="0" applyProtection="0"/>
    <xf numFmtId="0" fontId="39" fillId="0" borderId="55" applyNumberFormat="0" applyFill="0" applyAlignment="0" applyProtection="0"/>
    <xf numFmtId="0" fontId="80"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0" fillId="47" borderId="0" applyNumberFormat="0" applyBorder="0" applyAlignment="0" applyProtection="0"/>
    <xf numFmtId="0" fontId="80" fillId="48" borderId="0" applyNumberFormat="0" applyBorder="0" applyAlignment="0" applyProtection="0"/>
    <xf numFmtId="0" fontId="80" fillId="49"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9" fillId="39" borderId="0" applyNumberFormat="0" applyBorder="0" applyAlignment="0" applyProtection="0"/>
    <xf numFmtId="0" fontId="33" fillId="43" borderId="54" applyNumberFormat="0" applyFont="0" applyAlignment="0" applyProtection="0"/>
    <xf numFmtId="40" fontId="82" fillId="0" borderId="17">
      <alignment horizontal="right"/>
    </xf>
    <xf numFmtId="0" fontId="83" fillId="0" borderId="0">
      <alignment horizontal="left"/>
    </xf>
    <xf numFmtId="49" fontId="11" fillId="0" borderId="0"/>
    <xf numFmtId="0" fontId="83" fillId="0" borderId="0">
      <alignment horizontal="left"/>
    </xf>
    <xf numFmtId="177" fontId="82" fillId="0" borderId="17">
      <alignment horizontal="right"/>
    </xf>
    <xf numFmtId="49" fontId="82"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1" fillId="50" borderId="0">
      <alignment horizontal="right" vertical="center"/>
    </xf>
    <xf numFmtId="49" fontId="81" fillId="50" borderId="0">
      <alignment horizontal="left" vertical="center"/>
    </xf>
    <xf numFmtId="49" fontId="81" fillId="50" borderId="0">
      <alignment horizontal="center" vertical="center"/>
    </xf>
    <xf numFmtId="49" fontId="81" fillId="50" borderId="0">
      <alignment horizontal="center" vertical="center"/>
    </xf>
    <xf numFmtId="49" fontId="81" fillId="50" borderId="0">
      <alignment horizontal="right" vertical="center"/>
    </xf>
    <xf numFmtId="40" fontId="81" fillId="50" borderId="0">
      <alignment horizontal="right"/>
    </xf>
    <xf numFmtId="49" fontId="81"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1" fillId="50" borderId="0">
      <alignment horizontal="center" vertical="center"/>
    </xf>
    <xf numFmtId="49" fontId="81" fillId="50" borderId="0">
      <alignment horizontal="center" vertical="center"/>
    </xf>
    <xf numFmtId="177" fontId="81" fillId="50" borderId="0">
      <alignment horizontal="center" vertical="center"/>
    </xf>
    <xf numFmtId="49" fontId="81" fillId="50" borderId="0">
      <alignment horizontal="right"/>
    </xf>
    <xf numFmtId="40" fontId="82" fillId="0" borderId="19">
      <alignment horizontal="right"/>
    </xf>
    <xf numFmtId="0" fontId="83" fillId="0" borderId="0">
      <alignment horizontal="left"/>
    </xf>
    <xf numFmtId="49" fontId="11" fillId="0" borderId="0"/>
    <xf numFmtId="0" fontId="83" fillId="0" borderId="0">
      <alignment horizontal="left"/>
    </xf>
    <xf numFmtId="177" fontId="82" fillId="0" borderId="19">
      <alignment horizontal="right"/>
    </xf>
    <xf numFmtId="49" fontId="82" fillId="0" borderId="0">
      <alignment horizontal="right"/>
    </xf>
    <xf numFmtId="49" fontId="11" fillId="0" borderId="0"/>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2" fillId="51" borderId="0">
      <alignment horizontal="center" vertical="center"/>
    </xf>
    <xf numFmtId="49" fontId="11" fillId="51" borderId="0">
      <alignment horizontal="left" vertical="center"/>
    </xf>
    <xf numFmtId="49" fontId="82" fillId="51" borderId="0">
      <alignment horizontal="center" vertical="center"/>
    </xf>
    <xf numFmtId="0" fontId="82" fillId="52" borderId="0">
      <alignment horizontal="left"/>
    </xf>
    <xf numFmtId="49" fontId="11" fillId="0" borderId="0"/>
    <xf numFmtId="0" fontId="82" fillId="52" borderId="0">
      <alignment horizontal="left"/>
    </xf>
    <xf numFmtId="40" fontId="82" fillId="0" borderId="0">
      <alignment horizontal="right"/>
    </xf>
    <xf numFmtId="49" fontId="81" fillId="50" borderId="0"/>
    <xf numFmtId="49" fontId="81" fillId="50" borderId="0"/>
    <xf numFmtId="49" fontId="11" fillId="0" borderId="0"/>
    <xf numFmtId="0" fontId="84" fillId="53" borderId="0" applyFont="0" applyFill="0">
      <alignment horizontal="left" vertical="top" wrapText="1"/>
    </xf>
    <xf numFmtId="40" fontId="84" fillId="0" borderId="0"/>
    <xf numFmtId="40" fontId="84" fillId="0" borderId="0"/>
    <xf numFmtId="0" fontId="84" fillId="0" borderId="0">
      <alignment horizontal="left"/>
    </xf>
    <xf numFmtId="0" fontId="84" fillId="0" borderId="0">
      <alignment horizontal="center"/>
    </xf>
    <xf numFmtId="0" fontId="85" fillId="0" borderId="0">
      <alignment horizontal="center"/>
    </xf>
    <xf numFmtId="0" fontId="86" fillId="50" borderId="0">
      <alignment horizontal="left"/>
    </xf>
    <xf numFmtId="0" fontId="86" fillId="50" borderId="0">
      <alignment horizontal="left"/>
    </xf>
    <xf numFmtId="0" fontId="85" fillId="0" borderId="0">
      <alignment horizontal="center"/>
    </xf>
    <xf numFmtId="40" fontId="87" fillId="0" borderId="18"/>
    <xf numFmtId="40" fontId="87" fillId="0" borderId="18"/>
    <xf numFmtId="0" fontId="87" fillId="0" borderId="0"/>
    <xf numFmtId="0" fontId="87" fillId="0" borderId="0"/>
    <xf numFmtId="0" fontId="85" fillId="0" borderId="0">
      <alignment horizontal="center"/>
    </xf>
    <xf numFmtId="0" fontId="88" fillId="54" borderId="0">
      <alignment horizontal="left"/>
    </xf>
    <xf numFmtId="0" fontId="88" fillId="54" borderId="0">
      <alignment horizontal="left"/>
    </xf>
    <xf numFmtId="40" fontId="82" fillId="0" borderId="0">
      <alignment horizontal="right"/>
    </xf>
    <xf numFmtId="0" fontId="83" fillId="0" borderId="0">
      <alignment horizontal="left"/>
    </xf>
    <xf numFmtId="49" fontId="11" fillId="0" borderId="0"/>
    <xf numFmtId="0" fontId="83" fillId="0" borderId="0">
      <alignment horizontal="left"/>
    </xf>
    <xf numFmtId="177" fontId="82" fillId="0" borderId="0">
      <alignment horizontal="right"/>
    </xf>
    <xf numFmtId="49" fontId="82" fillId="0" borderId="0" applyBorder="0">
      <alignment horizontal="right"/>
    </xf>
    <xf numFmtId="0" fontId="11" fillId="0" borderId="0"/>
    <xf numFmtId="49" fontId="90" fillId="53" borderId="0">
      <alignment horizontal="left"/>
    </xf>
    <xf numFmtId="49" fontId="90" fillId="53" borderId="0">
      <alignment horizontal="left"/>
    </xf>
    <xf numFmtId="0" fontId="91" fillId="53" borderId="0">
      <alignment horizontal="left"/>
    </xf>
    <xf numFmtId="178" fontId="91" fillId="53" borderId="0">
      <alignment horizontal="left"/>
    </xf>
    <xf numFmtId="40" fontId="82" fillId="0" borderId="0">
      <alignment horizontal="right"/>
    </xf>
    <xf numFmtId="49" fontId="92" fillId="53" borderId="0">
      <alignment horizontal="left"/>
    </xf>
    <xf numFmtId="49" fontId="92" fillId="53" borderId="0">
      <alignment horizontal="left"/>
    </xf>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0" fontId="82" fillId="0" borderId="14">
      <alignment horizontal="right"/>
    </xf>
    <xf numFmtId="0" fontId="82" fillId="52" borderId="0">
      <alignment horizontal="left"/>
    </xf>
    <xf numFmtId="49" fontId="11" fillId="0" borderId="0"/>
    <xf numFmtId="0" fontId="82" fillId="52" borderId="0">
      <alignment horizontal="left"/>
    </xf>
    <xf numFmtId="177" fontId="82" fillId="0" borderId="14">
      <alignment horizontal="right"/>
    </xf>
    <xf numFmtId="49" fontId="82" fillId="0" borderId="0">
      <alignment horizontal="right"/>
    </xf>
    <xf numFmtId="0" fontId="87" fillId="0" borderId="0"/>
    <xf numFmtId="40" fontId="84" fillId="0" borderId="18"/>
    <xf numFmtId="40" fontId="84" fillId="0" borderId="18"/>
    <xf numFmtId="0" fontId="84" fillId="0" borderId="0"/>
    <xf numFmtId="0" fontId="84" fillId="0" borderId="0"/>
    <xf numFmtId="40" fontId="84" fillId="0" borderId="0"/>
    <xf numFmtId="179" fontId="84" fillId="0" borderId="0"/>
    <xf numFmtId="40" fontId="84" fillId="0" borderId="0"/>
    <xf numFmtId="0" fontId="84" fillId="0" borderId="0"/>
    <xf numFmtId="0" fontId="84" fillId="0" borderId="0"/>
    <xf numFmtId="40" fontId="82" fillId="0" borderId="18">
      <alignment horizontal="right"/>
    </xf>
    <xf numFmtId="49" fontId="82" fillId="0" borderId="0">
      <alignment horizontal="left"/>
    </xf>
    <xf numFmtId="49" fontId="11" fillId="0" borderId="0"/>
    <xf numFmtId="49" fontId="82" fillId="0" borderId="0">
      <alignment horizontal="left"/>
    </xf>
    <xf numFmtId="177" fontId="82" fillId="0" borderId="18">
      <alignment horizontal="right"/>
    </xf>
    <xf numFmtId="49" fontId="82"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3" borderId="54"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93" fillId="0" borderId="0" applyNumberFormat="0" applyFill="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7" borderId="0" applyNumberFormat="0" applyBorder="0" applyAlignment="0" applyProtection="0"/>
    <xf numFmtId="0" fontId="33" fillId="68" borderId="0" applyNumberFormat="0" applyBorder="0" applyAlignment="0" applyProtection="0"/>
    <xf numFmtId="0" fontId="33" fillId="70" borderId="0" applyNumberFormat="0" applyBorder="0" applyAlignment="0" applyProtection="0"/>
    <xf numFmtId="0" fontId="33" fillId="71"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70"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71" borderId="0" applyNumberFormat="0" applyBorder="0" applyAlignment="0" applyProtection="0"/>
    <xf numFmtId="0" fontId="80" fillId="57" borderId="0" applyNumberFormat="0" applyBorder="0" applyAlignment="0" applyProtection="0"/>
    <xf numFmtId="0" fontId="94" fillId="57" borderId="0" applyNumberFormat="0" applyBorder="0" applyAlignment="0" applyProtection="0"/>
    <xf numFmtId="0" fontId="80" fillId="60" borderId="0" applyNumberFormat="0" applyBorder="0" applyAlignment="0" applyProtection="0"/>
    <xf numFmtId="0" fontId="94" fillId="60" borderId="0" applyNumberFormat="0" applyBorder="0" applyAlignment="0" applyProtection="0"/>
    <xf numFmtId="0" fontId="80" fillId="63" borderId="0" applyNumberFormat="0" applyBorder="0" applyAlignment="0" applyProtection="0"/>
    <xf numFmtId="0" fontId="94" fillId="63" borderId="0" applyNumberFormat="0" applyBorder="0" applyAlignment="0" applyProtection="0"/>
    <xf numFmtId="0" fontId="80" fillId="66" borderId="0" applyNumberFormat="0" applyBorder="0" applyAlignment="0" applyProtection="0"/>
    <xf numFmtId="0" fontId="94" fillId="66" borderId="0" applyNumberFormat="0" applyBorder="0" applyAlignment="0" applyProtection="0"/>
    <xf numFmtId="0" fontId="80" fillId="69" borderId="0" applyNumberFormat="0" applyBorder="0" applyAlignment="0" applyProtection="0"/>
    <xf numFmtId="0" fontId="94" fillId="69" borderId="0" applyNumberFormat="0" applyBorder="0" applyAlignment="0" applyProtection="0"/>
    <xf numFmtId="0" fontId="80" fillId="72" borderId="0" applyNumberFormat="0" applyBorder="0" applyAlignment="0" applyProtection="0"/>
    <xf numFmtId="0" fontId="94" fillId="72"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7" borderId="0" applyNumberFormat="0" applyBorder="0" applyAlignment="0" applyProtection="0"/>
    <xf numFmtId="0" fontId="94" fillId="47"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5" fillId="38" borderId="0" applyNumberFormat="0" applyBorder="0" applyAlignment="0" applyProtection="0"/>
    <xf numFmtId="0" fontId="96" fillId="41" borderId="50" applyNumberFormat="0" applyAlignment="0" applyProtection="0"/>
    <xf numFmtId="0" fontId="97"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8" fillId="0" borderId="0" applyNumberFormat="0" applyFill="0" applyBorder="0" applyAlignment="0" applyProtection="0"/>
    <xf numFmtId="0" fontId="99" fillId="37" borderId="0" applyNumberFormat="0" applyBorder="0" applyAlignment="0" applyProtection="0"/>
    <xf numFmtId="0" fontId="100" fillId="0" borderId="47" applyNumberFormat="0" applyFill="0" applyAlignment="0" applyProtection="0"/>
    <xf numFmtId="0" fontId="101"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2" fillId="0" borderId="49" applyNumberFormat="0" applyFill="0" applyAlignment="0" applyProtection="0"/>
    <xf numFmtId="0" fontId="102" fillId="0" borderId="0" applyNumberFormat="0" applyFill="0" applyBorder="0" applyAlignment="0" applyProtection="0"/>
    <xf numFmtId="0" fontId="103" fillId="40" borderId="50" applyNumberFormat="0" applyAlignment="0" applyProtection="0"/>
    <xf numFmtId="0" fontId="104" fillId="0" borderId="52" applyNumberFormat="0" applyFill="0" applyAlignment="0" applyProtection="0"/>
    <xf numFmtId="0" fontId="105" fillId="39"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3" borderId="54" applyNumberFormat="0" applyFont="0" applyAlignment="0" applyProtection="0"/>
    <xf numFmtId="0" fontId="106" fillId="41" borderId="51" applyNumberFormat="0" applyAlignment="0" applyProtection="0"/>
    <xf numFmtId="9" fontId="6" fillId="0" borderId="0" applyFont="0" applyFill="0" applyBorder="0" applyAlignment="0" applyProtection="0"/>
    <xf numFmtId="0" fontId="107" fillId="0" borderId="0" applyNumberFormat="0" applyFill="0" applyBorder="0" applyAlignment="0" applyProtection="0"/>
    <xf numFmtId="0" fontId="108" fillId="0" borderId="55" applyNumberFormat="0" applyFill="0" applyAlignment="0" applyProtection="0"/>
    <xf numFmtId="0" fontId="109" fillId="0" borderId="0" applyNumberFormat="0" applyFill="0" applyBorder="0" applyAlignment="0" applyProtection="0"/>
    <xf numFmtId="0" fontId="112" fillId="0" borderId="0"/>
    <xf numFmtId="43" fontId="113" fillId="0" borderId="0" applyFont="0" applyFill="0" applyBorder="0" applyAlignment="0" applyProtection="0"/>
    <xf numFmtId="0" fontId="11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3" fillId="0" borderId="0"/>
    <xf numFmtId="0" fontId="11" fillId="0" borderId="0"/>
    <xf numFmtId="0" fontId="113"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2" fillId="0" borderId="0"/>
    <xf numFmtId="43" fontId="112" fillId="0" borderId="0" applyFont="0" applyFill="0" applyBorder="0" applyAlignment="0" applyProtection="0"/>
    <xf numFmtId="0" fontId="112" fillId="0" borderId="0"/>
    <xf numFmtId="0" fontId="123" fillId="0" borderId="0"/>
    <xf numFmtId="0" fontId="33" fillId="0" borderId="0"/>
    <xf numFmtId="0" fontId="123" fillId="0" borderId="0"/>
    <xf numFmtId="43" fontId="112" fillId="0" borderId="0" applyFont="0" applyFill="0" applyBorder="0" applyAlignment="0" applyProtection="0"/>
    <xf numFmtId="0" fontId="112" fillId="0" borderId="0"/>
    <xf numFmtId="0" fontId="112" fillId="0" borderId="0"/>
    <xf numFmtId="0" fontId="112" fillId="0" borderId="0"/>
    <xf numFmtId="0" fontId="124" fillId="0" borderId="0"/>
    <xf numFmtId="0" fontId="124" fillId="0" borderId="0"/>
    <xf numFmtId="0" fontId="125" fillId="0" borderId="0"/>
    <xf numFmtId="0" fontId="124" fillId="0" borderId="0"/>
    <xf numFmtId="0" fontId="123" fillId="0" borderId="0"/>
    <xf numFmtId="0" fontId="124" fillId="0" borderId="0"/>
    <xf numFmtId="0" fontId="12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3" fillId="0" borderId="0"/>
    <xf numFmtId="0" fontId="123" fillId="0" borderId="0"/>
    <xf numFmtId="0" fontId="124" fillId="0" borderId="0"/>
    <xf numFmtId="0" fontId="123" fillId="0" borderId="0"/>
    <xf numFmtId="0" fontId="123" fillId="0" borderId="0"/>
    <xf numFmtId="0" fontId="125" fillId="0" borderId="0"/>
    <xf numFmtId="0" fontId="123" fillId="5" borderId="7"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5" borderId="7"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0" borderId="0"/>
    <xf numFmtId="0" fontId="125" fillId="0" borderId="0"/>
    <xf numFmtId="0" fontId="123" fillId="0" borderId="0"/>
    <xf numFmtId="0" fontId="125" fillId="0" borderId="0"/>
    <xf numFmtId="0" fontId="123" fillId="0" borderId="0"/>
    <xf numFmtId="0" fontId="126"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6"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6"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3" borderId="54"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3" borderId="54"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2" fillId="0" borderId="0"/>
    <xf numFmtId="43" fontId="112" fillId="0" borderId="0" applyFont="0" applyFill="0" applyBorder="0" applyAlignment="0" applyProtection="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71" fillId="0" borderId="0"/>
    <xf numFmtId="0" fontId="174" fillId="0" borderId="0"/>
    <xf numFmtId="43" fontId="174" fillId="0" borderId="0" applyFont="0" applyFill="0" applyBorder="0" applyAlignment="0" applyProtection="0"/>
    <xf numFmtId="44" fontId="174"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cellStyleXfs>
  <cellXfs count="1030">
    <xf numFmtId="0" fontId="0" fillId="0" borderId="0" xfId="0"/>
    <xf numFmtId="164" fontId="39" fillId="0" borderId="0" xfId="439" applyNumberFormat="1" applyFont="1" applyFill="1" applyAlignment="1" applyProtection="1">
      <alignment horizontal="center" wrapText="1"/>
    </xf>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0" fillId="21" borderId="0" xfId="0" applyFont="1" applyFill="1" applyBorder="1" applyAlignment="1" applyProtection="1">
      <alignment horizontal="center" wrapText="1"/>
    </xf>
    <xf numFmtId="0" fontId="47"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0" fillId="25" borderId="0" xfId="0" applyFont="1" applyFill="1" applyAlignment="1" applyProtection="1">
      <alignment horizontal="center" wrapText="1"/>
    </xf>
    <xf numFmtId="0" fontId="51" fillId="21" borderId="10" xfId="0" applyFont="1" applyFill="1" applyBorder="1" applyAlignment="1" applyProtection="1">
      <alignment horizontal="center" wrapText="1"/>
    </xf>
    <xf numFmtId="0" fontId="51"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39" fillId="0" borderId="0" xfId="682" applyFont="1"/>
    <xf numFmtId="0" fontId="51" fillId="0" borderId="0" xfId="0" applyFont="1"/>
    <xf numFmtId="0" fontId="0"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xf>
    <xf numFmtId="0" fontId="55" fillId="0" borderId="0" xfId="0" applyNumberFormat="1" applyFont="1" applyFill="1" applyAlignment="1" applyProtection="1">
      <alignment vertical="center" wrapText="1"/>
    </xf>
    <xf numFmtId="0" fontId="39" fillId="0" borderId="0" xfId="0" applyNumberFormat="1" applyFont="1" applyFill="1" applyAlignment="1" applyProtection="1">
      <alignment horizontal="left" vertical="center" wrapText="1" indent="3"/>
    </xf>
    <xf numFmtId="0" fontId="53" fillId="0" borderId="0" xfId="0" applyNumberFormat="1" applyFont="1" applyFill="1" applyAlignment="1" applyProtection="1">
      <alignment vertical="center" wrapText="1"/>
    </xf>
    <xf numFmtId="0" fontId="53" fillId="0" borderId="0" xfId="0" applyNumberFormat="1" applyFont="1" applyFill="1" applyAlignment="1" applyProtection="1">
      <alignment horizontal="left" vertical="center" wrapText="1" indent="3"/>
    </xf>
    <xf numFmtId="0" fontId="53" fillId="0" borderId="14" xfId="0" applyNumberFormat="1" applyFont="1" applyFill="1" applyBorder="1" applyAlignment="1" applyProtection="1">
      <alignment horizontal="left" vertical="center" wrapText="1" indent="3"/>
    </xf>
    <xf numFmtId="0" fontId="53" fillId="0" borderId="0" xfId="0" applyNumberFormat="1" applyFont="1" applyFill="1" applyAlignment="1" applyProtection="1">
      <alignment horizontal="left" vertical="center" wrapText="1" indent="6"/>
    </xf>
    <xf numFmtId="0" fontId="44"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164" fontId="56"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57" fillId="0" borderId="25" xfId="0" applyNumberFormat="1" applyFont="1" applyFill="1" applyBorder="1" applyAlignment="1" applyProtection="1">
      <alignment horizontal="center" vertical="center"/>
    </xf>
    <xf numFmtId="0" fontId="58" fillId="0" borderId="25" xfId="0" applyNumberFormat="1" applyFont="1" applyFill="1" applyBorder="1" applyAlignment="1" applyProtection="1">
      <alignment horizontal="center" vertical="center"/>
    </xf>
    <xf numFmtId="0" fontId="39" fillId="23" borderId="25" xfId="0" applyNumberFormat="1" applyFont="1" applyFill="1" applyBorder="1" applyAlignment="1" applyProtection="1">
      <alignment horizontal="center" vertical="center"/>
    </xf>
    <xf numFmtId="0" fontId="39" fillId="0" borderId="26" xfId="0" applyNumberFormat="1" applyFont="1" applyFill="1" applyBorder="1" applyAlignment="1" applyProtection="1">
      <alignment horizontal="center" vertical="center"/>
    </xf>
    <xf numFmtId="0" fontId="49"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0" fillId="24" borderId="0" xfId="0" applyFont="1" applyFill="1" applyBorder="1" applyAlignment="1" applyProtection="1">
      <alignment horizontal="center" vertical="center" wrapText="1"/>
    </xf>
    <xf numFmtId="0" fontId="51" fillId="21" borderId="10" xfId="0" applyFont="1" applyFill="1" applyBorder="1" applyAlignment="1" applyProtection="1">
      <alignment horizontal="center" vertical="center" wrapText="1"/>
    </xf>
    <xf numFmtId="164" fontId="56" fillId="0" borderId="31" xfId="439" applyNumberFormat="1" applyFont="1" applyFill="1" applyBorder="1" applyAlignment="1" applyProtection="1">
      <alignment horizontal="center" vertical="center" wrapText="1"/>
    </xf>
    <xf numFmtId="0" fontId="50"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56" fillId="0" borderId="0" xfId="0" applyFont="1" applyProtection="1"/>
    <xf numFmtId="0" fontId="56" fillId="23" borderId="23" xfId="0" applyNumberFormat="1" applyFont="1" applyFill="1" applyBorder="1" applyAlignment="1" applyProtection="1">
      <alignment horizontal="left" vertical="center" wrapText="1"/>
    </xf>
    <xf numFmtId="0" fontId="56"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56"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xf>
    <xf numFmtId="0" fontId="49" fillId="0" borderId="0" xfId="0" applyFont="1" applyAlignment="1" applyProtection="1">
      <alignment wrapText="1"/>
    </xf>
    <xf numFmtId="0" fontId="44" fillId="0" borderId="23" xfId="1243" applyFont="1" applyFill="1" applyBorder="1" applyAlignment="1" applyProtection="1">
      <alignment horizontal="left" vertical="center" wrapText="1"/>
    </xf>
    <xf numFmtId="164" fontId="50" fillId="25" borderId="0" xfId="439" applyNumberFormat="1" applyFont="1" applyFill="1" applyAlignment="1" applyProtection="1">
      <alignment horizontal="center"/>
    </xf>
    <xf numFmtId="0" fontId="60"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56" fillId="22" borderId="23" xfId="439" applyNumberFormat="1" applyFont="1" applyFill="1" applyBorder="1" applyAlignment="1" applyProtection="1">
      <alignment horizontal="center" vertical="center" wrapText="1"/>
    </xf>
    <xf numFmtId="0" fontId="49" fillId="30" borderId="25" xfId="0" applyNumberFormat="1" applyFont="1" applyFill="1" applyBorder="1" applyAlignment="1" applyProtection="1">
      <alignment horizontal="center" vertical="center" wrapText="1"/>
    </xf>
    <xf numFmtId="164" fontId="49" fillId="24" borderId="10" xfId="439" applyNumberFormat="1" applyFont="1" applyFill="1" applyBorder="1" applyAlignment="1" applyProtection="1">
      <alignment horizontal="center" wrapText="1"/>
    </xf>
    <xf numFmtId="0" fontId="61" fillId="0" borderId="0" xfId="720" applyNumberFormat="1" applyFont="1" applyFill="1" applyAlignment="1" applyProtection="1">
      <alignment horizontal="left" vertic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6" fillId="0" borderId="29" xfId="439" applyNumberFormat="1" applyFont="1" applyFill="1" applyBorder="1" applyAlignment="1" applyProtection="1">
      <alignment horizontal="center" vertical="center" wrapText="1"/>
    </xf>
    <xf numFmtId="39" fontId="56" fillId="23" borderId="28"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1" fillId="31" borderId="0" xfId="0" applyNumberFormat="1" applyFont="1" applyFill="1" applyBorder="1" applyAlignment="1" applyProtection="1">
      <alignment horizontal="center" wrapText="1"/>
    </xf>
    <xf numFmtId="0" fontId="39"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0" fillId="32" borderId="0" xfId="0" applyFont="1" applyFill="1" applyAlignment="1" applyProtection="1">
      <alignment horizontal="center" vertical="center" wrapText="1"/>
    </xf>
    <xf numFmtId="0" fontId="0" fillId="0" borderId="0" xfId="0" applyFont="1" applyProtection="1">
      <protection locked="0"/>
    </xf>
    <xf numFmtId="0" fontId="52" fillId="0" borderId="25" xfId="0" applyNumberFormat="1" applyFont="1" applyFill="1" applyBorder="1" applyAlignment="1" applyProtection="1">
      <alignment horizontal="left" vertical="center" wrapText="1"/>
    </xf>
    <xf numFmtId="0" fontId="41" fillId="0" borderId="25" xfId="0" applyNumberFormat="1" applyFont="1" applyFill="1" applyBorder="1" applyAlignment="1" applyProtection="1">
      <alignment horizontal="left" vertical="center" wrapText="1"/>
    </xf>
    <xf numFmtId="41" fontId="56" fillId="0" borderId="23" xfId="439" applyNumberFormat="1" applyFont="1" applyFill="1" applyBorder="1" applyAlignment="1" applyProtection="1">
      <alignment horizontal="center" vertical="center" wrapText="1"/>
    </xf>
    <xf numFmtId="0" fontId="47" fillId="0" borderId="23" xfId="439" applyNumberFormat="1" applyFont="1" applyFill="1" applyBorder="1" applyAlignment="1" applyProtection="1">
      <alignment horizontal="center" vertical="center" wrapText="1"/>
    </xf>
    <xf numFmtId="41" fontId="63" fillId="0" borderId="0" xfId="0" applyNumberFormat="1" applyFont="1" applyFill="1" applyAlignment="1" applyProtection="1">
      <alignment wrapText="1"/>
    </xf>
    <xf numFmtId="0" fontId="62" fillId="0" borderId="0" xfId="0" applyFont="1" applyFill="1" applyAlignment="1" applyProtection="1">
      <alignment horizontal="center" vertical="center"/>
    </xf>
    <xf numFmtId="0" fontId="49" fillId="0" borderId="0" xfId="0" applyFont="1" applyFill="1" applyAlignment="1" applyProtection="1">
      <alignment horizontal="center" vertical="center" wrapText="1"/>
    </xf>
    <xf numFmtId="0" fontId="56"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56" fillId="29" borderId="23" xfId="439" applyNumberFormat="1" applyFont="1" applyFill="1" applyBorder="1" applyAlignment="1" applyProtection="1">
      <alignment horizontal="center" vertical="center" wrapText="1"/>
      <protection locked="0"/>
    </xf>
    <xf numFmtId="37" fontId="57" fillId="33" borderId="28" xfId="439" applyNumberFormat="1" applyFont="1" applyFill="1" applyBorder="1" applyAlignment="1" applyProtection="1">
      <alignment horizontal="center" vertical="center" wrapText="1"/>
    </xf>
    <xf numFmtId="37" fontId="39" fillId="0" borderId="28" xfId="439" applyNumberFormat="1" applyFont="1" applyFill="1" applyBorder="1" applyAlignment="1" applyProtection="1">
      <alignment horizontal="center" vertical="center" wrapText="1"/>
    </xf>
    <xf numFmtId="37" fontId="57"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56"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6"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169" fontId="39" fillId="0" borderId="0" xfId="439" applyNumberFormat="1" applyFont="1" applyFill="1" applyAlignment="1" applyProtection="1">
      <alignment horizontal="center" vertical="center"/>
      <protection locked="0"/>
    </xf>
    <xf numFmtId="38" fontId="44"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56" fillId="0" borderId="29" xfId="439" applyNumberFormat="1" applyFont="1" applyFill="1" applyBorder="1" applyAlignment="1" applyProtection="1">
      <alignment horizontal="center" vertical="center" wrapText="1"/>
    </xf>
    <xf numFmtId="172" fontId="56" fillId="0" borderId="23" xfId="439"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xf>
    <xf numFmtId="0" fontId="53" fillId="0" borderId="0" xfId="0" applyFont="1" applyFill="1" applyAlignment="1" applyProtection="1">
      <alignment vertical="center" wrapText="1"/>
    </xf>
    <xf numFmtId="0" fontId="5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164" fontId="56" fillId="29" borderId="44" xfId="439" applyNumberFormat="1" applyFont="1" applyFill="1" applyBorder="1" applyAlignment="1" applyProtection="1">
      <alignment horizontal="center" vertical="center" wrapText="1"/>
      <protection locked="0"/>
    </xf>
    <xf numFmtId="164" fontId="56" fillId="0" borderId="30" xfId="439" applyNumberFormat="1" applyFont="1" applyFill="1" applyBorder="1" applyAlignment="1" applyProtection="1">
      <alignment horizontal="center" vertical="center" wrapText="1"/>
    </xf>
    <xf numFmtId="39" fontId="56" fillId="0" borderId="27" xfId="439" applyNumberFormat="1" applyFont="1" applyFill="1" applyBorder="1" applyAlignment="1" applyProtection="1">
      <alignment horizontal="center" vertical="center" wrapText="1"/>
    </xf>
    <xf numFmtId="164" fontId="56" fillId="0" borderId="46" xfId="439" applyNumberFormat="1" applyFont="1" applyFill="1" applyBorder="1" applyAlignment="1" applyProtection="1">
      <alignment horizontal="center" vertical="center" wrapText="1"/>
    </xf>
    <xf numFmtId="0" fontId="39"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56" fillId="29" borderId="45" xfId="439" applyNumberFormat="1" applyFont="1" applyFill="1" applyBorder="1" applyAlignment="1" applyProtection="1">
      <alignment horizontal="center" vertical="center" wrapText="1"/>
      <protection locked="0"/>
    </xf>
    <xf numFmtId="0" fontId="56" fillId="0" borderId="30" xfId="0" applyNumberFormat="1" applyFont="1" applyFill="1" applyBorder="1" applyAlignment="1" applyProtection="1">
      <alignment horizontal="left" vertical="center" wrapText="1"/>
    </xf>
    <xf numFmtId="0" fontId="56" fillId="23" borderId="31" xfId="0" applyNumberFormat="1" applyFont="1" applyFill="1" applyBorder="1" applyAlignment="1" applyProtection="1">
      <alignment horizontal="left" vertical="center" wrapText="1"/>
    </xf>
    <xf numFmtId="0" fontId="56" fillId="23" borderId="31" xfId="439" applyNumberFormat="1" applyFont="1" applyFill="1" applyBorder="1" applyAlignment="1" applyProtection="1">
      <alignment horizontal="center" vertical="center" wrapText="1"/>
    </xf>
    <xf numFmtId="37" fontId="39" fillId="23" borderId="29" xfId="439" applyNumberFormat="1" applyFont="1" applyFill="1" applyBorder="1" applyAlignment="1" applyProtection="1">
      <alignment horizontal="center" vertical="center" wrapText="1"/>
    </xf>
    <xf numFmtId="0" fontId="39" fillId="23" borderId="26" xfId="0" applyNumberFormat="1" applyFont="1" applyFill="1" applyBorder="1" applyAlignment="1" applyProtection="1">
      <alignment horizontal="center" vertical="center"/>
    </xf>
    <xf numFmtId="37" fontId="39" fillId="0" borderId="27" xfId="439" applyNumberFormat="1" applyFont="1" applyFill="1" applyBorder="1" applyAlignment="1" applyProtection="1">
      <alignment horizontal="center" vertical="center" wrapText="1"/>
    </xf>
    <xf numFmtId="0" fontId="39"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68" fillId="0" borderId="0" xfId="0" applyNumberFormat="1" applyFont="1" applyFill="1" applyAlignment="1" applyProtection="1">
      <alignment horizontal="left" vertical="center" wrapText="1" indent="6"/>
    </xf>
    <xf numFmtId="0" fontId="56"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41" fontId="64" fillId="0" borderId="0" xfId="0" applyNumberFormat="1" applyFont="1" applyFill="1" applyAlignment="1" applyProtection="1">
      <alignment wrapText="1"/>
    </xf>
    <xf numFmtId="164" fontId="49" fillId="0" borderId="0" xfId="0" applyNumberFormat="1" applyFont="1" applyAlignment="1" applyProtection="1">
      <alignment wrapText="1"/>
    </xf>
    <xf numFmtId="164" fontId="56" fillId="22" borderId="23" xfId="439" applyNumberFormat="1" applyFont="1" applyFill="1" applyBorder="1" applyAlignment="1" applyProtection="1">
      <alignment horizontal="center" vertical="center" wrapText="1"/>
      <protection locked="0"/>
    </xf>
    <xf numFmtId="172" fontId="56" fillId="22" borderId="23" xfId="439" applyNumberFormat="1" applyFont="1" applyFill="1" applyBorder="1" applyAlignment="1" applyProtection="1">
      <alignment horizontal="center" vertical="center" wrapText="1"/>
    </xf>
    <xf numFmtId="39" fontId="56" fillId="22" borderId="28" xfId="439" applyNumberFormat="1" applyFont="1" applyFill="1" applyBorder="1" applyAlignment="1" applyProtection="1">
      <alignment horizontal="center" vertical="center" wrapText="1"/>
    </xf>
    <xf numFmtId="164" fontId="56" fillId="22" borderId="29" xfId="439" applyNumberFormat="1" applyFont="1" applyFill="1" applyBorder="1" applyAlignment="1" applyProtection="1">
      <alignment horizontal="center" vertical="center" wrapText="1"/>
    </xf>
    <xf numFmtId="0" fontId="39" fillId="22" borderId="24" xfId="0" applyNumberFormat="1" applyFont="1" applyFill="1" applyBorder="1" applyAlignment="1" applyProtection="1">
      <alignment horizontal="center" vertical="center"/>
    </xf>
    <xf numFmtId="164" fontId="56" fillId="29" borderId="31" xfId="439" applyNumberFormat="1" applyFont="1" applyFill="1" applyBorder="1" applyAlignment="1" applyProtection="1">
      <alignment horizontal="center" vertical="center" wrapText="1"/>
      <protection locked="0"/>
    </xf>
    <xf numFmtId="0" fontId="48" fillId="0" borderId="0" xfId="0" applyFont="1" applyAlignment="1" applyProtection="1">
      <alignment horizontal="center"/>
    </xf>
    <xf numFmtId="0" fontId="41" fillId="22" borderId="0" xfId="0" applyFont="1" applyFill="1" applyAlignment="1" applyProtection="1">
      <alignment horizontal="left" wrapText="1"/>
    </xf>
    <xf numFmtId="172" fontId="56" fillId="22" borderId="30" xfId="439" applyNumberFormat="1" applyFont="1" applyFill="1" applyBorder="1" applyAlignment="1" applyProtection="1">
      <alignment horizontal="center" vertical="center" wrapText="1"/>
    </xf>
    <xf numFmtId="175" fontId="56" fillId="75" borderId="23" xfId="439" applyNumberFormat="1" applyFont="1" applyFill="1" applyBorder="1" applyAlignment="1" applyProtection="1">
      <alignment horizontal="center" vertical="center" wrapText="1"/>
    </xf>
    <xf numFmtId="3" fontId="56" fillId="0" borderId="23" xfId="439" applyNumberFormat="1" applyFont="1" applyFill="1" applyBorder="1" applyAlignment="1" applyProtection="1">
      <alignment horizontal="center" vertical="center" wrapText="1"/>
      <protection locked="0"/>
    </xf>
    <xf numFmtId="3" fontId="56" fillId="0" borderId="31" xfId="439" applyNumberFormat="1" applyFont="1" applyFill="1" applyBorder="1" applyAlignment="1" applyProtection="1">
      <alignment horizontal="center" vertical="center" wrapText="1"/>
    </xf>
    <xf numFmtId="3" fontId="56" fillId="23" borderId="31" xfId="439" applyNumberFormat="1" applyFont="1" applyFill="1" applyBorder="1" applyAlignment="1" applyProtection="1">
      <alignment horizontal="center" vertical="center" wrapText="1"/>
    </xf>
    <xf numFmtId="3" fontId="56" fillId="23" borderId="23" xfId="439" applyNumberFormat="1" applyFont="1" applyFill="1" applyBorder="1" applyAlignment="1" applyProtection="1">
      <alignment horizontal="center" vertical="center" wrapText="1"/>
    </xf>
    <xf numFmtId="3" fontId="56" fillId="0" borderId="30" xfId="439" applyNumberFormat="1" applyFont="1" applyFill="1" applyBorder="1" applyAlignment="1" applyProtection="1">
      <alignment horizontal="center" vertical="center" wrapText="1"/>
    </xf>
    <xf numFmtId="37" fontId="56" fillId="0" borderId="23"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2" fillId="0" borderId="0" xfId="0" applyFont="1" applyProtection="1"/>
    <xf numFmtId="0" fontId="39" fillId="0" borderId="57"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0" fontId="0" fillId="0" borderId="0" xfId="0" applyAlignment="1">
      <alignment horizontal="center"/>
    </xf>
    <xf numFmtId="0" fontId="0" fillId="0" borderId="61" xfId="0" applyNumberFormat="1" applyFont="1" applyFill="1" applyBorder="1" applyAlignment="1">
      <alignment horizontal="center"/>
    </xf>
    <xf numFmtId="0" fontId="80" fillId="0" borderId="0" xfId="0" applyFont="1" applyAlignment="1">
      <alignment horizontal="center"/>
    </xf>
    <xf numFmtId="0" fontId="39" fillId="0" borderId="24" xfId="0" applyFont="1" applyBorder="1" applyAlignment="1">
      <alignment horizontal="center" vertical="center"/>
    </xf>
    <xf numFmtId="0" fontId="39" fillId="0" borderId="0" xfId="0" applyFont="1" applyAlignment="1">
      <alignment vertical="center"/>
    </xf>
    <xf numFmtId="171" fontId="56" fillId="75" borderId="29" xfId="439" applyNumberFormat="1" applyFont="1" applyFill="1" applyBorder="1" applyAlignment="1" applyProtection="1">
      <alignment horizontal="center" vertical="center" wrapText="1"/>
    </xf>
    <xf numFmtId="0" fontId="39" fillId="74" borderId="64" xfId="0" applyNumberFormat="1" applyFont="1" applyFill="1" applyBorder="1" applyAlignment="1" applyProtection="1">
      <alignment horizontal="center" vertical="center"/>
    </xf>
    <xf numFmtId="0" fontId="0" fillId="73" borderId="0" xfId="0" applyFill="1"/>
    <xf numFmtId="0" fontId="116" fillId="73" borderId="0" xfId="0" applyFont="1" applyFill="1" applyAlignment="1">
      <alignment vertical="center" wrapText="1"/>
    </xf>
    <xf numFmtId="0" fontId="46" fillId="73" borderId="0" xfId="0" applyFont="1" applyFill="1" applyAlignment="1">
      <alignment horizontal="justify" vertical="center"/>
    </xf>
    <xf numFmtId="0" fontId="121" fillId="77" borderId="0" xfId="0" applyFont="1" applyFill="1" applyAlignment="1">
      <alignment vertical="center"/>
    </xf>
    <xf numFmtId="0" fontId="60" fillId="0" borderId="45" xfId="0" applyFont="1" applyFill="1" applyBorder="1" applyAlignment="1" applyProtection="1">
      <alignment horizontal="center" vertical="center" wrapText="1"/>
    </xf>
    <xf numFmtId="0" fontId="60" fillId="32" borderId="45" xfId="0" applyFont="1" applyFill="1" applyBorder="1" applyAlignment="1" applyProtection="1">
      <alignment horizontal="center" vertical="center" wrapText="1"/>
    </xf>
    <xf numFmtId="0" fontId="56" fillId="31" borderId="25" xfId="0" applyNumberFormat="1" applyFont="1" applyFill="1" applyBorder="1" applyAlignment="1" applyProtection="1">
      <alignment horizontal="left" vertical="center" wrapText="1"/>
    </xf>
    <xf numFmtId="0" fontId="41" fillId="31" borderId="66" xfId="0" applyFont="1" applyFill="1" applyBorder="1" applyAlignment="1">
      <alignment wrapText="1"/>
    </xf>
    <xf numFmtId="14" fontId="41" fillId="31" borderId="66" xfId="0" applyNumberFormat="1" applyFont="1" applyFill="1" applyBorder="1" applyAlignment="1">
      <alignment wrapText="1"/>
    </xf>
    <xf numFmtId="0" fontId="39" fillId="31" borderId="64" xfId="0" applyNumberFormat="1" applyFont="1" applyFill="1" applyBorder="1" applyAlignment="1" applyProtection="1">
      <alignment horizontal="center" vertical="center"/>
    </xf>
    <xf numFmtId="49" fontId="56" fillId="0" borderId="23" xfId="439" applyNumberFormat="1" applyFont="1" applyFill="1" applyBorder="1" applyAlignment="1" applyProtection="1">
      <alignment horizontal="center" vertical="center" wrapText="1"/>
    </xf>
    <xf numFmtId="0" fontId="117" fillId="73" borderId="0" xfId="0" applyFont="1" applyFill="1" applyAlignment="1">
      <alignment horizontal="left" vertical="center" wrapText="1"/>
    </xf>
    <xf numFmtId="0" fontId="33" fillId="73" borderId="0" xfId="30098" applyFill="1"/>
    <xf numFmtId="0" fontId="120" fillId="77" borderId="0" xfId="30098" applyFont="1" applyFill="1" applyAlignment="1">
      <alignment horizontal="center" vertical="center" wrapText="1"/>
    </xf>
    <xf numFmtId="0" fontId="116" fillId="73" borderId="0" xfId="30098" applyFont="1" applyFill="1" applyAlignment="1">
      <alignment vertical="center" wrapText="1"/>
    </xf>
    <xf numFmtId="0" fontId="46" fillId="73" borderId="0" xfId="30098" applyFont="1" applyFill="1" applyAlignment="1">
      <alignment vertical="center" wrapText="1"/>
    </xf>
    <xf numFmtId="0" fontId="121" fillId="77" borderId="0" xfId="30098" applyFont="1" applyFill="1" applyAlignment="1">
      <alignment vertical="center"/>
    </xf>
    <xf numFmtId="0" fontId="0" fillId="0" borderId="0" xfId="0" applyNumberFormat="1" applyFont="1" applyFill="1" applyBorder="1" applyAlignment="1" applyProtection="1">
      <alignment horizontal="left" vertical="center" wrapText="1"/>
    </xf>
    <xf numFmtId="0" fontId="0" fillId="0" borderId="0" xfId="0"/>
    <xf numFmtId="0" fontId="39" fillId="0" borderId="43" xfId="0" applyNumberFormat="1" applyFont="1" applyFill="1" applyBorder="1" applyAlignment="1" applyProtection="1">
      <alignment horizontal="center" vertical="center"/>
    </xf>
    <xf numFmtId="0" fontId="39" fillId="78" borderId="72" xfId="0" applyFont="1" applyFill="1" applyBorder="1" applyAlignment="1">
      <alignment horizontal="center" wrapText="1"/>
    </xf>
    <xf numFmtId="0" fontId="0" fillId="0" borderId="0" xfId="0" applyFont="1"/>
    <xf numFmtId="0" fontId="0" fillId="0" borderId="0" xfId="0" applyFont="1" applyFill="1"/>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39" fillId="0" borderId="26" xfId="0" applyFont="1" applyFill="1" applyBorder="1" applyAlignment="1">
      <alignment horizontal="center" vertical="center"/>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45" xfId="0" applyFont="1" applyFill="1" applyBorder="1" applyAlignment="1">
      <alignment horizontal="center" vertical="center"/>
    </xf>
    <xf numFmtId="0" fontId="39" fillId="0" borderId="43" xfId="0" applyFont="1" applyFill="1" applyBorder="1" applyAlignment="1">
      <alignment horizontal="center" vertical="center"/>
    </xf>
    <xf numFmtId="0" fontId="57" fillId="0" borderId="25" xfId="0" applyFont="1" applyFill="1" applyBorder="1" applyAlignment="1">
      <alignment horizontal="center" vertical="center"/>
    </xf>
    <xf numFmtId="0" fontId="39" fillId="0" borderId="64" xfId="0" applyFont="1" applyFill="1" applyBorder="1" applyAlignment="1">
      <alignment horizontal="center" vertical="center"/>
    </xf>
    <xf numFmtId="0" fontId="68" fillId="0" borderId="0" xfId="0" applyFont="1" applyFill="1"/>
    <xf numFmtId="0" fontId="39" fillId="0" borderId="0" xfId="0" applyFont="1" applyFill="1" applyBorder="1" applyAlignment="1">
      <alignment horizontal="center" vertical="center"/>
    </xf>
    <xf numFmtId="0" fontId="52" fillId="0" borderId="30" xfId="0" applyNumberFormat="1" applyFont="1" applyFill="1" applyBorder="1" applyAlignment="1" applyProtection="1">
      <alignment horizontal="left" vertical="center" wrapText="1"/>
    </xf>
    <xf numFmtId="39" fontId="56" fillId="0" borderId="45" xfId="439" applyNumberFormat="1" applyFont="1" applyFill="1" applyBorder="1" applyAlignment="1" applyProtection="1">
      <alignment horizontal="center" vertical="center" wrapText="1"/>
    </xf>
    <xf numFmtId="0" fontId="61" fillId="0" borderId="0" xfId="0" applyNumberFormat="1" applyFont="1" applyFill="1" applyAlignment="1" applyProtection="1">
      <alignment horizontal="left" vertical="center" wrapText="1"/>
    </xf>
    <xf numFmtId="0" fontId="56" fillId="34" borderId="25" xfId="0" applyNumberFormat="1" applyFont="1" applyFill="1" applyBorder="1" applyAlignment="1" applyProtection="1">
      <alignment horizontal="left"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39" fillId="0" borderId="45" xfId="439" applyNumberFormat="1" applyFont="1" applyFill="1" applyBorder="1" applyAlignment="1" applyProtection="1">
      <alignment horizontal="center" vertical="center" wrapText="1"/>
    </xf>
    <xf numFmtId="0" fontId="61" fillId="0" borderId="45" xfId="0" applyNumberFormat="1" applyFont="1" applyFill="1" applyBorder="1" applyAlignment="1" applyProtection="1">
      <alignment horizontal="left" vertical="center" wrapText="1"/>
    </xf>
    <xf numFmtId="0" fontId="56" fillId="0" borderId="28" xfId="0" applyNumberFormat="1" applyFont="1" applyFill="1" applyBorder="1" applyAlignment="1" applyProtection="1">
      <alignment horizontal="left" vertical="center" wrapText="1"/>
    </xf>
    <xf numFmtId="0" fontId="39" fillId="0" borderId="45" xfId="0" applyNumberFormat="1" applyFont="1" applyFill="1" applyBorder="1" applyAlignment="1" applyProtection="1">
      <alignment horizontal="center" vertical="center"/>
    </xf>
    <xf numFmtId="164" fontId="56" fillId="0" borderId="45"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39" fillId="0" borderId="25" xfId="0" applyNumberFormat="1" applyFont="1" applyFill="1" applyBorder="1" applyAlignment="1" applyProtection="1">
      <alignment horizontal="center" vertical="center"/>
    </xf>
    <xf numFmtId="164" fontId="56" fillId="0" borderId="29" xfId="439" applyNumberFormat="1" applyFont="1" applyFill="1" applyBorder="1" applyAlignment="1" applyProtection="1">
      <alignment horizontal="center" vertical="center" wrapText="1"/>
    </xf>
    <xf numFmtId="164" fontId="56" fillId="0" borderId="23" xfId="439" applyNumberFormat="1" applyFont="1" applyFill="1" applyBorder="1" applyAlignment="1" applyProtection="1">
      <alignment horizontal="center" vertical="center" wrapText="1"/>
    </xf>
    <xf numFmtId="0" fontId="56" fillId="0" borderId="23" xfId="0" applyNumberFormat="1" applyFont="1" applyFill="1" applyBorder="1" applyAlignment="1" applyProtection="1">
      <alignment horizontal="left" vertical="center" wrapText="1"/>
    </xf>
    <xf numFmtId="39" fontId="56" fillId="0" borderId="28" xfId="439" applyNumberFormat="1" applyFont="1" applyFill="1" applyBorder="1" applyAlignment="1" applyProtection="1">
      <alignment horizontal="center" vertical="center" wrapText="1"/>
    </xf>
    <xf numFmtId="164" fontId="56"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164" fontId="56" fillId="29" borderId="23" xfId="439" applyNumberFormat="1" applyFont="1" applyFill="1" applyBorder="1" applyAlignment="1" applyProtection="1">
      <alignment horizontal="center" vertical="center" wrapText="1"/>
      <protection locked="0"/>
    </xf>
    <xf numFmtId="3" fontId="56" fillId="0" borderId="23" xfId="439" applyNumberFormat="1" applyFont="1" applyFill="1" applyBorder="1" applyAlignment="1" applyProtection="1">
      <alignment horizontal="center" vertical="center" wrapText="1"/>
    </xf>
    <xf numFmtId="3" fontId="56" fillId="34" borderId="23" xfId="439" applyNumberFormat="1" applyFont="1" applyFill="1" applyBorder="1" applyAlignment="1" applyProtection="1">
      <alignment horizontal="center" vertical="center" wrapText="1"/>
    </xf>
    <xf numFmtId="0" fontId="56" fillId="22" borderId="23" xfId="439" applyNumberFormat="1" applyFont="1" applyFill="1" applyBorder="1" applyAlignment="1" applyProtection="1">
      <alignment horizontal="center" vertical="center" wrapText="1"/>
      <protection locked="0"/>
    </xf>
    <xf numFmtId="3" fontId="56" fillId="0" borderId="45" xfId="439" applyNumberFormat="1" applyFont="1" applyFill="1" applyBorder="1" applyAlignment="1" applyProtection="1">
      <alignment horizontal="center" vertical="center" wrapText="1"/>
    </xf>
    <xf numFmtId="0" fontId="56" fillId="0" borderId="45" xfId="0" applyNumberFormat="1" applyFont="1" applyFill="1" applyBorder="1" applyAlignment="1" applyProtection="1">
      <alignment horizontal="left" vertical="center" wrapText="1"/>
    </xf>
    <xf numFmtId="0" fontId="56" fillId="78" borderId="25" xfId="0" applyNumberFormat="1" applyFont="1" applyFill="1" applyBorder="1" applyAlignment="1" applyProtection="1">
      <alignment horizontal="left" vertical="center" wrapText="1"/>
    </xf>
    <xf numFmtId="0" fontId="56" fillId="78" borderId="23" xfId="0" applyNumberFormat="1" applyFont="1" applyFill="1" applyBorder="1" applyAlignment="1" applyProtection="1">
      <alignment horizontal="left" vertical="center" wrapText="1"/>
    </xf>
    <xf numFmtId="0" fontId="39" fillId="78" borderId="43" xfId="0" applyNumberFormat="1" applyFont="1" applyFill="1" applyBorder="1" applyAlignment="1" applyProtection="1">
      <alignment horizontal="center" vertical="center"/>
    </xf>
    <xf numFmtId="0" fontId="39"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39"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68" fillId="0" borderId="0" xfId="0" applyFont="1" applyAlignment="1" applyProtection="1">
      <alignment wrapText="1"/>
      <protection locked="0"/>
    </xf>
    <xf numFmtId="164" fontId="49" fillId="0" borderId="0" xfId="0" applyNumberFormat="1" applyFont="1" applyFill="1" applyAlignment="1" applyProtection="1">
      <alignment wrapText="1"/>
    </xf>
    <xf numFmtId="164" fontId="49" fillId="78" borderId="10" xfId="0" applyNumberFormat="1" applyFont="1" applyFill="1" applyBorder="1" applyAlignment="1" applyProtection="1">
      <alignment horizontal="center" vertical="center" wrapText="1"/>
    </xf>
    <xf numFmtId="0" fontId="39" fillId="78" borderId="64" xfId="0" applyNumberFormat="1" applyFont="1" applyFill="1" applyBorder="1" applyAlignment="1" applyProtection="1">
      <alignment horizontal="center" vertical="center"/>
    </xf>
    <xf numFmtId="0" fontId="41" fillId="78" borderId="23" xfId="0" applyNumberFormat="1" applyFont="1" applyFill="1" applyBorder="1" applyAlignment="1" applyProtection="1">
      <alignment horizontal="left"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0" fontId="0" fillId="0" borderId="0" xfId="682" applyFont="1"/>
    <xf numFmtId="0" fontId="128" fillId="26" borderId="0" xfId="682" applyFont="1" applyFill="1"/>
    <xf numFmtId="0" fontId="49" fillId="0" borderId="17" xfId="682" applyFont="1" applyBorder="1" applyAlignment="1">
      <alignment horizontal="center"/>
    </xf>
    <xf numFmtId="0" fontId="129" fillId="0" borderId="0" xfId="682" applyFont="1"/>
    <xf numFmtId="0" fontId="129" fillId="0" borderId="0" xfId="682" applyFont="1" applyAlignment="1">
      <alignment vertical="center"/>
    </xf>
    <xf numFmtId="0" fontId="49" fillId="0" borderId="14" xfId="682" applyFont="1" applyBorder="1" applyAlignment="1">
      <alignment horizontal="center" vertical="center" wrapText="1"/>
    </xf>
    <xf numFmtId="0" fontId="130" fillId="0" borderId="0" xfId="682" applyFont="1"/>
    <xf numFmtId="0" fontId="52" fillId="0" borderId="0" xfId="682" applyFont="1"/>
    <xf numFmtId="167" fontId="52" fillId="0" borderId="0" xfId="546" applyNumberFormat="1" applyFont="1"/>
    <xf numFmtId="38" fontId="52" fillId="0" borderId="0" xfId="682" applyNumberFormat="1" applyFont="1"/>
    <xf numFmtId="38" fontId="52" fillId="0" borderId="0" xfId="449" applyNumberFormat="1" applyFont="1"/>
    <xf numFmtId="0" fontId="130" fillId="0" borderId="0" xfId="682" applyFont="1" applyAlignment="1">
      <alignment vertical="center"/>
    </xf>
    <xf numFmtId="0" fontId="132" fillId="0" borderId="0" xfId="682" applyFont="1"/>
    <xf numFmtId="0" fontId="49" fillId="0" borderId="0" xfId="682" applyFont="1"/>
    <xf numFmtId="0" fontId="49" fillId="0" borderId="0" xfId="682" applyFont="1" applyAlignment="1">
      <alignment horizontal="center"/>
    </xf>
    <xf numFmtId="10" fontId="49" fillId="0" borderId="19" xfId="682" applyNumberFormat="1" applyFont="1" applyBorder="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6"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6" fillId="21" borderId="0" xfId="0" applyFont="1" applyFill="1" applyBorder="1" applyAlignment="1" applyProtection="1">
      <alignment horizontal="center" vertical="center" wrapText="1"/>
    </xf>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4"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34" fillId="76" borderId="63" xfId="1562" applyNumberFormat="1" applyFont="1" applyFill="1" applyBorder="1" applyAlignment="1">
      <alignment horizontal="center" vertical="center" wrapText="1"/>
    </xf>
    <xf numFmtId="0" fontId="0" fillId="23" borderId="25" xfId="0" applyNumberFormat="1" applyFont="1" applyFill="1" applyBorder="1" applyAlignment="1" applyProtection="1">
      <alignment horizontal="left" vertical="center" wrapText="1"/>
    </xf>
    <xf numFmtId="3" fontId="44" fillId="0" borderId="0" xfId="1540" applyFont="1" applyFill="1" applyAlignment="1" applyProtection="1">
      <alignment vertical="center" wrapText="1"/>
    </xf>
    <xf numFmtId="181" fontId="0" fillId="75" borderId="28" xfId="439" applyNumberFormat="1" applyFont="1" applyFill="1" applyBorder="1" applyAlignment="1" applyProtection="1">
      <alignment vertical="center"/>
    </xf>
    <xf numFmtId="0" fontId="0" fillId="78" borderId="25" xfId="0" applyNumberFormat="1" applyFont="1" applyFill="1" applyBorder="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quotePrefix="1" applyFont="1" applyFill="1" applyAlignment="1" applyProtection="1">
      <alignment horizontal="center"/>
    </xf>
    <xf numFmtId="0" fontId="54" fillId="78" borderId="0" xfId="0" applyFont="1" applyFill="1" applyAlignment="1" applyProtection="1">
      <alignment horizontal="left" vertical="center" wrapText="1"/>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5"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5" xfId="439" applyNumberFormat="1" applyFont="1" applyFill="1" applyBorder="1" applyAlignment="1" applyProtection="1">
      <alignment horizontal="center" vertical="center"/>
    </xf>
    <xf numFmtId="49" fontId="0" fillId="31" borderId="0" xfId="0" applyNumberFormat="1" applyFont="1" applyFill="1" applyAlignment="1" applyProtection="1">
      <alignment horizontal="center"/>
    </xf>
    <xf numFmtId="41" fontId="0" fillId="0" borderId="66"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4"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4" xfId="439" applyNumberFormat="1" applyFont="1" applyFill="1" applyBorder="1" applyAlignment="1" applyProtection="1">
      <alignment horizontal="center" vertical="center"/>
    </xf>
    <xf numFmtId="41" fontId="0" fillId="78" borderId="0" xfId="0" applyNumberFormat="1" applyFont="1" applyFill="1" applyBorder="1" applyAlignment="1">
      <alignment horizontal="center" vertical="center" wrapText="1"/>
    </xf>
    <xf numFmtId="14" fontId="0" fillId="78" borderId="64" xfId="439" applyNumberFormat="1" applyFont="1" applyFill="1" applyBorder="1" applyAlignment="1" applyProtection="1">
      <alignment horizontal="center"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6"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4"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39" fillId="0" borderId="59" xfId="0" applyFont="1" applyFill="1" applyBorder="1" applyAlignment="1">
      <alignment vertical="center"/>
    </xf>
    <xf numFmtId="0" fontId="44" fillId="0" borderId="0" xfId="0" applyNumberFormat="1" applyFont="1" applyFill="1" applyAlignment="1" applyProtection="1">
      <alignment horizontal="left" vertical="center" wrapText="1"/>
    </xf>
    <xf numFmtId="0" fontId="53" fillId="0" borderId="0" xfId="0" applyFont="1" applyFill="1" applyAlignment="1" applyProtection="1">
      <alignment horizontal="left" vertical="center" wrapText="1"/>
    </xf>
    <xf numFmtId="0" fontId="0" fillId="0" borderId="32" xfId="0" applyFont="1" applyFill="1" applyBorder="1" applyAlignment="1">
      <alignment horizontal="center" wrapText="1"/>
    </xf>
    <xf numFmtId="0" fontId="44" fillId="0" borderId="0" xfId="0" applyFont="1" applyFill="1" applyAlignment="1" applyProtection="1">
      <alignment horizontal="left" vertical="center" wrapText="1"/>
      <protection hidden="1"/>
    </xf>
    <xf numFmtId="0" fontId="44" fillId="0" borderId="62" xfId="0" applyFont="1" applyFill="1" applyBorder="1" applyAlignment="1">
      <alignment vertical="center" wrapText="1"/>
    </xf>
    <xf numFmtId="0" fontId="61" fillId="0" borderId="62"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10" xfId="0" applyFont="1" applyFill="1" applyBorder="1" applyAlignment="1" applyProtection="1">
      <alignment horizontal="center" wrapText="1"/>
    </xf>
    <xf numFmtId="0" fontId="39" fillId="21" borderId="0" xfId="0" applyFont="1" applyFill="1" applyBorder="1" applyAlignment="1" applyProtection="1">
      <alignment horizontal="center"/>
    </xf>
    <xf numFmtId="164" fontId="69" fillId="21" borderId="12" xfId="439" applyNumberFormat="1" applyFont="1" applyFill="1" applyBorder="1" applyAlignment="1" applyProtection="1">
      <alignment horizontal="center" wrapText="1"/>
    </xf>
    <xf numFmtId="0" fontId="39" fillId="21" borderId="22" xfId="0" applyFont="1" applyFill="1" applyBorder="1" applyAlignment="1" applyProtection="1">
      <alignment horizontal="center" wrapText="1"/>
    </xf>
    <xf numFmtId="41" fontId="68" fillId="28" borderId="0" xfId="439" applyNumberFormat="1" applyFont="1" applyFill="1" applyAlignment="1" applyProtection="1">
      <alignment wrapText="1"/>
    </xf>
    <xf numFmtId="41" fontId="69"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68"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68" fillId="0" borderId="0" xfId="439" applyNumberFormat="1" applyFont="1" applyFill="1" applyAlignment="1" applyProtection="1">
      <alignment wrapText="1"/>
    </xf>
    <xf numFmtId="41" fontId="68" fillId="0" borderId="0" xfId="0" applyNumberFormat="1" applyFont="1" applyFill="1" applyAlignment="1" applyProtection="1">
      <alignment wrapText="1"/>
    </xf>
    <xf numFmtId="0" fontId="68" fillId="0" borderId="0" xfId="0" applyFont="1" applyFill="1" applyProtection="1"/>
    <xf numFmtId="164" fontId="0" fillId="0" borderId="45" xfId="0" applyNumberFormat="1" applyFont="1" applyFill="1" applyBorder="1" applyAlignment="1" applyProtection="1">
      <alignment wrapText="1"/>
      <protection locked="0"/>
    </xf>
    <xf numFmtId="0" fontId="39" fillId="0" borderId="0" xfId="0" applyFont="1" applyFill="1" applyAlignment="1" applyProtection="1">
      <alignment horizontal="center" vertical="center" wrapText="1"/>
    </xf>
    <xf numFmtId="0" fontId="0" fillId="0" borderId="0" xfId="0" applyFont="1" applyBorder="1" applyAlignment="1" applyProtection="1">
      <alignment wrapText="1"/>
    </xf>
    <xf numFmtId="41" fontId="69" fillId="0" borderId="45" xfId="0" applyNumberFormat="1" applyFont="1" applyFill="1" applyBorder="1" applyAlignment="1" applyProtection="1">
      <alignment wrapText="1"/>
    </xf>
    <xf numFmtId="41" fontId="69" fillId="0" borderId="45" xfId="0" applyNumberFormat="1" applyFont="1" applyBorder="1" applyAlignment="1">
      <alignment wrapText="1"/>
    </xf>
    <xf numFmtId="41" fontId="69" fillId="0" borderId="0" xfId="0" applyNumberFormat="1" applyFont="1" applyFill="1" applyAlignment="1">
      <alignment wrapText="1"/>
    </xf>
    <xf numFmtId="37" fontId="0" fillId="0" borderId="0" xfId="0" applyNumberFormat="1" applyFont="1" applyAlignment="1" applyProtection="1">
      <alignment wrapText="1"/>
      <protection locked="0"/>
    </xf>
    <xf numFmtId="37" fontId="0" fillId="0" borderId="45" xfId="0" applyNumberFormat="1" applyFont="1" applyFill="1" applyBorder="1" applyAlignment="1" applyProtection="1">
      <alignment wrapText="1"/>
      <protection locked="0"/>
    </xf>
    <xf numFmtId="0" fontId="0" fillId="0" borderId="45" xfId="0" applyNumberFormat="1" applyFont="1" applyFill="1" applyBorder="1" applyAlignment="1" applyProtection="1">
      <alignment vertical="center" wrapText="1"/>
    </xf>
    <xf numFmtId="0" fontId="39" fillId="0" borderId="0" xfId="0" applyNumberFormat="1" applyFont="1" applyFill="1" applyAlignment="1" applyProtection="1">
      <alignment wrapText="1"/>
    </xf>
    <xf numFmtId="41" fontId="69" fillId="0" borderId="0" xfId="0" applyNumberFormat="1" applyFont="1" applyFill="1" applyAlignment="1" applyProtection="1">
      <alignment horizontal="center" wrapText="1"/>
    </xf>
    <xf numFmtId="0" fontId="39"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164" fontId="0" fillId="28" borderId="0" xfId="439" applyNumberFormat="1" applyFont="1" applyFill="1" applyProtection="1"/>
    <xf numFmtId="0" fontId="0" fillId="32" borderId="0" xfId="0" applyFont="1" applyFill="1" applyProtection="1"/>
    <xf numFmtId="41" fontId="68" fillId="0" borderId="0" xfId="439" applyNumberFormat="1" applyFont="1" applyFill="1" applyAlignment="1" applyProtection="1">
      <alignment vertical="center" wrapText="1"/>
    </xf>
    <xf numFmtId="39" fontId="68"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0" fontId="0" fillId="0" borderId="0" xfId="0" applyFont="1" applyFill="1" applyAlignment="1" applyProtection="1">
      <alignment horizontal="center" wrapText="1"/>
      <protection locked="0"/>
    </xf>
    <xf numFmtId="0" fontId="39" fillId="0" borderId="0" xfId="0" applyFont="1" applyAlignment="1" applyProtection="1">
      <alignment wrapText="1"/>
      <protection locked="0"/>
    </xf>
    <xf numFmtId="2" fontId="0" fillId="0" borderId="0" xfId="0" applyNumberFormat="1" applyFont="1" applyAlignment="1" applyProtection="1">
      <alignment wrapText="1"/>
      <protection locked="0"/>
    </xf>
    <xf numFmtId="0" fontId="0" fillId="0" borderId="22" xfId="0" applyFont="1" applyFill="1" applyBorder="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8" fillId="0" borderId="0" xfId="439" applyNumberFormat="1" applyFont="1" applyFill="1" applyAlignment="1" applyProtection="1">
      <alignment vertical="center" wrapText="1"/>
      <protection locked="0"/>
    </xf>
    <xf numFmtId="0" fontId="39" fillId="31" borderId="37" xfId="0" applyFont="1" applyFill="1" applyBorder="1" applyAlignment="1">
      <alignment horizontal="center" vertical="center" wrapText="1"/>
    </xf>
    <xf numFmtId="0" fontId="39" fillId="31" borderId="39" xfId="0" applyFont="1" applyFill="1" applyBorder="1" applyAlignment="1">
      <alignment horizontal="center" vertical="center" wrapText="1"/>
    </xf>
    <xf numFmtId="41" fontId="68" fillId="0" borderId="0" xfId="439" applyNumberFormat="1" applyFont="1" applyAlignment="1">
      <alignment vertical="center" wrapText="1"/>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41" fillId="0" borderId="0" xfId="0" applyNumberFormat="1" applyFont="1" applyFill="1" applyAlignment="1" applyProtection="1">
      <alignment horizontal="left" vertical="center" wrapText="1"/>
    </xf>
    <xf numFmtId="0" fontId="141" fillId="0" borderId="0" xfId="0" applyFont="1" applyFill="1" applyAlignment="1" applyProtection="1">
      <alignment horizontal="left" vertical="center" wrapText="1"/>
    </xf>
    <xf numFmtId="0" fontId="44"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39" fillId="28" borderId="0" xfId="0" applyFont="1" applyFill="1" applyAlignment="1" applyProtection="1">
      <alignment horizontal="left" vertical="center"/>
    </xf>
    <xf numFmtId="0" fontId="0" fillId="28" borderId="0" xfId="0" applyFont="1" applyFill="1" applyAlignment="1" applyProtection="1">
      <alignment horizontal="left" vertical="center"/>
    </xf>
    <xf numFmtId="3" fontId="148" fillId="0" borderId="0" xfId="1540" applyFont="1" applyFill="1" applyAlignment="1" applyProtection="1">
      <alignment vertical="center" wrapText="1"/>
    </xf>
    <xf numFmtId="0" fontId="57" fillId="0" borderId="0" xfId="0" applyFont="1" applyFill="1" applyAlignment="1" applyProtection="1">
      <alignment vertical="center" wrapText="1"/>
    </xf>
    <xf numFmtId="0" fontId="39" fillId="0" borderId="0" xfId="0" applyFont="1" applyFill="1" applyAlignment="1" applyProtection="1">
      <alignment horizontal="center" vertical="center"/>
    </xf>
    <xf numFmtId="0" fontId="39" fillId="74" borderId="0" xfId="0" applyFont="1" applyFill="1" applyAlignment="1" applyProtection="1">
      <alignment horizontal="left" vertical="center" wrapText="1"/>
    </xf>
    <xf numFmtId="0" fontId="39" fillId="74" borderId="0" xfId="0" applyFont="1" applyFill="1" applyAlignment="1" applyProtection="1">
      <alignment vertical="center" wrapText="1"/>
    </xf>
    <xf numFmtId="0" fontId="39" fillId="74" borderId="0" xfId="0" applyFont="1" applyFill="1" applyAlignment="1" applyProtection="1">
      <alignment vertical="center"/>
    </xf>
    <xf numFmtId="0" fontId="39" fillId="74" borderId="0" xfId="0" applyFont="1" applyFill="1" applyAlignment="1" applyProtection="1"/>
    <xf numFmtId="0" fontId="0" fillId="74" borderId="0" xfId="0" applyFont="1" applyFill="1" applyAlignment="1" applyProtection="1"/>
    <xf numFmtId="0" fontId="39" fillId="74" borderId="0" xfId="0" applyFont="1" applyFill="1" applyAlignment="1" applyProtection="1">
      <alignment wrapText="1"/>
    </xf>
    <xf numFmtId="0" fontId="69"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vertical="center"/>
    </xf>
    <xf numFmtId="41" fontId="68" fillId="74" borderId="0" xfId="439" applyNumberFormat="1" applyFont="1" applyFill="1" applyAlignment="1" applyProtection="1">
      <alignment wrapText="1"/>
    </xf>
    <xf numFmtId="0" fontId="39" fillId="74" borderId="0" xfId="0" applyNumberFormat="1" applyFont="1" applyFill="1" applyAlignment="1" applyProtection="1">
      <alignment horizontal="left" vertical="center" wrapText="1"/>
    </xf>
    <xf numFmtId="41" fontId="69" fillId="74" borderId="0" xfId="439" applyNumberFormat="1" applyFont="1" applyFill="1" applyAlignment="1" applyProtection="1">
      <alignment wrapText="1"/>
    </xf>
    <xf numFmtId="0" fontId="57" fillId="74" borderId="0" xfId="0" applyFont="1" applyFill="1" applyAlignment="1" applyProtection="1">
      <alignment horizontal="left" vertical="center"/>
    </xf>
    <xf numFmtId="0" fontId="44"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41" fontId="69" fillId="74" borderId="0" xfId="0" applyNumberFormat="1" applyFont="1" applyFill="1" applyAlignment="1" applyProtection="1">
      <alignment wrapText="1"/>
    </xf>
    <xf numFmtId="0" fontId="69" fillId="74" borderId="0" xfId="0" applyFont="1" applyFill="1" applyAlignment="1" applyProtection="1"/>
    <xf numFmtId="0" fontId="69" fillId="74" borderId="0" xfId="0" applyFont="1" applyFill="1" applyAlignment="1" applyProtection="1">
      <alignment horizontal="left" wrapText="1" indent="2"/>
    </xf>
    <xf numFmtId="0" fontId="39"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39"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0" fontId="61" fillId="74" borderId="0" xfId="0" applyFont="1" applyFill="1" applyAlignment="1" applyProtection="1">
      <alignment horizontal="left" vertical="center"/>
    </xf>
    <xf numFmtId="38" fontId="44" fillId="74" borderId="0" xfId="439" applyNumberFormat="1" applyFont="1" applyFill="1" applyAlignment="1" applyProtection="1">
      <alignment horizontal="center" vertical="center" wrapText="1"/>
    </xf>
    <xf numFmtId="0" fontId="39" fillId="74" borderId="0" xfId="0" applyNumberFormat="1" applyFont="1" applyFill="1" applyAlignment="1" applyProtection="1">
      <alignment wrapText="1"/>
    </xf>
    <xf numFmtId="164" fontId="39" fillId="74" borderId="0" xfId="439" applyNumberFormat="1" applyFont="1" applyFill="1" applyAlignment="1" applyProtection="1">
      <alignment horizontal="center" wrapText="1"/>
    </xf>
    <xf numFmtId="41" fontId="68" fillId="74" borderId="0" xfId="0" applyNumberFormat="1" applyFont="1" applyFill="1" applyAlignment="1" applyProtection="1">
      <alignment wrapText="1"/>
    </xf>
    <xf numFmtId="164" fontId="0" fillId="74" borderId="0" xfId="439" applyNumberFormat="1" applyFont="1" applyFill="1" applyProtection="1"/>
    <xf numFmtId="38" fontId="44" fillId="74" borderId="0" xfId="439" applyNumberFormat="1" applyFont="1" applyFill="1" applyProtection="1"/>
    <xf numFmtId="0" fontId="150" fillId="74" borderId="0" xfId="0" applyFont="1" applyFill="1" applyAlignment="1" applyProtection="1">
      <alignment horizontal="left" vertical="center"/>
    </xf>
    <xf numFmtId="38" fontId="39" fillId="74" borderId="0" xfId="0" applyNumberFormat="1" applyFont="1" applyFill="1" applyAlignment="1" applyProtection="1">
      <alignment horizontal="left" vertical="center"/>
    </xf>
    <xf numFmtId="0" fontId="69"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39"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51" fillId="74" borderId="0" xfId="0" applyFont="1" applyFill="1" applyAlignment="1" applyProtection="1">
      <alignment horizontal="left" vertical="center"/>
    </xf>
    <xf numFmtId="0" fontId="80" fillId="74" borderId="0" xfId="0" applyFont="1" applyFill="1" applyAlignment="1" applyProtection="1">
      <alignment vertical="center"/>
    </xf>
    <xf numFmtId="0" fontId="152" fillId="74" borderId="0" xfId="0" applyFont="1" applyFill="1" applyAlignment="1" applyProtection="1">
      <alignment vertical="center"/>
      <protection locked="0"/>
    </xf>
    <xf numFmtId="0" fontId="57" fillId="74" borderId="0" xfId="0" applyFont="1" applyFill="1" applyAlignment="1">
      <alignment vertical="center" wrapText="1"/>
    </xf>
    <xf numFmtId="41" fontId="153" fillId="0" borderId="0" xfId="0" applyNumberFormat="1" applyFont="1" applyFill="1" applyAlignment="1" applyProtection="1">
      <alignment wrapText="1"/>
    </xf>
    <xf numFmtId="0" fontId="57" fillId="74" borderId="0" xfId="0" applyFont="1" applyFill="1" applyAlignment="1" applyProtection="1">
      <alignment vertical="center"/>
    </xf>
    <xf numFmtId="38" fontId="44" fillId="22" borderId="0" xfId="439" applyNumberFormat="1" applyFont="1" applyFill="1" applyAlignment="1" applyProtection="1">
      <alignment horizontal="center" vertical="center" wrapText="1"/>
    </xf>
    <xf numFmtId="166" fontId="0" fillId="21" borderId="16" xfId="0" applyNumberFormat="1" applyFont="1" applyFill="1" applyBorder="1" applyProtection="1"/>
    <xf numFmtId="0" fontId="0" fillId="0" borderId="0" xfId="0" applyAlignment="1">
      <alignment wrapText="1"/>
    </xf>
    <xf numFmtId="0" fontId="0" fillId="0" borderId="0" xfId="0" applyAlignment="1">
      <alignment horizontal="left"/>
    </xf>
    <xf numFmtId="0" fontId="0" fillId="0" borderId="70" xfId="0" applyBorder="1"/>
    <xf numFmtId="0" fontId="0" fillId="0" borderId="80" xfId="0" applyBorder="1"/>
    <xf numFmtId="0" fontId="49" fillId="78" borderId="57" xfId="0" applyFont="1" applyFill="1" applyBorder="1" applyAlignment="1">
      <alignment horizontal="center" wrapText="1"/>
    </xf>
    <xf numFmtId="0" fontId="0" fillId="78" borderId="68" xfId="0" applyFill="1" applyBorder="1" applyAlignment="1">
      <alignment horizontal="left" vertical="center" wrapText="1"/>
    </xf>
    <xf numFmtId="0" fontId="0" fillId="0" borderId="57" xfId="0" applyBorder="1" applyAlignment="1">
      <alignment horizontal="center" vertical="center" wrapText="1"/>
    </xf>
    <xf numFmtId="10" fontId="0" fillId="0" borderId="57" xfId="0" applyNumberFormat="1" applyBorder="1" applyAlignment="1">
      <alignment horizontal="center" vertical="center" wrapText="1"/>
    </xf>
    <xf numFmtId="0" fontId="57" fillId="78" borderId="11" xfId="0" applyFont="1" applyFill="1" applyBorder="1" applyAlignment="1">
      <alignment horizontal="center" vertical="center" wrapText="1"/>
    </xf>
    <xf numFmtId="168" fontId="0" fillId="0" borderId="70" xfId="0" applyNumberFormat="1" applyBorder="1"/>
    <xf numFmtId="2" fontId="0" fillId="0" borderId="41" xfId="0" applyNumberFormat="1" applyBorder="1" applyAlignment="1">
      <alignment horizontal="center"/>
    </xf>
    <xf numFmtId="2" fontId="0" fillId="0" borderId="42" xfId="0" applyNumberFormat="1" applyBorder="1" applyAlignment="1">
      <alignment horizontal="center"/>
    </xf>
    <xf numFmtId="2" fontId="0" fillId="0" borderId="68" xfId="0" applyNumberFormat="1" applyBorder="1" applyAlignment="1">
      <alignment horizontal="center" vertical="center"/>
    </xf>
    <xf numFmtId="0" fontId="39" fillId="0" borderId="67" xfId="0" applyFont="1" applyBorder="1" applyAlignment="1">
      <alignment horizontal="center"/>
    </xf>
    <xf numFmtId="0" fontId="39" fillId="0" borderId="57" xfId="0" applyFont="1" applyBorder="1" applyAlignment="1">
      <alignment horizontal="center"/>
    </xf>
    <xf numFmtId="0" fontId="39" fillId="78" borderId="67" xfId="0" applyFont="1" applyFill="1" applyBorder="1" applyAlignment="1">
      <alignment horizontal="center"/>
    </xf>
    <xf numFmtId="0" fontId="39" fillId="78" borderId="57" xfId="0" applyFont="1" applyFill="1" applyBorder="1" applyAlignment="1">
      <alignment horizontal="center"/>
    </xf>
    <xf numFmtId="0" fontId="0" fillId="78" borderId="57" xfId="0" applyFill="1" applyBorder="1"/>
    <xf numFmtId="0" fontId="0" fillId="78" borderId="57" xfId="0" applyFill="1" applyBorder="1" applyAlignment="1">
      <alignment horizontal="center"/>
    </xf>
    <xf numFmtId="0" fontId="0" fillId="0" borderId="73" xfId="0" applyBorder="1"/>
    <xf numFmtId="0" fontId="0" fillId="0" borderId="78" xfId="0" applyBorder="1"/>
    <xf numFmtId="0" fontId="0" fillId="78" borderId="67" xfId="0" applyFill="1" applyBorder="1" applyAlignment="1">
      <alignment horizontal="center" vertical="center" wrapText="1"/>
    </xf>
    <xf numFmtId="0" fontId="57" fillId="78" borderId="57" xfId="0" applyFont="1" applyFill="1" applyBorder="1" applyAlignment="1">
      <alignment horizontal="center" vertical="center" wrapText="1"/>
    </xf>
    <xf numFmtId="0" fontId="37" fillId="78" borderId="57" xfId="0" applyFont="1" applyFill="1" applyBorder="1" applyAlignment="1">
      <alignment vertical="center" wrapText="1"/>
    </xf>
    <xf numFmtId="0" fontId="0" fillId="78" borderId="57" xfId="0" applyFill="1" applyBorder="1" applyAlignment="1">
      <alignment vertical="center"/>
    </xf>
    <xf numFmtId="0" fontId="37" fillId="78" borderId="57" xfId="0" applyFont="1" applyFill="1" applyBorder="1" applyAlignment="1">
      <alignment horizontal="justify" vertical="center"/>
    </xf>
    <xf numFmtId="0" fontId="45" fillId="78" borderId="57" xfId="0" quotePrefix="1" applyFont="1" applyFill="1" applyBorder="1" applyAlignment="1">
      <alignment horizontal="center" vertical="center" wrapText="1"/>
    </xf>
    <xf numFmtId="0" fontId="45" fillId="78" borderId="57" xfId="0" applyFont="1" applyFill="1" applyBorder="1" applyAlignment="1">
      <alignment horizontal="center" vertical="center" wrapText="1"/>
    </xf>
    <xf numFmtId="0" fontId="45" fillId="78" borderId="13" xfId="0" applyFont="1" applyFill="1" applyBorder="1" applyAlignment="1">
      <alignment vertical="center" wrapText="1"/>
    </xf>
    <xf numFmtId="0" fontId="40" fillId="78" borderId="13" xfId="0" applyFont="1" applyFill="1" applyBorder="1" applyAlignment="1">
      <alignment horizontal="center" vertical="center"/>
    </xf>
    <xf numFmtId="0" fontId="45" fillId="78" borderId="13" xfId="0" applyFont="1" applyFill="1" applyBorder="1" applyAlignment="1">
      <alignment vertical="center"/>
    </xf>
    <xf numFmtId="0" fontId="0" fillId="0" borderId="57" xfId="0" applyBorder="1"/>
    <xf numFmtId="164" fontId="0" fillId="0" borderId="0" xfId="439" applyNumberFormat="1" applyFont="1" applyFill="1" applyProtection="1"/>
    <xf numFmtId="164" fontId="44" fillId="22" borderId="0" xfId="439" applyNumberFormat="1" applyFont="1" applyFill="1" applyAlignment="1" applyProtection="1">
      <alignment horizontal="center" vertical="center" wrapText="1"/>
    </xf>
    <xf numFmtId="173" fontId="44" fillId="22" borderId="0" xfId="439" applyNumberFormat="1" applyFont="1" applyFill="1" applyAlignment="1" applyProtection="1">
      <alignment horizontal="center" vertical="center" wrapText="1"/>
    </xf>
    <xf numFmtId="41" fontId="69" fillId="0" borderId="0" xfId="439" applyNumberFormat="1" applyFont="1" applyFill="1" applyAlignment="1" applyProtection="1">
      <alignment horizontal="center" vertical="center" wrapText="1"/>
      <protection locked="0"/>
    </xf>
    <xf numFmtId="0" fontId="158" fillId="77" borderId="57" xfId="0" applyFont="1" applyFill="1" applyBorder="1" applyAlignment="1">
      <alignment horizontal="center" vertical="center" wrapText="1"/>
    </xf>
    <xf numFmtId="0" fontId="155" fillId="0" borderId="0" xfId="0" applyFont="1"/>
    <xf numFmtId="0" fontId="159" fillId="73" borderId="0" xfId="0" applyFont="1" applyFill="1" applyAlignment="1">
      <alignment horizontal="justify" vertical="center"/>
    </xf>
    <xf numFmtId="0" fontId="159" fillId="73" borderId="0" xfId="0" applyFont="1" applyFill="1" applyAlignment="1">
      <alignment vertical="center"/>
    </xf>
    <xf numFmtId="0" fontId="0" fillId="0" borderId="0" xfId="0" applyAlignment="1">
      <alignment vertical="center"/>
    </xf>
    <xf numFmtId="0" fontId="159" fillId="73" borderId="0" xfId="0" applyFont="1" applyFill="1" applyAlignment="1">
      <alignment vertical="center" wrapText="1"/>
    </xf>
    <xf numFmtId="0" fontId="163" fillId="73" borderId="0" xfId="611" applyFont="1" applyFill="1" applyAlignment="1">
      <alignment vertical="center"/>
    </xf>
    <xf numFmtId="0" fontId="164" fillId="73" borderId="0" xfId="0" applyFont="1" applyFill="1" applyAlignment="1">
      <alignment vertical="center"/>
    </xf>
    <xf numFmtId="0" fontId="165" fillId="73" borderId="0" xfId="611" applyFont="1" applyFill="1" applyAlignment="1" applyProtection="1">
      <alignment vertical="center"/>
      <protection locked="0"/>
    </xf>
    <xf numFmtId="0" fontId="164" fillId="73" borderId="0" xfId="0" applyFont="1" applyFill="1"/>
    <xf numFmtId="0" fontId="165" fillId="73" borderId="0" xfId="611" applyFont="1" applyFill="1" applyProtection="1">
      <protection locked="0"/>
    </xf>
    <xf numFmtId="0" fontId="116" fillId="73" borderId="0" xfId="30098" quotePrefix="1" applyFont="1" applyFill="1" applyAlignment="1">
      <alignment horizontal="left" vertical="center" wrapText="1" indent="1"/>
    </xf>
    <xf numFmtId="0" fontId="168" fillId="73" borderId="0" xfId="30098" applyFont="1" applyFill="1" applyAlignment="1">
      <alignment vertical="center" wrapText="1"/>
    </xf>
    <xf numFmtId="0" fontId="35" fillId="0" borderId="0" xfId="611"/>
    <xf numFmtId="0" fontId="159" fillId="73" borderId="0" xfId="30098" applyFont="1" applyFill="1" applyAlignment="1">
      <alignment vertical="center" wrapText="1"/>
    </xf>
    <xf numFmtId="0" fontId="0" fillId="79" borderId="25" xfId="0" applyNumberFormat="1" applyFont="1" applyFill="1" applyBorder="1" applyAlignment="1" applyProtection="1">
      <alignment horizontal="left" vertical="center" wrapText="1"/>
    </xf>
    <xf numFmtId="164" fontId="49" fillId="34" borderId="0" xfId="0" applyNumberFormat="1" applyFont="1" applyFill="1" applyAlignment="1" applyProtection="1">
      <alignment wrapText="1"/>
    </xf>
    <xf numFmtId="1" fontId="0" fillId="0" borderId="0" xfId="0" applyNumberFormat="1" applyFont="1" applyFill="1" applyAlignment="1" applyProtection="1">
      <alignment horizontal="center" vertical="center"/>
    </xf>
    <xf numFmtId="0" fontId="0" fillId="20" borderId="0" xfId="0" applyFill="1"/>
    <xf numFmtId="0" fontId="0" fillId="0" borderId="0" xfId="0" applyFill="1" applyAlignment="1">
      <alignment horizontal="center"/>
    </xf>
    <xf numFmtId="0" fontId="0" fillId="0" borderId="0" xfId="0" applyFill="1"/>
    <xf numFmtId="0" fontId="0" fillId="80" borderId="0" xfId="0" applyNumberFormat="1" applyFont="1" applyFill="1" applyAlignment="1" applyProtection="1">
      <alignment horizontal="center" vertical="center"/>
    </xf>
    <xf numFmtId="0" fontId="0" fillId="80" borderId="45" xfId="0" applyNumberFormat="1" applyFont="1" applyFill="1" applyBorder="1" applyAlignment="1" applyProtection="1">
      <alignment horizontal="center" vertical="center" wrapText="1"/>
    </xf>
    <xf numFmtId="38" fontId="44" fillId="22" borderId="45" xfId="439" applyNumberFormat="1" applyFont="1" applyFill="1" applyBorder="1" applyAlignment="1" applyProtection="1">
      <alignment horizontal="center" vertical="center" wrapText="1"/>
    </xf>
    <xf numFmtId="4" fontId="0" fillId="0" borderId="0" xfId="0" applyNumberFormat="1"/>
    <xf numFmtId="41" fontId="69" fillId="81" borderId="0" xfId="0" applyNumberFormat="1" applyFont="1" applyFill="1" applyAlignment="1" applyProtection="1">
      <alignment vertical="center" wrapText="1"/>
    </xf>
    <xf numFmtId="183" fontId="0" fillId="0" borderId="0" xfId="439" applyNumberFormat="1" applyFont="1" applyProtection="1"/>
    <xf numFmtId="43" fontId="0" fillId="0" borderId="0" xfId="0" applyNumberFormat="1" applyFont="1" applyProtection="1"/>
    <xf numFmtId="184" fontId="41" fillId="31" borderId="66" xfId="0" applyNumberFormat="1" applyFont="1" applyFill="1" applyBorder="1" applyAlignment="1">
      <alignment wrapText="1"/>
    </xf>
    <xf numFmtId="184" fontId="56" fillId="0" borderId="28" xfId="439" applyNumberFormat="1" applyFont="1" applyFill="1" applyBorder="1" applyAlignment="1" applyProtection="1">
      <alignment horizontal="center" vertical="center" wrapText="1"/>
    </xf>
    <xf numFmtId="0" fontId="0" fillId="0" borderId="13" xfId="0" applyBorder="1"/>
    <xf numFmtId="0" fontId="0" fillId="0" borderId="40" xfId="0" applyBorder="1"/>
    <xf numFmtId="0" fontId="0" fillId="0" borderId="67" xfId="0" applyBorder="1"/>
    <xf numFmtId="0" fontId="39" fillId="78" borderId="82" xfId="0" applyFont="1" applyFill="1" applyBorder="1" applyAlignment="1">
      <alignment horizontal="left"/>
    </xf>
    <xf numFmtId="0" fontId="0" fillId="78" borderId="83" xfId="0" applyFill="1" applyBorder="1"/>
    <xf numFmtId="0" fontId="0" fillId="78" borderId="88" xfId="0" applyFill="1" applyBorder="1"/>
    <xf numFmtId="0" fontId="0" fillId="0" borderId="81" xfId="0" applyBorder="1"/>
    <xf numFmtId="0" fontId="157" fillId="0" borderId="68" xfId="0" applyFont="1" applyBorder="1" applyAlignment="1">
      <alignment horizontal="center" vertical="center" wrapText="1"/>
    </xf>
    <xf numFmtId="0" fontId="0" fillId="0" borderId="68" xfId="0" applyBorder="1"/>
    <xf numFmtId="0" fontId="157" fillId="0" borderId="13" xfId="0" applyFont="1" applyBorder="1" applyAlignment="1">
      <alignment horizontal="center" vertical="center" wrapText="1"/>
    </xf>
    <xf numFmtId="0" fontId="39" fillId="0" borderId="68" xfId="0" quotePrefix="1" applyFont="1" applyBorder="1" applyAlignment="1">
      <alignment horizontal="center" vertical="center"/>
    </xf>
    <xf numFmtId="0" fontId="39" fillId="0" borderId="57" xfId="0" quotePrefix="1" applyFont="1" applyBorder="1" applyAlignment="1">
      <alignment horizontal="center" vertical="center"/>
    </xf>
    <xf numFmtId="0" fontId="0" fillId="0" borderId="68" xfId="0" applyBorder="1" applyAlignment="1">
      <alignment horizontal="center" vertical="center" wrapText="1"/>
    </xf>
    <xf numFmtId="0" fontId="37" fillId="78" borderId="68" xfId="0" applyFont="1" applyFill="1" applyBorder="1" applyAlignment="1">
      <alignment vertical="center" wrapText="1"/>
    </xf>
    <xf numFmtId="0" fontId="37" fillId="78" borderId="57" xfId="0" applyFont="1" applyFill="1" applyBorder="1" applyAlignment="1">
      <alignment horizontal="justify" vertical="center" wrapText="1"/>
    </xf>
    <xf numFmtId="0" fontId="39" fillId="0" borderId="57" xfId="0" quotePrefix="1" applyFont="1" applyBorder="1" applyAlignment="1">
      <alignment horizontal="center"/>
    </xf>
    <xf numFmtId="0" fontId="170" fillId="78" borderId="11" xfId="0" applyFont="1" applyFill="1" applyBorder="1" applyAlignment="1">
      <alignment horizontal="justify" vertical="center" wrapText="1"/>
    </xf>
    <xf numFmtId="0" fontId="39" fillId="0" borderId="41" xfId="0" applyFont="1" applyBorder="1" applyAlignment="1">
      <alignment vertical="center" wrapText="1"/>
    </xf>
    <xf numFmtId="0" fontId="39" fillId="0" borderId="38" xfId="0" applyFont="1" applyBorder="1" applyAlignment="1">
      <alignment vertical="center" wrapText="1"/>
    </xf>
    <xf numFmtId="5" fontId="0" fillId="0" borderId="57" xfId="0" applyNumberFormat="1" applyBorder="1" applyAlignment="1">
      <alignment horizontal="center" vertical="center"/>
    </xf>
    <xf numFmtId="10" fontId="0" fillId="0" borderId="57" xfId="4688" applyNumberFormat="1" applyFont="1" applyFill="1" applyBorder="1" applyAlignment="1">
      <alignment horizontal="center" vertical="center"/>
    </xf>
    <xf numFmtId="10" fontId="0" fillId="0" borderId="57" xfId="0" applyNumberFormat="1" applyBorder="1" applyAlignment="1">
      <alignment horizontal="center" vertical="center"/>
    </xf>
    <xf numFmtId="0" fontId="39" fillId="78" borderId="11" xfId="0" applyFont="1" applyFill="1" applyBorder="1" applyAlignment="1">
      <alignment horizontal="justify" vertical="center" wrapText="1"/>
    </xf>
    <xf numFmtId="37" fontId="0" fillId="0" borderId="57" xfId="0" applyNumberFormat="1" applyBorder="1" applyAlignment="1">
      <alignment horizontal="center" vertical="center" wrapText="1"/>
    </xf>
    <xf numFmtId="37" fontId="68" fillId="82" borderId="57" xfId="0" applyNumberFormat="1" applyFont="1" applyFill="1" applyBorder="1" applyAlignment="1">
      <alignment horizontal="center" wrapText="1"/>
    </xf>
    <xf numFmtId="0" fontId="45" fillId="78" borderId="13" xfId="0" applyFont="1" applyFill="1" applyBorder="1" applyAlignment="1">
      <alignment horizontal="center" vertical="center" wrapText="1"/>
    </xf>
    <xf numFmtId="0" fontId="39" fillId="78" borderId="57" xfId="0" applyFont="1" applyFill="1" applyBorder="1" applyAlignment="1">
      <alignment horizontal="center" wrapText="1"/>
    </xf>
    <xf numFmtId="0" fontId="0" fillId="78" borderId="82" xfId="0" applyFill="1" applyBorder="1"/>
    <xf numFmtId="49" fontId="39" fillId="0" borderId="57" xfId="0" quotePrefix="1" applyNumberFormat="1" applyFont="1" applyBorder="1" applyAlignment="1">
      <alignment horizontal="center" vertical="center"/>
    </xf>
    <xf numFmtId="0" fontId="0" fillId="0" borderId="57" xfId="0" quotePrefix="1" applyBorder="1"/>
    <xf numFmtId="0" fontId="39" fillId="0" borderId="57" xfId="0" applyFont="1" applyBorder="1" applyAlignment="1">
      <alignment horizontal="center" vertical="center"/>
    </xf>
    <xf numFmtId="0" fontId="39" fillId="78" borderId="11" xfId="0" applyFont="1" applyFill="1" applyBorder="1" applyAlignment="1">
      <alignment horizontal="left" vertical="center" wrapText="1"/>
    </xf>
    <xf numFmtId="0" fontId="0" fillId="1" borderId="57" xfId="0" applyFill="1" applyBorder="1" applyAlignment="1">
      <alignment horizontal="center" vertical="center" wrapText="1"/>
    </xf>
    <xf numFmtId="37" fontId="0" fillId="0" borderId="57" xfId="0" applyNumberFormat="1" applyBorder="1" applyAlignment="1">
      <alignment horizontal="center" vertical="center"/>
    </xf>
    <xf numFmtId="0" fontId="39" fillId="0" borderId="78" xfId="0" applyFont="1" applyBorder="1" applyAlignment="1">
      <alignment horizontal="center" vertical="center"/>
    </xf>
    <xf numFmtId="10" fontId="44" fillId="0" borderId="0" xfId="4688" applyNumberFormat="1" applyFont="1"/>
    <xf numFmtId="0" fontId="33" fillId="0" borderId="0" xfId="0" applyFont="1"/>
    <xf numFmtId="0" fontId="39" fillId="0" borderId="0" xfId="682" applyFont="1" applyAlignment="1">
      <alignment wrapText="1"/>
    </xf>
    <xf numFmtId="0" fontId="128" fillId="0" borderId="0" xfId="682" applyFont="1"/>
    <xf numFmtId="0" fontId="39" fillId="0" borderId="0" xfId="682" applyFont="1" applyAlignment="1">
      <alignment horizontal="left"/>
    </xf>
    <xf numFmtId="41" fontId="131" fillId="0" borderId="0" xfId="682" applyNumberFormat="1" applyFont="1"/>
    <xf numFmtId="41" fontId="52" fillId="0" borderId="0" xfId="682" applyNumberFormat="1" applyFont="1"/>
    <xf numFmtId="0" fontId="33" fillId="0" borderId="0" xfId="682" applyFont="1"/>
    <xf numFmtId="42" fontId="39" fillId="0" borderId="0" xfId="546" applyNumberFormat="1" applyFont="1" applyFill="1" applyBorder="1"/>
    <xf numFmtId="0" fontId="133" fillId="0" borderId="0" xfId="682" applyFont="1" applyAlignment="1">
      <alignment horizontal="left" vertical="center" wrapText="1"/>
    </xf>
    <xf numFmtId="10" fontId="39" fillId="0" borderId="19" xfId="682" applyNumberFormat="1" applyFont="1" applyBorder="1" applyAlignment="1">
      <alignment horizontal="right" vertical="center"/>
    </xf>
    <xf numFmtId="0" fontId="0" fillId="78" borderId="11" xfId="0" applyFill="1" applyBorder="1" applyAlignment="1">
      <alignment horizontal="center"/>
    </xf>
    <xf numFmtId="0" fontId="44" fillId="0" borderId="85" xfId="0" applyFont="1" applyBorder="1"/>
    <xf numFmtId="0" fontId="44" fillId="0" borderId="0" xfId="0" applyFont="1"/>
    <xf numFmtId="0" fontId="44" fillId="0" borderId="69" xfId="0" applyFont="1" applyBorder="1"/>
    <xf numFmtId="0" fontId="44" fillId="0" borderId="70" xfId="0" applyFont="1" applyBorder="1"/>
    <xf numFmtId="0" fontId="172" fillId="0" borderId="0" xfId="0" applyFont="1" applyAlignment="1">
      <alignment vertical="center" wrapText="1"/>
    </xf>
    <xf numFmtId="0" fontId="44" fillId="0" borderId="79" xfId="0" applyFont="1" applyBorder="1" applyAlignment="1">
      <alignment wrapText="1"/>
    </xf>
    <xf numFmtId="1" fontId="44" fillId="0" borderId="0" xfId="0" applyNumberFormat="1" applyFont="1"/>
    <xf numFmtId="0" fontId="44" fillId="0" borderId="77" xfId="0" applyFont="1" applyBorder="1"/>
    <xf numFmtId="0" fontId="44" fillId="0" borderId="0" xfId="0" applyFont="1" applyAlignment="1">
      <alignment horizontal="center"/>
    </xf>
    <xf numFmtId="0" fontId="44" fillId="0" borderId="0" xfId="0" applyFont="1" applyAlignment="1">
      <alignment horizontal="center" wrapText="1"/>
    </xf>
    <xf numFmtId="9" fontId="44" fillId="0" borderId="0" xfId="4688" applyFont="1" applyFill="1" applyBorder="1"/>
    <xf numFmtId="10" fontId="44" fillId="0" borderId="69" xfId="0" applyNumberFormat="1" applyFont="1" applyBorder="1"/>
    <xf numFmtId="2" fontId="44" fillId="0" borderId="0" xfId="4688" applyNumberFormat="1" applyFont="1"/>
    <xf numFmtId="2" fontId="44" fillId="0" borderId="0" xfId="0" applyNumberFormat="1" applyFont="1"/>
    <xf numFmtId="168" fontId="44" fillId="0" borderId="0" xfId="0" applyNumberFormat="1" applyFont="1"/>
    <xf numFmtId="168" fontId="44" fillId="0" borderId="69" xfId="0" applyNumberFormat="1" applyFont="1" applyBorder="1"/>
    <xf numFmtId="168" fontId="44" fillId="0" borderId="70" xfId="0" applyNumberFormat="1" applyFont="1" applyBorder="1"/>
    <xf numFmtId="164" fontId="44" fillId="0" borderId="0" xfId="439" applyNumberFormat="1" applyFont="1"/>
    <xf numFmtId="10" fontId="44" fillId="0" borderId="0" xfId="4688" applyNumberFormat="1" applyFont="1" applyFill="1" applyBorder="1"/>
    <xf numFmtId="0" fontId="44" fillId="0" borderId="0" xfId="0" applyFont="1" applyAlignment="1">
      <alignment wrapText="1"/>
    </xf>
    <xf numFmtId="43" fontId="44" fillId="0" borderId="0" xfId="439" applyFont="1" applyFill="1" applyBorder="1"/>
    <xf numFmtId="43" fontId="44" fillId="0" borderId="0" xfId="0" applyNumberFormat="1" applyFont="1"/>
    <xf numFmtId="0" fontId="57" fillId="0" borderId="0" xfId="0" applyFont="1" applyAlignment="1">
      <alignment wrapText="1"/>
    </xf>
    <xf numFmtId="0" fontId="44" fillId="0" borderId="79" xfId="0" applyFont="1" applyBorder="1"/>
    <xf numFmtId="37" fontId="44" fillId="0" borderId="0" xfId="0" applyNumberFormat="1" applyFont="1" applyAlignment="1">
      <alignment horizontal="center"/>
    </xf>
    <xf numFmtId="0" fontId="44" fillId="0" borderId="80" xfId="0" applyFont="1" applyBorder="1"/>
    <xf numFmtId="0" fontId="0" fillId="0" borderId="0" xfId="0" applyFill="1" applyAlignment="1">
      <alignment horizontal="left" vertical="center"/>
    </xf>
    <xf numFmtId="0" fontId="0" fillId="0" borderId="0" xfId="0" applyFill="1" applyAlignment="1">
      <alignment wrapText="1"/>
    </xf>
    <xf numFmtId="0" fontId="173" fillId="0" borderId="0" xfId="0" applyFont="1" applyFill="1" applyAlignment="1">
      <alignment horizontal="left" vertical="center"/>
    </xf>
    <xf numFmtId="0" fontId="39" fillId="0" borderId="13" xfId="0" applyFont="1" applyFill="1" applyBorder="1" applyAlignment="1">
      <alignment horizontal="left" vertical="center"/>
    </xf>
    <xf numFmtId="0" fontId="0" fillId="0" borderId="16" xfId="0" applyFill="1" applyBorder="1"/>
    <xf numFmtId="0" fontId="80" fillId="0" borderId="41" xfId="0" applyFont="1" applyFill="1" applyBorder="1"/>
    <xf numFmtId="0" fontId="0" fillId="34" borderId="10" xfId="0" applyFill="1" applyBorder="1" applyAlignment="1">
      <alignment horizontal="center" vertical="center"/>
    </xf>
    <xf numFmtId="0" fontId="0" fillId="34" borderId="10" xfId="0" applyFill="1" applyBorder="1" applyAlignment="1">
      <alignment vertical="center" wrapText="1"/>
    </xf>
    <xf numFmtId="0" fontId="0" fillId="34" borderId="0" xfId="0" applyFill="1" applyAlignment="1">
      <alignment vertical="center" wrapText="1"/>
    </xf>
    <xf numFmtId="0" fontId="80" fillId="0" borderId="41" xfId="0" applyFont="1" applyFill="1" applyBorder="1" applyAlignment="1">
      <alignment wrapText="1"/>
    </xf>
    <xf numFmtId="0" fontId="0" fillId="0" borderId="16" xfId="0"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0" fontId="44" fillId="0" borderId="45" xfId="0" applyNumberFormat="1" applyFont="1" applyFill="1" applyBorder="1" applyAlignment="1" applyProtection="1">
      <alignment horizontal="left" vertical="center" wrapText="1"/>
    </xf>
    <xf numFmtId="0" fontId="0" fillId="0" borderId="0" xfId="0" quotePrefix="1" applyFont="1" applyAlignment="1" applyProtection="1">
      <alignment vertical="center" wrapText="1"/>
    </xf>
    <xf numFmtId="0" fontId="39" fillId="32" borderId="45" xfId="0" applyNumberFormat="1" applyFont="1" applyFill="1" applyBorder="1" applyAlignment="1" applyProtection="1">
      <alignment horizontal="center" vertical="center"/>
    </xf>
    <xf numFmtId="0" fontId="0" fillId="32" borderId="45" xfId="0" applyFont="1" applyFill="1" applyBorder="1" applyAlignment="1" applyProtection="1">
      <alignment vertical="center" wrapText="1"/>
    </xf>
    <xf numFmtId="37" fontId="0" fillId="32" borderId="45" xfId="439" applyNumberFormat="1" applyFont="1" applyFill="1" applyBorder="1" applyAlignment="1" applyProtection="1">
      <alignment vertical="center"/>
    </xf>
    <xf numFmtId="0" fontId="0" fillId="36" borderId="0" xfId="0" applyFont="1" applyFill="1" applyAlignment="1" applyProtection="1">
      <alignment horizontal="center" vertical="center"/>
    </xf>
    <xf numFmtId="41" fontId="69" fillId="31" borderId="75" xfId="439" applyNumberFormat="1" applyFont="1" applyFill="1" applyBorder="1" applyAlignment="1">
      <alignment vertical="center" wrapText="1"/>
    </xf>
    <xf numFmtId="41" fontId="69" fillId="31" borderId="0" xfId="439" applyNumberFormat="1" applyFont="1" applyFill="1" applyAlignment="1">
      <alignment vertical="center" wrapText="1"/>
    </xf>
    <xf numFmtId="41" fontId="69" fillId="31" borderId="87" xfId="439" applyNumberFormat="1" applyFont="1" applyFill="1" applyBorder="1" applyAlignment="1">
      <alignment vertical="center" wrapText="1"/>
    </xf>
    <xf numFmtId="41" fontId="69" fillId="31" borderId="76" xfId="439" applyNumberFormat="1" applyFont="1" applyFill="1" applyBorder="1" applyAlignment="1">
      <alignment vertical="center" wrapText="1"/>
    </xf>
    <xf numFmtId="0" fontId="0" fillId="0" borderId="0" xfId="0" quotePrefix="1" applyFont="1"/>
    <xf numFmtId="14" fontId="56" fillId="36" borderId="23" xfId="439" applyNumberFormat="1" applyFont="1" applyFill="1" applyBorder="1" applyAlignment="1" applyProtection="1">
      <alignment horizontal="center" vertical="center" wrapText="1"/>
    </xf>
    <xf numFmtId="10" fontId="176" fillId="0" borderId="57" xfId="4688" applyNumberFormat="1" applyFont="1" applyFill="1" applyBorder="1" applyAlignment="1">
      <alignment horizontal="center" vertical="center" wrapText="1"/>
    </xf>
    <xf numFmtId="10" fontId="176" fillId="0" borderId="57" xfId="0" applyNumberFormat="1" applyFont="1" applyBorder="1" applyAlignment="1">
      <alignment horizontal="center" vertical="center" wrapText="1"/>
    </xf>
    <xf numFmtId="37" fontId="176" fillId="0" borderId="57" xfId="0" applyNumberFormat="1" applyFont="1" applyBorder="1" applyAlignment="1">
      <alignment horizontal="center" vertical="center" wrapText="1"/>
    </xf>
    <xf numFmtId="40" fontId="44" fillId="0" borderId="0" xfId="439" applyNumberFormat="1" applyFont="1" applyFill="1" applyAlignment="1" applyProtection="1">
      <alignment horizontal="center" vertical="center" wrapText="1"/>
    </xf>
    <xf numFmtId="0" fontId="37" fillId="78" borderId="11" xfId="0" applyFont="1" applyFill="1" applyBorder="1" applyAlignment="1">
      <alignment horizontal="justify" vertical="center" wrapText="1"/>
    </xf>
    <xf numFmtId="6" fontId="0" fillId="0" borderId="57" xfId="0" applyNumberFormat="1" applyBorder="1" applyAlignment="1">
      <alignment horizontal="center" vertical="center" wrapText="1"/>
    </xf>
    <xf numFmtId="0" fontId="0" fillId="0" borderId="57" xfId="0" applyNumberFormat="1" applyBorder="1" applyAlignment="1">
      <alignment horizontal="center" vertical="center" wrapText="1"/>
    </xf>
    <xf numFmtId="6" fontId="0" fillId="0" borderId="57" xfId="0" applyNumberFormat="1" applyBorder="1" applyAlignment="1">
      <alignment horizontal="center" vertical="center"/>
    </xf>
    <xf numFmtId="38" fontId="0" fillId="0" borderId="0" xfId="0" applyNumberFormat="1" applyFill="1" applyAlignment="1" applyProtection="1">
      <alignment vertical="center" wrapText="1"/>
      <protection locked="0"/>
    </xf>
    <xf numFmtId="164" fontId="56" fillId="29" borderId="0" xfId="439" applyNumberFormat="1" applyFont="1" applyFill="1" applyBorder="1" applyAlignment="1" applyProtection="1">
      <alignment horizontal="center" vertical="center" wrapText="1"/>
      <protection locked="0"/>
    </xf>
    <xf numFmtId="37" fontId="39" fillId="0" borderId="0" xfId="439" applyNumberFormat="1" applyFont="1" applyFill="1" applyBorder="1" applyAlignment="1" applyProtection="1">
      <alignment horizontal="center" vertical="center" wrapText="1"/>
    </xf>
    <xf numFmtId="0" fontId="39" fillId="83" borderId="0" xfId="0" applyNumberFormat="1" applyFont="1" applyFill="1" applyBorder="1" applyAlignment="1" applyProtection="1">
      <alignment horizontal="center" vertical="center"/>
    </xf>
    <xf numFmtId="38" fontId="0" fillId="0" borderId="0" xfId="0" applyNumberFormat="1" applyFont="1" applyFill="1" applyBorder="1" applyProtection="1"/>
    <xf numFmtId="0" fontId="69" fillId="0" borderId="0" xfId="0" applyFont="1" applyFill="1" applyAlignment="1" applyProtection="1">
      <alignment wrapText="1"/>
    </xf>
    <xf numFmtId="0" fontId="0" fillId="0" borderId="0" xfId="0" applyAlignment="1">
      <alignment vertical="center" wrapText="1"/>
    </xf>
    <xf numFmtId="0" fontId="0" fillId="0" borderId="36" xfId="0" applyBorder="1" applyAlignment="1">
      <alignment vertical="center" wrapText="1"/>
    </xf>
    <xf numFmtId="0" fontId="0" fillId="0" borderId="36" xfId="0" applyBorder="1" applyAlignment="1">
      <alignment horizontal="left" vertical="center" wrapText="1"/>
    </xf>
    <xf numFmtId="0" fontId="0" fillId="0" borderId="10" xfId="0" applyFill="1" applyBorder="1" applyAlignment="1">
      <alignment horizontal="center" vertical="center"/>
    </xf>
    <xf numFmtId="0" fontId="0" fillId="0" borderId="10" xfId="0" applyFill="1" applyBorder="1" applyAlignment="1">
      <alignment vertical="center" wrapText="1"/>
    </xf>
    <xf numFmtId="49" fontId="39" fillId="29" borderId="0" xfId="439" applyNumberFormat="1" applyFont="1" applyFill="1" applyAlignment="1" applyProtection="1">
      <alignment horizontal="center" vertical="center" wrapText="1"/>
      <protection locked="0"/>
    </xf>
    <xf numFmtId="0" fontId="68" fillId="0" borderId="71" xfId="0" applyFont="1" applyFill="1" applyBorder="1" applyAlignment="1">
      <alignment vertical="center" wrapText="1"/>
    </xf>
    <xf numFmtId="0" fontId="68" fillId="0" borderId="10" xfId="0" applyFont="1" applyFill="1" applyBorder="1" applyAlignment="1">
      <alignment vertical="center" wrapText="1"/>
    </xf>
    <xf numFmtId="0" fontId="179" fillId="73" borderId="0" xfId="30098" applyFont="1" applyFill="1" applyAlignment="1">
      <alignment vertical="center" wrapText="1"/>
    </xf>
    <xf numFmtId="0" fontId="0" fillId="0" borderId="0" xfId="0" applyFont="1" applyFill="1" applyAlignment="1" applyProtection="1">
      <alignment horizontal="left" vertical="center"/>
    </xf>
    <xf numFmtId="0" fontId="0" fillId="0" borderId="45" xfId="0" applyNumberFormat="1" applyFont="1" applyFill="1" applyBorder="1" applyAlignment="1" applyProtection="1">
      <alignment horizontal="left" vertical="center"/>
    </xf>
    <xf numFmtId="0" fontId="0" fillId="0" borderId="14" xfId="0" applyFont="1" applyFill="1" applyBorder="1" applyAlignment="1" applyProtection="1">
      <alignment horizontal="left" vertical="center"/>
    </xf>
    <xf numFmtId="41" fontId="69" fillId="0" borderId="0" xfId="0" applyNumberFormat="1" applyFont="1" applyFill="1" applyAlignment="1" applyProtection="1">
      <alignment vertical="center" wrapText="1"/>
    </xf>
    <xf numFmtId="39" fontId="56" fillId="75" borderId="28" xfId="439" applyNumberFormat="1" applyFont="1" applyFill="1" applyBorder="1" applyAlignment="1" applyProtection="1">
      <alignment horizontal="center" vertical="center" wrapText="1"/>
    </xf>
    <xf numFmtId="169" fontId="0" fillId="74" borderId="65" xfId="439" applyNumberFormat="1" applyFont="1" applyFill="1" applyBorder="1" applyAlignment="1" applyProtection="1">
      <alignment horizontal="center" vertical="center"/>
    </xf>
    <xf numFmtId="0" fontId="41" fillId="0" borderId="10" xfId="0" applyFont="1" applyBorder="1" applyAlignment="1" applyProtection="1">
      <alignment horizontal="right" wrapText="1"/>
    </xf>
    <xf numFmtId="164" fontId="0" fillId="0" borderId="10" xfId="439" applyNumberFormat="1" applyFont="1" applyFill="1" applyBorder="1" applyAlignment="1" applyProtection="1">
      <alignment vertical="center"/>
    </xf>
    <xf numFmtId="0" fontId="41" fillId="0" borderId="10" xfId="0" applyFont="1" applyBorder="1" applyAlignment="1" applyProtection="1">
      <alignment horizontal="right" vertical="center" wrapText="1"/>
    </xf>
    <xf numFmtId="39" fontId="0" fillId="0" borderId="10" xfId="0" applyNumberFormat="1" applyBorder="1"/>
    <xf numFmtId="174" fontId="0" fillId="75" borderId="29" xfId="439" applyNumberFormat="1" applyFont="1" applyFill="1" applyBorder="1" applyAlignment="1" applyProtection="1">
      <alignment vertical="center"/>
    </xf>
    <xf numFmtId="174" fontId="0" fillId="75" borderId="28" xfId="439" applyNumberFormat="1" applyFont="1" applyFill="1" applyBorder="1" applyAlignment="1" applyProtection="1">
      <alignment vertical="center"/>
    </xf>
    <xf numFmtId="39" fontId="0" fillId="75" borderId="29" xfId="439" applyNumberFormat="1" applyFont="1" applyFill="1" applyBorder="1" applyAlignment="1" applyProtection="1">
      <alignment vertical="center"/>
    </xf>
    <xf numFmtId="39" fontId="56" fillId="75" borderId="23" xfId="439" applyNumberFormat="1" applyFont="1" applyFill="1" applyBorder="1" applyAlignment="1" applyProtection="1">
      <alignment horizontal="center" vertical="center" wrapText="1"/>
    </xf>
    <xf numFmtId="39" fontId="0" fillId="75" borderId="28" xfId="439" applyNumberFormat="1" applyFont="1" applyFill="1" applyBorder="1" applyAlignment="1" applyProtection="1">
      <alignment vertical="center"/>
    </xf>
    <xf numFmtId="10" fontId="39" fillId="0" borderId="0" xfId="682" applyNumberFormat="1" applyFont="1" applyBorder="1" applyAlignment="1">
      <alignment horizontal="right" vertical="center"/>
    </xf>
    <xf numFmtId="0" fontId="0" fillId="0" borderId="0" xfId="0" applyNumberFormat="1"/>
    <xf numFmtId="37" fontId="44" fillId="36" borderId="0" xfId="0" applyNumberFormat="1" applyFont="1" applyFill="1"/>
    <xf numFmtId="3" fontId="44" fillId="36" borderId="0" xfId="4688" applyNumberFormat="1" applyFont="1" applyFill="1" applyBorder="1"/>
    <xf numFmtId="0" fontId="0" fillId="0" borderId="0" xfId="0" applyFont="1" applyFill="1" applyAlignment="1">
      <alignment wrapText="1"/>
    </xf>
    <xf numFmtId="42" fontId="0" fillId="0" borderId="0" xfId="0" applyNumberFormat="1"/>
    <xf numFmtId="0" fontId="52" fillId="0" borderId="0" xfId="0" applyFont="1"/>
    <xf numFmtId="0" fontId="52" fillId="0" borderId="0" xfId="0" applyFont="1" applyAlignment="1">
      <alignment horizontal="center"/>
    </xf>
    <xf numFmtId="0" fontId="52" fillId="0" borderId="0" xfId="0" quotePrefix="1" applyFont="1"/>
    <xf numFmtId="0" fontId="52" fillId="0" borderId="0" xfId="682" applyFont="1" applyFill="1" applyAlignment="1">
      <alignment horizontal="left"/>
    </xf>
    <xf numFmtId="0" fontId="0" fillId="0" borderId="0" xfId="0" quotePrefix="1" applyFill="1" applyAlignment="1">
      <alignment horizontal="center"/>
    </xf>
    <xf numFmtId="0" fontId="0" fillId="0" borderId="0" xfId="0" applyFill="1" applyAlignment="1"/>
    <xf numFmtId="186" fontId="52" fillId="0" borderId="0" xfId="682" applyNumberFormat="1" applyFont="1" applyFill="1" applyAlignment="1">
      <alignment horizontal="left"/>
    </xf>
    <xf numFmtId="186" fontId="52" fillId="0" borderId="0" xfId="682" applyNumberFormat="1" applyFont="1"/>
    <xf numFmtId="0" fontId="133" fillId="27" borderId="0" xfId="682" applyFont="1" applyFill="1" applyAlignment="1">
      <alignment vertical="center" wrapText="1"/>
    </xf>
    <xf numFmtId="0" fontId="39" fillId="26" borderId="0" xfId="0" applyFont="1" applyFill="1" applyAlignment="1">
      <alignment horizontal="center" vertical="center"/>
    </xf>
    <xf numFmtId="186" fontId="39" fillId="0" borderId="0" xfId="682" applyNumberFormat="1" applyFont="1" applyFill="1" applyAlignment="1">
      <alignment horizontal="left"/>
    </xf>
    <xf numFmtId="0" fontId="0" fillId="0" borderId="0" xfId="0" applyAlignment="1">
      <alignment horizontal="center" vertical="center"/>
    </xf>
    <xf numFmtId="0" fontId="0" fillId="0" borderId="17" xfId="0" applyFont="1" applyBorder="1" applyAlignment="1">
      <alignment horizontal="center" wrapText="1"/>
    </xf>
    <xf numFmtId="0" fontId="0" fillId="0" borderId="17" xfId="0" applyFont="1" applyBorder="1"/>
    <xf numFmtId="42" fontId="131" fillId="26" borderId="0" xfId="546" applyNumberFormat="1" applyFont="1" applyFill="1"/>
    <xf numFmtId="41" fontId="131" fillId="26" borderId="0" xfId="546" applyNumberFormat="1" applyFont="1" applyFill="1"/>
    <xf numFmtId="41" fontId="52" fillId="26" borderId="0" xfId="682" applyNumberFormat="1" applyFont="1" applyFill="1"/>
    <xf numFmtId="41" fontId="52" fillId="26" borderId="17" xfId="449" applyNumberFormat="1" applyFont="1" applyFill="1" applyBorder="1"/>
    <xf numFmtId="42" fontId="52" fillId="26" borderId="0" xfId="31723" applyNumberFormat="1" applyFont="1" applyFill="1"/>
    <xf numFmtId="41" fontId="131" fillId="26" borderId="0" xfId="0" applyNumberFormat="1" applyFont="1" applyFill="1"/>
    <xf numFmtId="41" fontId="131" fillId="26" borderId="0" xfId="0" applyNumberFormat="1" applyFont="1" applyFill="1" applyBorder="1"/>
    <xf numFmtId="42" fontId="39" fillId="34" borderId="18" xfId="546" applyNumberFormat="1" applyFont="1" applyFill="1" applyBorder="1"/>
    <xf numFmtId="42" fontId="49" fillId="34" borderId="19" xfId="546" applyNumberFormat="1" applyFont="1" applyFill="1" applyBorder="1"/>
    <xf numFmtId="0" fontId="40" fillId="0" borderId="0" xfId="682" applyFont="1" applyFill="1" applyAlignment="1">
      <alignment horizontal="center" vertical="top" wrapText="1"/>
    </xf>
    <xf numFmtId="0" fontId="128" fillId="26" borderId="0" xfId="682" applyFont="1" applyFill="1" applyAlignment="1">
      <alignment vertical="center"/>
    </xf>
    <xf numFmtId="0" fontId="49" fillId="0" borderId="0" xfId="682" applyFont="1" applyBorder="1" applyAlignment="1">
      <alignment horizontal="center"/>
    </xf>
    <xf numFmtId="0" fontId="0" fillId="0" borderId="0" xfId="0" applyFont="1" applyBorder="1" applyAlignment="1">
      <alignment horizontal="center" wrapText="1"/>
    </xf>
    <xf numFmtId="0" fontId="49" fillId="26" borderId="17" xfId="682" applyFont="1" applyFill="1" applyBorder="1" applyAlignment="1">
      <alignment horizontal="center"/>
    </xf>
    <xf numFmtId="1" fontId="40" fillId="24" borderId="0" xfId="439" applyNumberFormat="1" applyFont="1" applyFill="1" applyBorder="1" applyAlignment="1" applyProtection="1">
      <alignment horizontal="center" wrapText="1"/>
    </xf>
    <xf numFmtId="43" fontId="0" fillId="0" borderId="10" xfId="439" applyNumberFormat="1" applyFont="1" applyFill="1" applyBorder="1" applyAlignment="1" applyProtection="1">
      <alignment vertical="center"/>
    </xf>
    <xf numFmtId="0" fontId="44" fillId="0" borderId="45" xfId="0"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39" fillId="0" borderId="0" xfId="0" applyFont="1" applyAlignment="1" applyProtection="1">
      <alignment horizontal="center" vertical="center" wrapText="1"/>
    </xf>
    <xf numFmtId="0" fontId="39" fillId="28" borderId="0" xfId="0" applyFont="1" applyFill="1" applyAlignment="1" applyProtection="1">
      <alignment horizontal="center" vertical="center"/>
    </xf>
    <xf numFmtId="0" fontId="0" fillId="28" borderId="0" xfId="0" applyFont="1" applyFill="1" applyAlignment="1" applyProtection="1">
      <alignment horizontal="center" vertical="center"/>
    </xf>
    <xf numFmtId="164" fontId="0" fillId="0" borderId="23" xfId="439" applyNumberFormat="1" applyFont="1" applyFill="1" applyBorder="1" applyAlignment="1" applyProtection="1">
      <alignment horizontal="center" vertical="center" wrapText="1"/>
      <protection locked="0"/>
    </xf>
    <xf numFmtId="0" fontId="61" fillId="0" borderId="0" xfId="0" applyFont="1" applyFill="1" applyAlignment="1" applyProtection="1">
      <alignment horizontal="center" vertical="center" wrapText="1"/>
    </xf>
    <xf numFmtId="187" fontId="44" fillId="0" borderId="0" xfId="439" applyNumberFormat="1" applyFont="1" applyFill="1" applyAlignment="1" applyProtection="1">
      <alignment horizontal="center" vertical="center" wrapText="1"/>
    </xf>
    <xf numFmtId="173" fontId="44" fillId="0" borderId="0" xfId="439" applyNumberFormat="1" applyFont="1" applyFill="1" applyAlignment="1" applyProtection="1">
      <alignment horizontal="center" vertical="center" wrapText="1"/>
    </xf>
    <xf numFmtId="0" fontId="39" fillId="0" borderId="37" xfId="0" applyFont="1" applyFill="1" applyBorder="1" applyAlignment="1">
      <alignment horizontal="left" vertical="center"/>
    </xf>
    <xf numFmtId="0" fontId="0" fillId="0" borderId="38" xfId="0" applyFill="1" applyBorder="1"/>
    <xf numFmtId="0" fontId="0" fillId="0" borderId="38" xfId="0" applyFill="1" applyBorder="1" applyAlignment="1">
      <alignment wrapText="1"/>
    </xf>
    <xf numFmtId="0" fontId="0" fillId="29" borderId="10" xfId="0" applyFill="1" applyBorder="1" applyAlignment="1" applyProtection="1">
      <alignment horizontal="center" vertical="center"/>
      <protection locked="0"/>
    </xf>
    <xf numFmtId="14" fontId="0" fillId="29" borderId="10" xfId="0" applyNumberFormat="1" applyFill="1" applyBorder="1" applyAlignment="1" applyProtection="1">
      <alignment horizontal="center" vertical="center"/>
      <protection locked="0"/>
    </xf>
    <xf numFmtId="0" fontId="0" fillId="29" borderId="71" xfId="0" applyFill="1" applyBorder="1" applyAlignment="1" applyProtection="1">
      <alignment wrapText="1"/>
      <protection locked="0"/>
    </xf>
    <xf numFmtId="0" fontId="0" fillId="0" borderId="94" xfId="0" applyBorder="1" applyAlignment="1">
      <alignment horizontal="center"/>
    </xf>
    <xf numFmtId="0" fontId="0" fillId="0" borderId="95" xfId="0" applyFill="1" applyBorder="1"/>
    <xf numFmtId="168" fontId="0" fillId="0" borderId="95" xfId="0" applyNumberFormat="1" applyFill="1" applyBorder="1" applyAlignment="1">
      <alignment wrapText="1"/>
    </xf>
    <xf numFmtId="0" fontId="0" fillId="0" borderId="96" xfId="0" applyBorder="1" applyAlignment="1">
      <alignment wrapText="1"/>
    </xf>
    <xf numFmtId="0" fontId="0" fillId="0" borderId="97"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98" xfId="0" applyBorder="1" applyAlignment="1">
      <alignment wrapText="1"/>
    </xf>
    <xf numFmtId="180" fontId="56" fillId="75" borderId="23" xfId="439" applyNumberFormat="1" applyFont="1" applyFill="1" applyBorder="1" applyAlignment="1" applyProtection="1">
      <alignment horizontal="center" vertical="center" wrapText="1"/>
    </xf>
    <xf numFmtId="38" fontId="0" fillId="0" borderId="0" xfId="0" applyNumberFormat="1" applyFont="1" applyFill="1" applyAlignment="1" applyProtection="1">
      <alignment horizontal="center" vertical="center" wrapText="1"/>
      <protection locked="0"/>
    </xf>
    <xf numFmtId="0" fontId="39" fillId="26" borderId="17" xfId="0" applyFont="1" applyFill="1" applyBorder="1" applyAlignment="1">
      <alignment horizontal="center" vertical="center"/>
    </xf>
    <xf numFmtId="41" fontId="131" fillId="26" borderId="0" xfId="682" applyNumberFormat="1" applyFont="1" applyFill="1"/>
    <xf numFmtId="41" fontId="0" fillId="26" borderId="0" xfId="682" applyNumberFormat="1" applyFont="1" applyFill="1"/>
    <xf numFmtId="42" fontId="49" fillId="27" borderId="0" xfId="546" applyNumberFormat="1" applyFont="1" applyFill="1"/>
    <xf numFmtId="0" fontId="0" fillId="0" borderId="0" xfId="0" quotePrefix="1"/>
    <xf numFmtId="41" fontId="52" fillId="26" borderId="0" xfId="449" applyNumberFormat="1" applyFont="1" applyFill="1" applyBorder="1"/>
    <xf numFmtId="41" fontId="52" fillId="0" borderId="0" xfId="449" applyNumberFormat="1" applyFont="1"/>
    <xf numFmtId="164" fontId="0" fillId="0" borderId="0" xfId="0" applyNumberFormat="1"/>
    <xf numFmtId="42" fontId="49" fillId="27" borderId="18" xfId="546" applyNumberFormat="1" applyFont="1" applyFill="1" applyBorder="1"/>
    <xf numFmtId="42" fontId="52" fillId="26" borderId="19" xfId="546" applyNumberFormat="1" applyFont="1" applyFill="1" applyBorder="1"/>
    <xf numFmtId="42" fontId="49" fillId="0" borderId="20" xfId="546" applyNumberFormat="1" applyFont="1" applyBorder="1"/>
    <xf numFmtId="0" fontId="0" fillId="0" borderId="0" xfId="0" quotePrefix="1" applyAlignment="1">
      <alignment horizontal="center"/>
    </xf>
    <xf numFmtId="3" fontId="52" fillId="0" borderId="0" xfId="0" applyNumberFormat="1" applyFont="1"/>
    <xf numFmtId="0" fontId="132" fillId="0" borderId="0" xfId="0" applyFont="1" applyAlignment="1">
      <alignment horizontal="left" vertical="center" wrapText="1"/>
    </xf>
    <xf numFmtId="186" fontId="49" fillId="0" borderId="0" xfId="682" applyNumberFormat="1" applyFont="1"/>
    <xf numFmtId="42" fontId="52" fillId="0" borderId="19" xfId="546" applyNumberFormat="1" applyFont="1" applyBorder="1"/>
    <xf numFmtId="2" fontId="0" fillId="0" borderId="0" xfId="0" applyNumberFormat="1"/>
    <xf numFmtId="14" fontId="0" fillId="29" borderId="0" xfId="0" applyNumberFormat="1" applyFill="1" applyAlignment="1" applyProtection="1">
      <alignment horizontal="left"/>
      <protection locked="0"/>
    </xf>
    <xf numFmtId="164" fontId="39" fillId="74"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2" fontId="39" fillId="74" borderId="0" xfId="0" applyNumberFormat="1" applyFont="1" applyFill="1" applyAlignment="1" applyProtection="1">
      <alignment horizontal="center" vertical="center" wrapText="1"/>
      <protection locked="0"/>
    </xf>
    <xf numFmtId="0" fontId="39" fillId="74" borderId="0" xfId="0" applyFont="1" applyFill="1" applyAlignment="1" applyProtection="1">
      <alignment horizontal="center" vertical="center"/>
      <protection locked="0"/>
    </xf>
    <xf numFmtId="0" fontId="39" fillId="74" borderId="0" xfId="0" applyFont="1" applyFill="1" applyAlignment="1" applyProtection="1">
      <alignment horizontal="center" vertical="center" wrapText="1"/>
      <protection locked="0"/>
    </xf>
    <xf numFmtId="41" fontId="69" fillId="74" borderId="0" xfId="439" applyNumberFormat="1" applyFont="1" applyFill="1" applyAlignment="1" applyProtection="1">
      <alignment wrapText="1"/>
      <protection locked="0"/>
    </xf>
    <xf numFmtId="0" fontId="69" fillId="74" borderId="0" xfId="0" applyFont="1" applyFill="1" applyAlignment="1" applyProtection="1">
      <protection locked="0"/>
    </xf>
    <xf numFmtId="3" fontId="39" fillId="74" borderId="0" xfId="0"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wrapText="1"/>
      <protection locked="0"/>
    </xf>
    <xf numFmtId="0" fontId="39" fillId="74" borderId="0" xfId="0" applyFont="1" applyFill="1" applyAlignment="1" applyProtection="1">
      <alignment horizontal="left" vertical="center"/>
      <protection locked="0"/>
    </xf>
    <xf numFmtId="3" fontId="39" fillId="29" borderId="0" xfId="439" applyNumberFormat="1" applyFont="1" applyFill="1" applyAlignment="1" applyProtection="1">
      <alignment horizontal="center" vertical="center"/>
      <protection locked="0"/>
    </xf>
    <xf numFmtId="3" fontId="39" fillId="74" borderId="0" xfId="439" applyNumberFormat="1" applyFont="1" applyFill="1" applyAlignment="1" applyProtection="1">
      <alignment horizontal="center" vertical="center"/>
      <protection locked="0"/>
    </xf>
    <xf numFmtId="3" fontId="39" fillId="0" borderId="0" xfId="439" applyNumberFormat="1" applyFont="1" applyFill="1" applyAlignment="1" applyProtection="1">
      <alignment horizontal="center" vertical="center" wrapText="1"/>
      <protection locked="0"/>
    </xf>
    <xf numFmtId="3" fontId="39" fillId="74" borderId="0" xfId="439" applyNumberFormat="1" applyFont="1" applyFill="1" applyAlignment="1" applyProtection="1">
      <alignment horizontal="center" vertical="center" wrapText="1"/>
      <protection locked="0"/>
    </xf>
    <xf numFmtId="174" fontId="39" fillId="29" borderId="0" xfId="439" applyNumberFormat="1" applyFont="1" applyFill="1" applyAlignment="1" applyProtection="1">
      <alignment horizontal="center" vertical="center"/>
      <protection locked="0"/>
    </xf>
    <xf numFmtId="174" fontId="39" fillId="28" borderId="0" xfId="439" applyNumberFormat="1" applyFont="1" applyFill="1" applyAlignment="1" applyProtection="1">
      <alignment horizontal="center" vertical="center"/>
      <protection locked="0"/>
    </xf>
    <xf numFmtId="41" fontId="69" fillId="74" borderId="0" xfId="0" applyNumberFormat="1" applyFont="1" applyFill="1" applyAlignment="1" applyProtection="1">
      <alignment wrapText="1"/>
      <protection locked="0"/>
    </xf>
    <xf numFmtId="40" fontId="44" fillId="29" borderId="0" xfId="439" applyNumberFormat="1" applyFont="1" applyFill="1" applyAlignment="1" applyProtection="1">
      <alignment horizontal="center" vertical="center" wrapText="1"/>
      <protection locked="0"/>
    </xf>
    <xf numFmtId="182" fontId="39" fillId="29" borderId="0" xfId="439" applyNumberFormat="1" applyFont="1" applyFill="1" applyAlignment="1" applyProtection="1">
      <alignment horizontal="center" vertical="center"/>
      <protection locked="0"/>
    </xf>
    <xf numFmtId="38" fontId="39" fillId="74" borderId="0" xfId="0" applyNumberFormat="1" applyFont="1" applyFill="1" applyAlignment="1" applyProtection="1">
      <alignment horizontal="left" vertical="center"/>
      <protection locked="0"/>
    </xf>
    <xf numFmtId="169" fontId="39" fillId="29" borderId="0" xfId="439" applyNumberFormat="1" applyFont="1" applyFill="1" applyAlignment="1" applyProtection="1">
      <alignment horizontal="center" vertical="center"/>
      <protection locked="0"/>
    </xf>
    <xf numFmtId="0" fontId="57" fillId="74" borderId="0" xfId="0" applyFont="1" applyFill="1" applyAlignment="1" applyProtection="1">
      <alignment vertical="center" wrapText="1"/>
      <protection locked="0"/>
    </xf>
    <xf numFmtId="0" fontId="0" fillId="0" borderId="10" xfId="0" applyBorder="1" applyAlignment="1">
      <alignment vertical="center" wrapText="1"/>
    </xf>
    <xf numFmtId="0" fontId="39" fillId="78" borderId="16" xfId="0" applyFont="1" applyFill="1" applyBorder="1" applyAlignment="1">
      <alignment horizontal="justify" vertical="center" wrapText="1"/>
    </xf>
    <xf numFmtId="0" fontId="37" fillId="78" borderId="67" xfId="0" applyFont="1" applyFill="1" applyBorder="1" applyAlignment="1">
      <alignment horizontal="justify" vertical="center" wrapText="1"/>
    </xf>
    <xf numFmtId="0" fontId="179" fillId="34" borderId="57" xfId="0" applyFont="1" applyFill="1" applyBorder="1" applyAlignment="1">
      <alignment horizontal="left" vertical="center" wrapText="1"/>
    </xf>
    <xf numFmtId="0" fontId="0" fillId="29" borderId="0" xfId="0" applyFill="1" applyAlignment="1">
      <alignment horizontal="center" vertical="center"/>
    </xf>
    <xf numFmtId="0" fontId="0" fillId="20" borderId="0" xfId="0" applyFill="1" applyAlignment="1">
      <alignment horizontal="center" vertical="center"/>
    </xf>
    <xf numFmtId="0" fontId="0" fillId="32" borderId="0" xfId="0" applyFill="1" applyAlignment="1">
      <alignment horizontal="center" vertical="center"/>
    </xf>
    <xf numFmtId="0" fontId="0" fillId="80" borderId="0" xfId="0" applyFill="1" applyAlignment="1">
      <alignment horizontal="center" vertical="center"/>
    </xf>
    <xf numFmtId="0" fontId="0" fillId="26" borderId="0" xfId="0" applyFill="1" applyAlignment="1">
      <alignment horizontal="center" vertical="center"/>
    </xf>
    <xf numFmtId="0" fontId="0" fillId="0" borderId="0" xfId="0" applyFill="1" applyAlignment="1">
      <alignment horizontal="center" vertical="center"/>
    </xf>
    <xf numFmtId="0" fontId="0" fillId="0" borderId="0" xfId="0" applyFill="1" applyAlignment="1">
      <alignment horizontal="center" vertical="center" wrapText="1"/>
    </xf>
    <xf numFmtId="0" fontId="0" fillId="0" borderId="0" xfId="0" applyFill="1" applyAlignment="1">
      <alignment vertical="center" wrapText="1"/>
    </xf>
    <xf numFmtId="0" fontId="0" fillId="0" borderId="0" xfId="0" applyFill="1" applyAlignment="1">
      <alignment horizontal="left" vertical="center" wrapText="1"/>
    </xf>
    <xf numFmtId="0" fontId="0" fillId="36" borderId="0" xfId="0" applyNumberFormat="1" applyFont="1" applyFill="1" applyAlignment="1" applyProtection="1">
      <alignment horizontal="left" vertical="center" wrapText="1"/>
    </xf>
    <xf numFmtId="0" fontId="69" fillId="36" borderId="0" xfId="0" applyFont="1" applyFill="1" applyAlignment="1">
      <alignment horizontal="center" vertical="center" wrapText="1"/>
    </xf>
    <xf numFmtId="38" fontId="44" fillId="36" borderId="0" xfId="439" applyNumberFormat="1" applyFont="1" applyFill="1" applyAlignment="1" applyProtection="1">
      <alignment horizontal="center" vertical="center" wrapText="1"/>
    </xf>
    <xf numFmtId="0" fontId="39" fillId="83" borderId="0" xfId="0" applyFont="1" applyFill="1" applyAlignment="1" applyProtection="1">
      <alignment horizontal="center" vertical="center" wrapText="1"/>
      <protection locked="0"/>
    </xf>
    <xf numFmtId="164" fontId="0" fillId="0" borderId="0" xfId="0" applyNumberFormat="1" applyFont="1" applyFill="1" applyAlignment="1" applyProtection="1">
      <alignment horizontal="center" vertical="center" wrapText="1"/>
      <protection locked="0"/>
    </xf>
    <xf numFmtId="0" fontId="44" fillId="29" borderId="0" xfId="0" applyFont="1" applyFill="1" applyAlignment="1">
      <alignment horizontal="center" vertical="center" wrapText="1"/>
    </xf>
    <xf numFmtId="0" fontId="0" fillId="29" borderId="0" xfId="0" applyFill="1" applyAlignment="1">
      <alignment horizontal="center" vertical="center" wrapText="1"/>
    </xf>
    <xf numFmtId="0" fontId="44" fillId="29" borderId="45" xfId="0" applyFont="1" applyFill="1" applyBorder="1" applyAlignment="1">
      <alignment horizontal="center" vertical="center" wrapText="1"/>
    </xf>
    <xf numFmtId="0" fontId="0" fillId="29" borderId="45" xfId="0" applyFill="1" applyBorder="1" applyAlignment="1">
      <alignment horizontal="center" vertical="center" wrapText="1"/>
    </xf>
    <xf numFmtId="0" fontId="0" fillId="0" borderId="0" xfId="0" applyAlignment="1">
      <alignment horizontal="center" vertical="center" wrapText="1"/>
    </xf>
    <xf numFmtId="0" fontId="68" fillId="0" borderId="71" xfId="0" applyFont="1" applyBorder="1" applyAlignment="1">
      <alignment vertical="center" wrapText="1"/>
    </xf>
    <xf numFmtId="0" fontId="0" fillId="83" borderId="10" xfId="0" applyFill="1" applyBorder="1" applyAlignment="1">
      <alignment horizontal="center" vertical="center"/>
    </xf>
    <xf numFmtId="0" fontId="0" fillId="0" borderId="10" xfId="0" applyBorder="1" applyAlignment="1">
      <alignment horizontal="center" vertical="center"/>
    </xf>
    <xf numFmtId="0" fontId="0" fillId="84" borderId="10" xfId="0" applyFill="1" applyBorder="1" applyAlignment="1">
      <alignment vertical="center" wrapText="1"/>
    </xf>
    <xf numFmtId="3" fontId="0" fillId="29" borderId="71" xfId="0" applyNumberFormat="1" applyFill="1" applyBorder="1" applyAlignment="1" applyProtection="1">
      <alignment horizontal="center" vertical="center"/>
      <protection locked="0"/>
    </xf>
    <xf numFmtId="0" fontId="0" fillId="34" borderId="25" xfId="0" applyFill="1" applyBorder="1" applyAlignment="1">
      <alignment horizontal="left" vertical="center" wrapText="1"/>
    </xf>
    <xf numFmtId="0" fontId="56" fillId="34" borderId="23" xfId="0" applyFont="1" applyFill="1" applyBorder="1" applyAlignment="1">
      <alignment horizontal="left" vertical="center" wrapText="1"/>
    </xf>
    <xf numFmtId="0" fontId="0" fillId="34" borderId="23" xfId="0" applyFill="1" applyBorder="1" applyAlignment="1">
      <alignment horizontal="left" vertical="center" wrapText="1"/>
    </xf>
    <xf numFmtId="0" fontId="57" fillId="34" borderId="25" xfId="0" applyFont="1" applyFill="1" applyBorder="1" applyAlignment="1">
      <alignment horizontal="center" vertical="center"/>
    </xf>
    <xf numFmtId="0" fontId="0" fillId="34" borderId="23" xfId="0" applyFill="1" applyBorder="1" applyAlignment="1">
      <alignment vertical="center" wrapText="1"/>
    </xf>
    <xf numFmtId="0" fontId="39" fillId="34" borderId="43" xfId="0" applyFont="1" applyFill="1" applyBorder="1" applyAlignment="1">
      <alignment horizontal="center" vertical="center"/>
    </xf>
    <xf numFmtId="0" fontId="39" fillId="34" borderId="25" xfId="0" applyFont="1" applyFill="1" applyBorder="1" applyAlignment="1">
      <alignment horizontal="center" vertical="center" wrapText="1"/>
    </xf>
    <xf numFmtId="0" fontId="0" fillId="34" borderId="25" xfId="0" applyNumberFormat="1" applyFont="1" applyFill="1" applyBorder="1" applyAlignment="1" applyProtection="1">
      <alignment horizontal="center" vertical="center" wrapText="1"/>
    </xf>
    <xf numFmtId="14" fontId="0" fillId="78" borderId="0" xfId="0" applyNumberFormat="1" applyFont="1" applyFill="1" applyBorder="1" applyAlignment="1">
      <alignment horizontal="center" vertical="center" wrapText="1"/>
    </xf>
    <xf numFmtId="0" fontId="39" fillId="78" borderId="64" xfId="0" applyFont="1" applyFill="1" applyBorder="1" applyAlignment="1">
      <alignment horizontal="center" vertical="center"/>
    </xf>
    <xf numFmtId="0" fontId="41" fillId="78" borderId="23" xfId="0" applyFont="1" applyFill="1" applyBorder="1" applyAlignment="1">
      <alignment horizontal="left" vertical="center" wrapText="1"/>
    </xf>
    <xf numFmtId="10" fontId="0" fillId="0" borderId="13" xfId="0" applyNumberFormat="1" applyBorder="1" applyAlignment="1">
      <alignment horizontal="center" vertical="center" wrapText="1"/>
    </xf>
    <xf numFmtId="43" fontId="44" fillId="34" borderId="0" xfId="439" applyFont="1" applyFill="1" applyBorder="1"/>
    <xf numFmtId="43" fontId="44" fillId="34" borderId="0" xfId="0" applyNumberFormat="1" applyFont="1" applyFill="1"/>
    <xf numFmtId="43" fontId="44" fillId="36" borderId="0" xfId="439" applyFont="1" applyFill="1" applyBorder="1"/>
    <xf numFmtId="43" fontId="44" fillId="36" borderId="0" xfId="0" applyNumberFormat="1" applyFont="1" applyFill="1"/>
    <xf numFmtId="14" fontId="44" fillId="0" borderId="94" xfId="0" applyNumberFormat="1" applyFont="1" applyBorder="1"/>
    <xf numFmtId="14" fontId="44" fillId="34" borderId="95" xfId="0" applyNumberFormat="1" applyFont="1" applyFill="1" applyBorder="1"/>
    <xf numFmtId="14" fontId="44" fillId="34" borderId="96" xfId="0" applyNumberFormat="1" applyFont="1" applyFill="1" applyBorder="1"/>
    <xf numFmtId="0" fontId="44" fillId="0" borderId="22" xfId="0" applyFont="1" applyBorder="1"/>
    <xf numFmtId="0" fontId="44" fillId="0" borderId="56" xfId="0" applyFont="1" applyBorder="1"/>
    <xf numFmtId="14" fontId="44" fillId="0" borderId="0" xfId="0" applyNumberFormat="1" applyFont="1"/>
    <xf numFmtId="14" fontId="44" fillId="0" borderId="56" xfId="0" applyNumberFormat="1" applyFont="1" applyBorder="1"/>
    <xf numFmtId="0" fontId="44" fillId="0" borderId="97" xfId="0" applyFont="1" applyBorder="1"/>
    <xf numFmtId="14" fontId="44" fillId="0" borderId="17" xfId="0" applyNumberFormat="1" applyFont="1" applyBorder="1"/>
    <xf numFmtId="14" fontId="44" fillId="0" borderId="98" xfId="0" applyNumberFormat="1" applyFont="1" applyBorder="1"/>
    <xf numFmtId="14" fontId="0" fillId="0" borderId="57" xfId="0" applyNumberFormat="1" applyBorder="1" applyAlignment="1">
      <alignment horizontal="center" vertical="center" wrapText="1"/>
    </xf>
    <xf numFmtId="0" fontId="0" fillId="1" borderId="0" xfId="0" applyFill="1" applyBorder="1" applyAlignment="1">
      <alignment horizontal="center" vertical="center" wrapText="1"/>
    </xf>
    <xf numFmtId="0" fontId="37" fillId="34" borderId="57" xfId="0" applyFont="1" applyFill="1" applyBorder="1" applyAlignment="1">
      <alignment vertical="center" wrapText="1"/>
    </xf>
    <xf numFmtId="3" fontId="44" fillId="36" borderId="0" xfId="4688" applyNumberFormat="1" applyFont="1" applyFill="1"/>
    <xf numFmtId="38" fontId="0" fillId="36" borderId="0" xfId="0" applyNumberFormat="1" applyFill="1"/>
    <xf numFmtId="164" fontId="39" fillId="34" borderId="0" xfId="0" applyNumberFormat="1" applyFont="1" applyFill="1" applyAlignment="1" applyProtection="1">
      <alignment horizontal="center" vertical="center" wrapText="1"/>
    </xf>
    <xf numFmtId="0" fontId="184" fillId="34" borderId="57" xfId="0" applyFont="1" applyFill="1" applyBorder="1" applyAlignment="1">
      <alignment vertical="center" wrapText="1"/>
    </xf>
    <xf numFmtId="0" fontId="0" fillId="0" borderId="0" xfId="0" applyFill="1" applyAlignment="1" applyProtection="1">
      <alignment vertical="center" wrapText="1"/>
      <protection locked="0"/>
    </xf>
    <xf numFmtId="3" fontId="0" fillId="34" borderId="25" xfId="0" applyNumberFormat="1" applyFont="1" applyFill="1" applyBorder="1" applyAlignment="1" applyProtection="1">
      <alignment horizontal="center" vertical="center" wrapText="1"/>
    </xf>
    <xf numFmtId="0" fontId="41" fillId="78" borderId="0" xfId="0" applyFont="1" applyFill="1" applyBorder="1" applyAlignment="1">
      <alignment horizontal="left" vertical="center" wrapText="1"/>
    </xf>
    <xf numFmtId="0" fontId="0" fillId="78" borderId="0" xfId="0" applyFont="1" applyFill="1" applyBorder="1" applyAlignment="1">
      <alignment horizontal="center" vertical="center"/>
    </xf>
    <xf numFmtId="0" fontId="0" fillId="31" borderId="66" xfId="0" applyFont="1" applyFill="1" applyBorder="1" applyAlignment="1">
      <alignment horizontal="center" vertical="center"/>
    </xf>
    <xf numFmtId="14" fontId="0" fillId="78" borderId="0" xfId="0" applyNumberFormat="1" applyFont="1" applyFill="1" applyAlignment="1" applyProtection="1">
      <alignment horizontal="center" vertical="center"/>
    </xf>
    <xf numFmtId="14" fontId="0" fillId="78" borderId="64" xfId="439" applyNumberFormat="1" applyFont="1" applyFill="1" applyBorder="1" applyAlignment="1" applyProtection="1">
      <alignment horizontal="center" vertical="center" wrapText="1"/>
    </xf>
    <xf numFmtId="0" fontId="35" fillId="73" borderId="0" xfId="611" applyFill="1" applyAlignment="1">
      <alignment vertical="center"/>
    </xf>
    <xf numFmtId="0" fontId="0" fillId="78" borderId="68" xfId="0" applyFill="1" applyBorder="1" applyAlignment="1" applyProtection="1">
      <alignment vertical="center" wrapText="1"/>
      <protection locked="0"/>
    </xf>
    <xf numFmtId="0" fontId="0" fillId="0" borderId="57" xfId="0" applyBorder="1" applyAlignment="1" applyProtection="1">
      <alignment vertical="center" wrapText="1"/>
      <protection locked="0"/>
    </xf>
    <xf numFmtId="0" fontId="57" fillId="78" borderId="57" xfId="0" applyFont="1" applyFill="1" applyBorder="1" applyAlignment="1" applyProtection="1">
      <alignment horizontal="center" vertical="center" wrapText="1"/>
      <protection locked="0"/>
    </xf>
    <xf numFmtId="0" fontId="0" fillId="0" borderId="57" xfId="0" applyBorder="1" applyAlignment="1" applyProtection="1">
      <alignment wrapText="1"/>
      <protection locked="0"/>
    </xf>
    <xf numFmtId="0" fontId="0" fillId="0" borderId="57" xfId="0" applyFill="1" applyBorder="1" applyAlignment="1" applyProtection="1">
      <alignment vertical="center" wrapText="1"/>
      <protection locked="0"/>
    </xf>
    <xf numFmtId="0" fontId="0" fillId="0" borderId="67" xfId="0" applyBorder="1" applyAlignment="1" applyProtection="1">
      <alignment wrapText="1"/>
      <protection locked="0"/>
    </xf>
    <xf numFmtId="0" fontId="39" fillId="78" borderId="67" xfId="0" applyFont="1" applyFill="1" applyBorder="1" applyAlignment="1" applyProtection="1">
      <alignment horizontal="center"/>
      <protection locked="0"/>
    </xf>
    <xf numFmtId="0" fontId="0" fillId="0" borderId="57" xfId="0" applyBorder="1" applyAlignment="1" applyProtection="1">
      <alignment horizontal="justify" vertical="center"/>
      <protection locked="0"/>
    </xf>
    <xf numFmtId="0" fontId="0" fillId="78" borderId="81" xfId="0" applyFill="1" applyBorder="1" applyProtection="1">
      <protection locked="0"/>
    </xf>
    <xf numFmtId="0" fontId="0" fillId="0" borderId="57" xfId="0" applyBorder="1" applyProtection="1">
      <protection locked="0"/>
    </xf>
    <xf numFmtId="0" fontId="0" fillId="0" borderId="81" xfId="0" applyBorder="1" applyAlignment="1" applyProtection="1">
      <alignment horizontal="justify" vertical="center"/>
      <protection locked="0"/>
    </xf>
    <xf numFmtId="0" fontId="69" fillId="84" borderId="71" xfId="0" applyFont="1" applyFill="1" applyBorder="1" applyAlignment="1">
      <alignment vertical="center" wrapText="1"/>
    </xf>
    <xf numFmtId="0" fontId="0" fillId="0" borderId="10" xfId="0" applyBorder="1" applyAlignment="1" applyProtection="1">
      <alignment vertical="center"/>
      <protection locked="0"/>
    </xf>
    <xf numFmtId="0" fontId="0" fillId="0" borderId="10" xfId="0" applyBorder="1" applyProtection="1">
      <protection locked="0"/>
    </xf>
    <xf numFmtId="0" fontId="0" fillId="0" borderId="0" xfId="0" applyProtection="1">
      <protection locked="0"/>
    </xf>
    <xf numFmtId="0" fontId="0" fillId="0" borderId="0" xfId="0" applyFill="1" applyProtection="1">
      <protection locked="0"/>
    </xf>
    <xf numFmtId="0" fontId="39" fillId="0" borderId="0" xfId="0" applyFont="1" applyFill="1" applyBorder="1" applyAlignment="1" applyProtection="1">
      <alignment horizontal="center" wrapText="1"/>
    </xf>
    <xf numFmtId="0" fontId="0" fillId="0" borderId="99" xfId="0" applyFill="1" applyBorder="1" applyAlignment="1">
      <alignment horizontal="center" vertical="center"/>
    </xf>
    <xf numFmtId="0" fontId="0" fillId="0" borderId="99" xfId="0" applyFill="1" applyBorder="1" applyAlignment="1">
      <alignment vertical="center" wrapText="1"/>
    </xf>
    <xf numFmtId="0" fontId="0" fillId="29" borderId="99" xfId="0" applyFill="1" applyBorder="1" applyAlignment="1" applyProtection="1">
      <alignment horizontal="center" vertical="center"/>
      <protection locked="0"/>
    </xf>
    <xf numFmtId="0" fontId="68" fillId="0" borderId="94" xfId="0" applyFont="1" applyFill="1" applyBorder="1" applyAlignment="1">
      <alignment vertical="center" wrapText="1"/>
    </xf>
    <xf numFmtId="0" fontId="0" fillId="29" borderId="12" xfId="0" applyFill="1" applyBorder="1" applyAlignment="1" applyProtection="1">
      <alignment horizontal="center" vertical="center"/>
      <protection locked="0"/>
    </xf>
    <xf numFmtId="0" fontId="0" fillId="78" borderId="71" xfId="0" applyFill="1" applyBorder="1" applyAlignment="1">
      <alignment horizontal="left" vertical="center"/>
    </xf>
    <xf numFmtId="0" fontId="0" fillId="78" borderId="14" xfId="0" applyFill="1" applyBorder="1" applyAlignment="1">
      <alignment vertical="center" wrapText="1"/>
    </xf>
    <xf numFmtId="0" fontId="0" fillId="78" borderId="14" xfId="0"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164" fontId="39" fillId="0" borderId="0" xfId="0" applyNumberFormat="1" applyFont="1" applyFill="1" applyAlignment="1" applyProtection="1">
      <alignment horizontal="center" vertical="center" wrapText="1"/>
      <protection locked="0"/>
    </xf>
    <xf numFmtId="168" fontId="0" fillId="0" borderId="0" xfId="0" applyNumberFormat="1" applyFont="1" applyFill="1" applyAlignment="1" applyProtection="1">
      <alignment wrapText="1"/>
      <protection locked="0"/>
    </xf>
    <xf numFmtId="168" fontId="0" fillId="0" borderId="0" xfId="0" applyNumberFormat="1" applyFont="1" applyProtection="1">
      <protection locked="0"/>
    </xf>
    <xf numFmtId="0" fontId="0" fillId="0" borderId="0" xfId="0" applyNumberFormat="1" applyFont="1" applyFill="1" applyAlignment="1" applyProtection="1">
      <alignment horizontal="center" vertical="center"/>
      <protection locked="0"/>
    </xf>
    <xf numFmtId="37" fontId="0" fillId="0" borderId="0" xfId="0" applyNumberFormat="1" applyFont="1" applyFill="1" applyAlignment="1" applyProtection="1">
      <alignment horizontal="center" vertical="center"/>
      <protection locked="0"/>
    </xf>
    <xf numFmtId="0" fontId="0" fillId="0" borderId="0" xfId="0" applyNumberFormat="1" applyFont="1" applyFill="1" applyBorder="1" applyAlignment="1" applyProtection="1">
      <alignment horizontal="left" vertical="center" wrapText="1"/>
      <protection locked="0"/>
    </xf>
    <xf numFmtId="14" fontId="0" fillId="0" borderId="0" xfId="0" applyNumberFormat="1" applyFont="1" applyProtection="1">
      <protection locked="0"/>
    </xf>
    <xf numFmtId="14" fontId="0" fillId="0" borderId="0" xfId="0" applyNumberFormat="1" applyFont="1" applyFill="1" applyAlignment="1" applyProtection="1">
      <alignment horizontal="center" vertical="center"/>
      <protection locked="0"/>
    </xf>
    <xf numFmtId="0" fontId="68" fillId="78" borderId="14" xfId="0" applyFont="1" applyFill="1" applyBorder="1" applyAlignment="1">
      <alignment vertical="center" wrapText="1"/>
    </xf>
    <xf numFmtId="0" fontId="69" fillId="34" borderId="10" xfId="0" applyFont="1" applyFill="1" applyBorder="1" applyAlignment="1">
      <alignment wrapText="1"/>
    </xf>
    <xf numFmtId="38" fontId="69" fillId="20" borderId="0" xfId="0" applyNumberFormat="1" applyFont="1" applyFill="1" applyAlignment="1" applyProtection="1">
      <alignment vertical="center" wrapText="1"/>
    </xf>
    <xf numFmtId="0" fontId="69" fillId="20" borderId="0" xfId="0" applyFont="1" applyFill="1" applyAlignment="1" applyProtection="1">
      <alignment horizontal="left" vertical="center" wrapText="1"/>
    </xf>
    <xf numFmtId="0" fontId="0" fillId="0" borderId="10" xfId="0" applyFill="1" applyBorder="1" applyAlignment="1" applyProtection="1">
      <alignment horizontal="left" vertical="center"/>
      <protection locked="0"/>
    </xf>
    <xf numFmtId="0" fontId="0" fillId="0" borderId="0" xfId="0" applyFill="1" applyAlignment="1" applyProtection="1">
      <alignment horizontal="left" vertical="center"/>
      <protection locked="0"/>
    </xf>
    <xf numFmtId="0" fontId="68" fillId="0" borderId="97" xfId="0" applyFont="1" applyFill="1" applyBorder="1" applyAlignment="1">
      <alignment vertical="center" wrapText="1"/>
    </xf>
    <xf numFmtId="38" fontId="57" fillId="29" borderId="0" xfId="439" applyNumberFormat="1" applyFont="1" applyFill="1" applyAlignment="1" applyProtection="1">
      <alignment horizontal="center" vertical="center" wrapText="1"/>
      <protection locked="0"/>
    </xf>
    <xf numFmtId="37" fontId="39" fillId="74" borderId="0" xfId="439" applyNumberFormat="1" applyFont="1" applyFill="1" applyAlignment="1" applyProtection="1">
      <alignment horizontal="center" vertical="center"/>
      <protection locked="0"/>
    </xf>
    <xf numFmtId="37" fontId="57" fillId="29" borderId="0" xfId="439" applyNumberFormat="1" applyFont="1" applyFill="1" applyAlignment="1" applyProtection="1">
      <alignment horizontal="center" vertical="center" wrapText="1"/>
      <protection locked="0"/>
    </xf>
    <xf numFmtId="38" fontId="57" fillId="0" borderId="14" xfId="439" applyNumberFormat="1" applyFont="1" applyFill="1" applyBorder="1" applyAlignment="1" applyProtection="1">
      <alignment horizontal="center" vertical="center" wrapText="1"/>
      <protection locked="0"/>
    </xf>
    <xf numFmtId="3" fontId="39" fillId="0" borderId="0" xfId="0" applyNumberFormat="1" applyFont="1" applyAlignment="1" applyProtection="1">
      <alignment horizontal="center" vertical="center"/>
      <protection locked="0"/>
    </xf>
    <xf numFmtId="3" fontId="39" fillId="0" borderId="0" xfId="0" applyNumberFormat="1" applyFont="1" applyFill="1" applyAlignment="1" applyProtection="1">
      <alignment horizontal="center" vertical="center" wrapText="1"/>
      <protection locked="0"/>
    </xf>
    <xf numFmtId="164" fontId="39" fillId="28" borderId="0" xfId="439" applyNumberFormat="1" applyFont="1" applyFill="1" applyProtection="1">
      <protection locked="0"/>
    </xf>
    <xf numFmtId="3" fontId="39" fillId="28" borderId="0" xfId="439" applyNumberFormat="1" applyFont="1" applyFill="1" applyAlignment="1" applyProtection="1">
      <alignment horizontal="center" vertical="center"/>
      <protection locked="0"/>
    </xf>
    <xf numFmtId="40" fontId="57" fillId="29" borderId="0" xfId="439" applyNumberFormat="1" applyFont="1" applyFill="1" applyAlignment="1" applyProtection="1">
      <alignment horizontal="center" vertical="center" wrapText="1"/>
      <protection locked="0"/>
    </xf>
    <xf numFmtId="164" fontId="39" fillId="74" borderId="0" xfId="439" applyNumberFormat="1" applyFont="1" applyFill="1" applyProtection="1">
      <protection locked="0"/>
    </xf>
    <xf numFmtId="49" fontId="39" fillId="29" borderId="0" xfId="0" applyNumberFormat="1" applyFont="1" applyFill="1" applyAlignment="1" applyProtection="1">
      <alignment horizontal="center" vertical="center"/>
      <protection locked="0"/>
    </xf>
    <xf numFmtId="14" fontId="39" fillId="29" borderId="0" xfId="439" applyNumberFormat="1" applyFont="1" applyFill="1" applyAlignment="1" applyProtection="1">
      <alignment horizontal="center" vertical="center" wrapText="1"/>
      <protection locked="0"/>
    </xf>
    <xf numFmtId="49" fontId="39" fillId="31" borderId="13" xfId="0" applyNumberFormat="1" applyFont="1" applyFill="1" applyBorder="1" applyAlignment="1" applyProtection="1">
      <alignment horizontal="center"/>
      <protection locked="0"/>
    </xf>
    <xf numFmtId="14" fontId="39" fillId="31" borderId="13" xfId="0" applyNumberFormat="1" applyFont="1" applyFill="1" applyBorder="1" applyAlignment="1" applyProtection="1">
      <alignment horizontal="center"/>
      <protection locked="0"/>
    </xf>
    <xf numFmtId="185" fontId="39" fillId="31" borderId="13" xfId="0" applyNumberFormat="1" applyFont="1" applyFill="1" applyBorder="1" applyAlignment="1" applyProtection="1">
      <alignment horizontal="center"/>
      <protection locked="0"/>
    </xf>
    <xf numFmtId="49" fontId="185" fillId="31" borderId="13" xfId="611" applyNumberFormat="1" applyFont="1" applyFill="1" applyBorder="1" applyAlignment="1" applyProtection="1">
      <alignment horizontal="center"/>
      <protection locked="0"/>
    </xf>
    <xf numFmtId="0" fontId="0" fillId="36" borderId="0" xfId="0" applyFill="1"/>
    <xf numFmtId="0" fontId="0" fillId="36" borderId="0" xfId="0" applyFill="1" applyAlignment="1">
      <alignment horizontal="center" vertical="center"/>
    </xf>
    <xf numFmtId="14" fontId="0" fillId="0" borderId="0" xfId="0" applyNumberFormat="1" applyFont="1" applyAlignment="1" applyProtection="1">
      <alignment wrapText="1"/>
    </xf>
    <xf numFmtId="0" fontId="0" fillId="0" borderId="12" xfId="0" applyFill="1" applyBorder="1" applyAlignment="1">
      <alignment horizontal="center" vertical="center"/>
    </xf>
    <xf numFmtId="0" fontId="0" fillId="0" borderId="12" xfId="0" applyFill="1" applyBorder="1" applyAlignment="1">
      <alignment vertical="center" wrapText="1"/>
    </xf>
    <xf numFmtId="0" fontId="0" fillId="29" borderId="0" xfId="0" applyFill="1"/>
    <xf numFmtId="0" fontId="39" fillId="0" borderId="57" xfId="0" quotePrefix="1" applyFont="1" applyFill="1" applyBorder="1" applyAlignment="1">
      <alignment horizontal="center" vertical="center"/>
    </xf>
    <xf numFmtId="0" fontId="39" fillId="0" borderId="16" xfId="0" applyFont="1" applyFill="1" applyBorder="1" applyAlignment="1">
      <alignment horizontal="justify" vertical="center" wrapText="1"/>
    </xf>
    <xf numFmtId="2" fontId="0" fillId="0" borderId="57" xfId="4688" applyNumberFormat="1" applyFont="1" applyFill="1" applyBorder="1" applyAlignment="1" applyProtection="1">
      <alignment horizontal="center" vertical="center" wrapText="1"/>
    </xf>
    <xf numFmtId="188" fontId="0" fillId="0" borderId="16" xfId="0" applyNumberFormat="1" applyFill="1" applyBorder="1" applyAlignment="1">
      <alignment horizontal="center" vertical="center" wrapText="1"/>
    </xf>
    <xf numFmtId="10" fontId="39" fillId="0" borderId="57" xfId="0" applyNumberFormat="1" applyFont="1" applyFill="1" applyBorder="1" applyAlignment="1">
      <alignment horizontal="center" vertical="center" wrapText="1"/>
    </xf>
    <xf numFmtId="2" fontId="0" fillId="0" borderId="57" xfId="0" applyNumberFormat="1" applyFill="1" applyBorder="1" applyAlignment="1">
      <alignment horizontal="center" vertical="center" wrapText="1"/>
    </xf>
    <xf numFmtId="0" fontId="37" fillId="0" borderId="16" xfId="0" applyFont="1" applyFill="1" applyBorder="1" applyAlignment="1">
      <alignment horizontal="justify" vertical="center" wrapText="1"/>
    </xf>
    <xf numFmtId="0" fontId="45" fillId="0" borderId="57" xfId="0" applyFont="1" applyFill="1" applyBorder="1" applyAlignment="1">
      <alignment horizontal="center" vertical="center" wrapText="1"/>
    </xf>
    <xf numFmtId="0" fontId="45" fillId="0" borderId="13" xfId="0" applyFont="1" applyFill="1" applyBorder="1" applyAlignment="1">
      <alignment horizontal="center" vertical="center" wrapText="1"/>
    </xf>
    <xf numFmtId="0" fontId="51" fillId="0" borderId="57" xfId="0" applyFont="1" applyFill="1" applyBorder="1" applyAlignment="1">
      <alignment vertical="center" wrapText="1"/>
    </xf>
    <xf numFmtId="37" fontId="0" fillId="0" borderId="57" xfId="0" applyNumberFormat="1" applyFill="1" applyBorder="1" applyAlignment="1">
      <alignment horizontal="center" vertical="center" wrapText="1"/>
    </xf>
    <xf numFmtId="3" fontId="0" fillId="36" borderId="0" xfId="0" applyNumberFormat="1" applyFill="1"/>
    <xf numFmtId="4" fontId="0" fillId="36" borderId="0" xfId="0" applyNumberFormat="1" applyFill="1"/>
    <xf numFmtId="0" fontId="0" fillId="0" borderId="38" xfId="0" applyFont="1" applyBorder="1" applyAlignment="1">
      <alignment horizontal="left" wrapText="1"/>
    </xf>
    <xf numFmtId="0" fontId="0" fillId="36" borderId="13" xfId="0" applyFont="1" applyFill="1" applyBorder="1" applyAlignment="1">
      <alignment horizontal="left" wrapText="1"/>
    </xf>
    <xf numFmtId="0" fontId="0" fillId="36" borderId="16" xfId="0" applyFont="1" applyFill="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7" fillId="74" borderId="74" xfId="0" applyFont="1" applyFill="1" applyBorder="1" applyAlignment="1">
      <alignment horizontal="left" vertical="center" wrapText="1"/>
    </xf>
    <xf numFmtId="0" fontId="181" fillId="34" borderId="13" xfId="0" applyFont="1" applyFill="1" applyBorder="1" applyAlignment="1">
      <alignment horizontal="center" vertical="center" wrapText="1"/>
    </xf>
    <xf numFmtId="0" fontId="181" fillId="34" borderId="16" xfId="0" applyFont="1" applyFill="1" applyBorder="1" applyAlignment="1">
      <alignment horizontal="center" vertical="center" wrapText="1"/>
    </xf>
    <xf numFmtId="0" fontId="181" fillId="34" borderId="11" xfId="0" applyFont="1" applyFill="1" applyBorder="1" applyAlignment="1">
      <alignment horizontal="center" vertical="center" wrapText="1"/>
    </xf>
    <xf numFmtId="0" fontId="40" fillId="26" borderId="13" xfId="0" applyFont="1" applyFill="1" applyBorder="1" applyAlignment="1">
      <alignment horizontal="center" vertical="top" wrapText="1"/>
    </xf>
    <xf numFmtId="0" fontId="40" fillId="26" borderId="16" xfId="0" applyFont="1" applyFill="1" applyBorder="1" applyAlignment="1">
      <alignment horizontal="center" vertical="top" wrapText="1"/>
    </xf>
    <xf numFmtId="0" fontId="175" fillId="83" borderId="13" xfId="0" applyFont="1" applyFill="1" applyBorder="1" applyAlignment="1">
      <alignment horizontal="center" vertical="center"/>
    </xf>
    <xf numFmtId="0" fontId="175" fillId="83" borderId="16" xfId="0" applyFont="1" applyFill="1" applyBorder="1" applyAlignment="1">
      <alignment horizontal="center" vertical="center"/>
    </xf>
    <xf numFmtId="0" fontId="39" fillId="26" borderId="13" xfId="0" applyFont="1" applyFill="1" applyBorder="1" applyAlignment="1">
      <alignment horizontal="center" vertical="center"/>
    </xf>
    <xf numFmtId="0" fontId="39" fillId="26" borderId="16" xfId="0" applyFont="1" applyFill="1" applyBorder="1" applyAlignment="1">
      <alignment horizontal="center" vertical="center"/>
    </xf>
    <xf numFmtId="0" fontId="181" fillId="34" borderId="13" xfId="0" applyFont="1" applyFill="1" applyBorder="1" applyAlignment="1">
      <alignment horizontal="center" wrapText="1"/>
    </xf>
    <xf numFmtId="0" fontId="181" fillId="34" borderId="16" xfId="0" applyFont="1" applyFill="1" applyBorder="1" applyAlignment="1">
      <alignment horizontal="center" wrapText="1"/>
    </xf>
    <xf numFmtId="0" fontId="181" fillId="34" borderId="11" xfId="0" applyFont="1" applyFill="1" applyBorder="1" applyAlignment="1">
      <alignment horizontal="center" wrapText="1"/>
    </xf>
    <xf numFmtId="0" fontId="156" fillId="0" borderId="40" xfId="0" applyFont="1" applyBorder="1" applyAlignment="1">
      <alignment horizontal="center" vertical="center"/>
    </xf>
    <xf numFmtId="0" fontId="156" fillId="0" borderId="41" xfId="0" applyFont="1" applyBorder="1" applyAlignment="1">
      <alignment horizontal="center" vertical="center"/>
    </xf>
    <xf numFmtId="0" fontId="156" fillId="0" borderId="16" xfId="0" applyFont="1" applyBorder="1" applyAlignment="1">
      <alignment horizontal="center" vertical="center"/>
    </xf>
    <xf numFmtId="0" fontId="156" fillId="0" borderId="11" xfId="0" applyFont="1" applyBorder="1" applyAlignment="1">
      <alignment horizontal="center" vertical="center"/>
    </xf>
    <xf numFmtId="0" fontId="57" fillId="34" borderId="13" xfId="0" applyFont="1" applyFill="1" applyBorder="1" applyAlignment="1">
      <alignment horizontal="justify" vertical="center" wrapText="1"/>
    </xf>
    <xf numFmtId="0" fontId="57" fillId="34" borderId="16" xfId="0" applyFont="1" applyFill="1" applyBorder="1" applyAlignment="1">
      <alignment horizontal="justify" vertical="center" wrapText="1"/>
    </xf>
    <xf numFmtId="0" fontId="57" fillId="34" borderId="11" xfId="0" applyFont="1" applyFill="1" applyBorder="1" applyAlignment="1">
      <alignment horizontal="justify" vertical="center" wrapText="1"/>
    </xf>
    <xf numFmtId="0" fontId="48" fillId="0" borderId="89" xfId="0" applyFont="1" applyBorder="1" applyAlignment="1">
      <alignment horizontal="center" vertical="center" wrapText="1"/>
    </xf>
    <xf numFmtId="0" fontId="48" fillId="0" borderId="90" xfId="0" applyFont="1" applyBorder="1" applyAlignment="1">
      <alignment horizontal="center" vertical="center" wrapText="1"/>
    </xf>
    <xf numFmtId="0" fontId="48" fillId="0" borderId="86" xfId="0" applyFont="1" applyBorder="1" applyAlignment="1">
      <alignment horizontal="center" vertical="center" wrapText="1"/>
    </xf>
    <xf numFmtId="0" fontId="39" fillId="0" borderId="15" xfId="0" applyFont="1" applyBorder="1" applyAlignment="1">
      <alignment horizontal="center" vertical="center"/>
    </xf>
    <xf numFmtId="0" fontId="39" fillId="0" borderId="60" xfId="0" applyFont="1" applyBorder="1" applyAlignment="1">
      <alignment horizontal="center" vertical="center"/>
    </xf>
    <xf numFmtId="0" fontId="39" fillId="0" borderId="40" xfId="0" applyFont="1" applyBorder="1" applyAlignment="1">
      <alignment horizontal="center" vertical="center"/>
    </xf>
    <xf numFmtId="0" fontId="39" fillId="0" borderId="42" xfId="0" applyFont="1" applyBorder="1" applyAlignment="1">
      <alignment horizontal="center" vertical="center"/>
    </xf>
    <xf numFmtId="0" fontId="39" fillId="0" borderId="81" xfId="0" applyFont="1" applyBorder="1" applyAlignment="1">
      <alignment horizontal="center" wrapText="1"/>
    </xf>
    <xf numFmtId="0" fontId="39" fillId="0" borderId="68" xfId="0" applyFont="1" applyBorder="1" applyAlignment="1">
      <alignment horizontal="center"/>
    </xf>
    <xf numFmtId="0" fontId="48" fillId="0" borderId="91" xfId="0" applyFont="1" applyBorder="1" applyAlignment="1">
      <alignment horizontal="center" vertical="center"/>
    </xf>
    <xf numFmtId="0" fontId="48" fillId="0" borderId="92" xfId="0" applyFont="1" applyBorder="1" applyAlignment="1">
      <alignment horizontal="center" vertical="center"/>
    </xf>
    <xf numFmtId="0" fontId="48" fillId="0" borderId="93" xfId="0" applyFont="1" applyBorder="1" applyAlignment="1">
      <alignment horizontal="center" vertical="center"/>
    </xf>
    <xf numFmtId="0" fontId="127" fillId="73" borderId="67" xfId="0" applyFont="1" applyFill="1" applyBorder="1" applyAlignment="1">
      <alignment horizontal="center" vertical="center" wrapText="1"/>
    </xf>
    <xf numFmtId="0" fontId="127" fillId="73" borderId="81" xfId="0" applyFont="1" applyFill="1" applyBorder="1" applyAlignment="1">
      <alignment horizontal="center" vertical="center" wrapText="1"/>
    </xf>
    <xf numFmtId="0" fontId="127" fillId="73" borderId="68" xfId="0" applyFont="1" applyFill="1" applyBorder="1" applyAlignment="1">
      <alignment horizontal="center" vertical="center" wrapText="1"/>
    </xf>
    <xf numFmtId="0" fontId="57" fillId="78" borderId="67" xfId="0" applyFont="1" applyFill="1" applyBorder="1" applyAlignment="1">
      <alignment horizontal="center" vertical="center" wrapText="1"/>
    </xf>
    <xf numFmtId="0" fontId="57" fillId="78" borderId="81" xfId="0" applyFont="1" applyFill="1" applyBorder="1" applyAlignment="1">
      <alignment horizontal="center" vertical="center" wrapText="1"/>
    </xf>
    <xf numFmtId="0" fontId="57" fillId="78" borderId="68" xfId="0" applyFont="1" applyFill="1" applyBorder="1" applyAlignment="1">
      <alignment horizontal="center" vertical="center" wrapText="1"/>
    </xf>
    <xf numFmtId="0" fontId="57" fillId="78" borderId="13" xfId="0" applyFont="1" applyFill="1" applyBorder="1" applyAlignment="1">
      <alignment horizontal="left" vertical="center" wrapText="1"/>
    </xf>
    <xf numFmtId="0" fontId="57" fillId="78" borderId="16" xfId="0" applyFont="1" applyFill="1" applyBorder="1" applyAlignment="1">
      <alignment horizontal="left" vertical="center" wrapText="1"/>
    </xf>
    <xf numFmtId="0" fontId="57" fillId="78" borderId="11" xfId="0" applyFont="1" applyFill="1" applyBorder="1" applyAlignment="1">
      <alignment horizontal="left" vertical="center" wrapText="1"/>
    </xf>
    <xf numFmtId="0" fontId="57" fillId="0" borderId="38" xfId="0" applyFont="1" applyBorder="1" applyAlignment="1">
      <alignment horizontal="center" wrapText="1"/>
    </xf>
    <xf numFmtId="0" fontId="57" fillId="0" borderId="39" xfId="0" applyFont="1" applyBorder="1" applyAlignment="1">
      <alignment horizontal="center" wrapText="1"/>
    </xf>
    <xf numFmtId="0" fontId="57" fillId="0" borderId="0" xfId="0" applyFont="1" applyAlignment="1">
      <alignment horizontal="center" wrapText="1"/>
    </xf>
    <xf numFmtId="0" fontId="57" fillId="0" borderId="60" xfId="0" applyFont="1" applyBorder="1" applyAlignment="1">
      <alignment horizontal="center" wrapText="1"/>
    </xf>
    <xf numFmtId="0" fontId="57" fillId="34" borderId="11" xfId="0" applyFont="1" applyFill="1" applyBorder="1" applyAlignment="1">
      <alignment horizontal="left" wrapText="1"/>
    </xf>
    <xf numFmtId="0" fontId="57" fillId="34" borderId="57" xfId="0" applyFont="1" applyFill="1" applyBorder="1" applyAlignment="1">
      <alignment horizontal="left" wrapText="1"/>
    </xf>
    <xf numFmtId="0" fontId="39" fillId="0" borderId="13" xfId="0" applyFont="1" applyBorder="1" applyAlignment="1">
      <alignment horizontal="left" wrapText="1"/>
    </xf>
    <xf numFmtId="0" fontId="39" fillId="0" borderId="16" xfId="0" applyFont="1" applyBorder="1" applyAlignment="1">
      <alignment horizontal="left" wrapText="1"/>
    </xf>
    <xf numFmtId="0" fontId="39" fillId="0" borderId="11" xfId="0" applyFont="1" applyBorder="1" applyAlignment="1">
      <alignment horizontal="left" wrapText="1"/>
    </xf>
    <xf numFmtId="0" fontId="39" fillId="0" borderId="13" xfId="0" applyFont="1" applyBorder="1" applyAlignment="1">
      <alignment horizontal="left" vertical="center" wrapText="1"/>
    </xf>
    <xf numFmtId="0" fontId="39" fillId="0" borderId="16" xfId="0" applyFont="1" applyBorder="1" applyAlignment="1">
      <alignment horizontal="left" vertical="center" wrapText="1"/>
    </xf>
    <xf numFmtId="0" fontId="39" fillId="0" borderId="11" xfId="0" applyFont="1" applyBorder="1" applyAlignment="1">
      <alignment horizontal="left" vertical="center" wrapText="1"/>
    </xf>
    <xf numFmtId="0" fontId="0" fillId="0" borderId="67" xfId="0" applyBorder="1" applyAlignment="1" applyProtection="1">
      <alignment horizontal="center" vertical="center" wrapText="1"/>
      <protection locked="0"/>
    </xf>
    <xf numFmtId="0" fontId="0" fillId="0" borderId="68" xfId="0" applyBorder="1" applyAlignment="1" applyProtection="1">
      <alignment horizontal="center" vertical="center" wrapText="1"/>
      <protection locked="0"/>
    </xf>
    <xf numFmtId="0" fontId="57" fillId="34" borderId="16" xfId="0" applyFont="1" applyFill="1" applyBorder="1" applyAlignment="1">
      <alignment horizontal="left" wrapText="1"/>
    </xf>
    <xf numFmtId="0" fontId="40" fillId="0" borderId="38" xfId="682" applyFont="1" applyBorder="1" applyAlignment="1">
      <alignment horizontal="justify" vertical="justify" wrapText="1"/>
    </xf>
    <xf numFmtId="0" fontId="40" fillId="0" borderId="39" xfId="682" applyFont="1" applyBorder="1" applyAlignment="1">
      <alignment horizontal="justify" vertical="justify" wrapText="1"/>
    </xf>
    <xf numFmtId="0" fontId="40" fillId="0" borderId="41" xfId="682" applyFont="1" applyBorder="1" applyAlignment="1">
      <alignment horizontal="justify" vertical="justify" wrapText="1"/>
    </xf>
    <xf numFmtId="0" fontId="40" fillId="0" borderId="42" xfId="682" applyFont="1" applyBorder="1" applyAlignment="1">
      <alignment horizontal="justify" vertical="justify" wrapText="1"/>
    </xf>
    <xf numFmtId="0" fontId="37" fillId="78" borderId="67" xfId="0" applyFont="1" applyFill="1" applyBorder="1" applyAlignment="1">
      <alignment horizontal="justify" vertical="center" wrapText="1"/>
    </xf>
    <xf numFmtId="0" fontId="37" fillId="78" borderId="68" xfId="0" applyFont="1" applyFill="1" applyBorder="1" applyAlignment="1">
      <alignment horizontal="justify" vertical="center" wrapText="1"/>
    </xf>
    <xf numFmtId="0" fontId="57" fillId="0" borderId="11" xfId="0" applyFont="1" applyFill="1" applyBorder="1" applyAlignment="1">
      <alignment horizontal="justify" vertical="center" wrapText="1"/>
    </xf>
    <xf numFmtId="0" fontId="57" fillId="0" borderId="57" xfId="0" applyFont="1" applyFill="1" applyBorder="1" applyAlignment="1">
      <alignment horizontal="justify" vertical="center" wrapText="1"/>
    </xf>
    <xf numFmtId="0" fontId="57" fillId="78" borderId="16" xfId="0" applyFont="1" applyFill="1" applyBorder="1" applyAlignment="1">
      <alignment horizontal="left" wrapText="1"/>
    </xf>
    <xf numFmtId="0" fontId="57" fillId="78" borderId="84" xfId="0" applyFont="1" applyFill="1" applyBorder="1" applyAlignment="1">
      <alignment horizontal="left" wrapText="1"/>
    </xf>
    <xf numFmtId="0" fontId="39" fillId="78" borderId="16" xfId="0" applyFont="1" applyFill="1" applyBorder="1" applyAlignment="1">
      <alignment horizontal="justify" vertical="center" wrapText="1"/>
    </xf>
    <xf numFmtId="0" fontId="39" fillId="78" borderId="11" xfId="0" applyFont="1" applyFill="1" applyBorder="1" applyAlignment="1">
      <alignment horizontal="justify" vertical="center" wrapText="1"/>
    </xf>
    <xf numFmtId="0" fontId="39" fillId="78" borderId="16" xfId="0" applyFont="1" applyFill="1" applyBorder="1" applyAlignment="1">
      <alignment horizontal="center" wrapText="1"/>
    </xf>
    <xf numFmtId="0" fontId="39" fillId="78" borderId="11" xfId="0" applyFont="1" applyFill="1" applyBorder="1" applyAlignment="1">
      <alignment horizontal="center" wrapText="1"/>
    </xf>
    <xf numFmtId="0" fontId="57" fillId="34" borderId="11" xfId="0" applyFont="1" applyFill="1" applyBorder="1" applyAlignment="1">
      <alignment horizontal="left" vertical="center" wrapText="1"/>
    </xf>
    <xf numFmtId="0" fontId="57" fillId="34" borderId="57" xfId="0" applyFont="1" applyFill="1" applyBorder="1" applyAlignment="1">
      <alignment horizontal="left" vertical="center" wrapText="1"/>
    </xf>
    <xf numFmtId="0" fontId="57" fillId="0" borderId="13" xfId="0" applyFont="1" applyFill="1" applyBorder="1" applyAlignment="1">
      <alignment horizontal="left" vertical="center" wrapText="1"/>
    </xf>
    <xf numFmtId="0" fontId="57" fillId="0" borderId="16" xfId="0" applyFont="1" applyFill="1" applyBorder="1" applyAlignment="1">
      <alignment horizontal="left" vertical="center" wrapText="1"/>
    </xf>
    <xf numFmtId="0" fontId="57" fillId="0" borderId="11" xfId="0" applyFont="1" applyFill="1" applyBorder="1" applyAlignment="1">
      <alignment horizontal="left" vertical="center" wrapText="1"/>
    </xf>
    <xf numFmtId="0" fontId="39" fillId="78" borderId="57" xfId="0" applyFont="1" applyFill="1" applyBorder="1" applyAlignment="1">
      <alignment horizontal="justify" vertical="center" wrapText="1"/>
    </xf>
    <xf numFmtId="0" fontId="57" fillId="0" borderId="16" xfId="0" applyFont="1" applyFill="1" applyBorder="1" applyAlignment="1">
      <alignment horizontal="justify" vertical="center" wrapText="1"/>
    </xf>
    <xf numFmtId="0" fontId="57" fillId="78" borderId="11" xfId="0" applyFont="1" applyFill="1" applyBorder="1" applyAlignment="1">
      <alignment horizontal="justify" vertical="center" wrapText="1"/>
    </xf>
    <xf numFmtId="0" fontId="57" fillId="78" borderId="57" xfId="0" applyFont="1" applyFill="1" applyBorder="1" applyAlignment="1">
      <alignment horizontal="justify" vertical="center" wrapText="1"/>
    </xf>
    <xf numFmtId="0" fontId="40" fillId="34" borderId="0" xfId="682" applyFont="1" applyFill="1" applyAlignment="1">
      <alignment horizontal="center" vertical="center"/>
    </xf>
    <xf numFmtId="0" fontId="57" fillId="27" borderId="0" xfId="682" applyFont="1" applyFill="1" applyAlignment="1">
      <alignment horizontal="center" vertical="center" wrapText="1"/>
    </xf>
  </cellXfs>
  <cellStyles count="31737">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18" xfId="31725" xr:uid="{5A735BE1-EE31-4062-BA14-CEB426306F19}"/>
    <cellStyle name="Comma 2" xfId="445" xr:uid="{00000000-0005-0000-0000-0000C6010000}"/>
    <cellStyle name="Comma 2 2" xfId="446" xr:uid="{00000000-0005-0000-0000-0000C7010000}"/>
    <cellStyle name="Comma 2 2 2" xfId="31730" xr:uid="{C33B1854-5409-47E0-9622-295106621573}"/>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2 6" xfId="31729" xr:uid="{B55E41AA-D6D3-4F04-B263-B9443017BE0A}"/>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3 6" xfId="31728" xr:uid="{631850A2-9161-4E7E-9629-4BE710A0A149}"/>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11" xfId="31726" xr:uid="{50C09DAD-7BB7-4B5C-917D-B69F3EB82B30}"/>
    <cellStyle name="Currency 12" xfId="31727" xr:uid="{69491EB7-021E-4ADE-A85E-04FC9A02E371}"/>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2 6" xfId="31733" xr:uid="{B1431204-32C2-4525-9311-376EB91B9E68}"/>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2 7" xfId="31732" xr:uid="{64F74D17-D806-4C43-B557-ADB798BEED05}"/>
    <cellStyle name="Currency 3" xfId="551" xr:uid="{00000000-0005-0000-0000-000048030000}"/>
    <cellStyle name="Currency 3 10" xfId="30620" xr:uid="{CC98C09A-FB90-4F09-8713-CE67BE1C4FA6}"/>
    <cellStyle name="Currency 3 11" xfId="30918" xr:uid="{AC79C766-96F4-4BB0-9D53-CAD075CD5FB9}"/>
    <cellStyle name="Currency 3 12" xfId="31731" xr:uid="{BBB3409B-21CA-4FEF-99F6-CD30D3F98184}"/>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3" xfId="31722" xr:uid="{23061F0C-4409-4E5F-A960-26EABC21E703}"/>
    <cellStyle name="Normal 24" xfId="31724" xr:uid="{4AD80940-F9FE-4312-92C2-BB9034C34D3B}"/>
    <cellStyle name="Normal 25" xfId="30098" xr:uid="{07506169-A6FD-44A0-8C52-1A1EF451F172}"/>
    <cellStyle name="Normal 26" xfId="30103" xr:uid="{7027CCDA-B9FD-43DE-A40A-182DF76F28F4}"/>
    <cellStyle name="Normal 27" xfId="31723" xr:uid="{4196B5BA-5EA7-4D8D-9D66-857889BD5159}"/>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7" xfId="30118" xr:uid="{3A8EA0EB-6553-4DE0-BA6D-E554B6EEBC52}"/>
    <cellStyle name="Normal 3 2 3 3 2 3 7 2" xfId="30479" xr:uid="{12261BA5-6EBE-49C8-858C-4433B97E2B8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4" xfId="30354" xr:uid="{93657840-58F4-4379-9A8A-0046F497FB51}"/>
    <cellStyle name="Normal 3 2 3 3 2 4 3 4 2" xfId="31696" xr:uid="{A40DE0E8-AD45-4E9B-94C0-51490D3093FE}"/>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7" xfId="30117" xr:uid="{019B4B8F-7996-40B8-8487-A11E7446390C}"/>
    <cellStyle name="Normal 3 2 3 3 2 7 2" xfId="30478"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7" xfId="30119" xr:uid="{21708935-4338-4B04-A5B4-2B12A5C766F5}"/>
    <cellStyle name="Normal 3 2 3 3 4 7 2" xfId="30480"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7" xfId="30121" xr:uid="{B13A17FC-0920-42D9-BFD0-704A408A0A4C}"/>
    <cellStyle name="Normal 3 2 3 4 3 7 2" xfId="30482"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7" xfId="30120" xr:uid="{2902EA16-525C-4490-96D7-08F0557F0425}"/>
    <cellStyle name="Normal 3 2 3 4 7 2" xfId="30481" xr:uid="{DF6E23B2-6945-41B0-8306-2F702DBA91A9}"/>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6" xfId="30112" xr:uid="{2DA27080-57C7-488E-9E66-228C66F3BB6F}"/>
    <cellStyle name="Normal 3 2 3 6 2" xfId="30471"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7" xfId="30123" xr:uid="{2FC8C8CB-77C8-4CE3-9500-8BBF0E8D3D67}"/>
    <cellStyle name="Normal 3 2 4 3 7 2" xfId="30485" xr:uid="{FF9CD143-3DC5-4E78-9669-CDD5E69991D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4" xfId="30355" xr:uid="{C34059E2-DD63-4FD3-8EEB-54B190A38F45}"/>
    <cellStyle name="Normal 3 2 4 4 2 4 2" xfId="31697" xr:uid="{6DCD7FB8-B5FD-4C77-BBC6-EAED650E4CF3}"/>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7" xfId="30122" xr:uid="{2CF31ED3-BF8A-4420-A35A-63A9374EE9CB}"/>
    <cellStyle name="Normal 3 2 4 7 2" xfId="30484" xr:uid="{E8D1DD0B-859F-4702-9615-4F14D8E78C95}"/>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6" xfId="30109" xr:uid="{E75C1CB2-D09F-4E20-9707-91B0AD896C89}"/>
    <cellStyle name="Normal 3 2 6 2" xfId="31495" xr:uid="{75618FDA-0DC1-449E-A37B-B4C7EE151DBA}"/>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7" xfId="30125" xr:uid="{DAC80EA3-45F7-49F1-A349-239CC3856162}"/>
    <cellStyle name="Normal 5 2 2 3 3 2 3 7 2" xfId="30487" xr:uid="{207BB286-D44A-4530-97B5-78C32E75393D}"/>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4" xfId="30357" xr:uid="{1C60EA9A-684E-4679-89C8-749CEAB253C5}"/>
    <cellStyle name="Normal 5 2 2 3 3 2 4 3 4 2" xfId="31699" xr:uid="{AD204089-4C71-4050-991D-38E2B324F7EB}"/>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7" xfId="30124" xr:uid="{16F6B502-50DE-40DF-90B1-0876CC1A1C94}"/>
    <cellStyle name="Normal 5 2 2 3 3 2 7 2" xfId="30486"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7" xfId="30126" xr:uid="{703E38E7-8BA4-47CE-A103-8E02D7643E7A}"/>
    <cellStyle name="Normal 5 2 2 3 3 4 7 2" xfId="30488"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7" xfId="30128" xr:uid="{902DB47F-C143-433C-8E02-ECCFBB8FA346}"/>
    <cellStyle name="Normal 5 2 2 3 4 3 7 2" xfId="30490"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7" xfId="30127" xr:uid="{920D9317-59AD-4444-9F3B-B0AB3DA1419C}"/>
    <cellStyle name="Normal 5 2 2 3 4 7 2" xfId="30489" xr:uid="{2D2D5388-0491-48DD-9BA0-7F231209010E}"/>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6" xfId="30104" xr:uid="{93BD7124-346B-4FA7-9E75-822A18739E86}"/>
    <cellStyle name="Normal 5 2 2 3 6 2" xfId="30472"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7" xfId="30130" xr:uid="{BDE27110-9B13-48B7-8653-B497F720F538}"/>
    <cellStyle name="Normal 5 2 2 4 3 7 2" xfId="30493"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7" xfId="30129" xr:uid="{2236E3FF-3A86-4CD1-98F1-1886F111A065}"/>
    <cellStyle name="Normal 5 2 2 4 7 2" xfId="30492" xr:uid="{45FC10F0-4741-45B2-BDBE-913619A599F3}"/>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6" xfId="31499"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7" xfId="30132" xr:uid="{83341974-E50B-44D0-9696-9A6A4FF79FC7}"/>
    <cellStyle name="Normal 5 2 4 3 2 3 7 2" xfId="30496" xr:uid="{62A7FCD7-3DD3-460C-A526-2E072EA83AC6}"/>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4" xfId="30359" xr:uid="{BB7BBCD9-B969-4973-A8B6-6CB722F841E4}"/>
    <cellStyle name="Normal 5 2 4 3 2 4 3 4 2" xfId="31700" xr:uid="{F60ECDD6-7D39-47D2-80B0-FE4508F286D8}"/>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7" xfId="30131" xr:uid="{C81275DE-CA30-40D7-AD33-FAB62E0FACED}"/>
    <cellStyle name="Normal 5 2 4 3 2 7 2" xfId="30495"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7" xfId="30133" xr:uid="{0FF9C2E0-D12A-4ABC-95BB-3755B3F83C84}"/>
    <cellStyle name="Normal 5 2 4 3 4 7 2" xfId="30497"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7" xfId="30135" xr:uid="{043D8D7C-0FB5-4B99-8C37-48CD2D0D46E8}"/>
    <cellStyle name="Normal 5 2 4 4 3 7 2" xfId="30499"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8" xfId="30134" xr:uid="{2E70D3D9-38AE-4F46-AE0C-D4B00782AB6B}"/>
    <cellStyle name="Normal 5 2 4 4 8 2" xfId="30498"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7" xfId="30113" xr:uid="{342BA205-8867-43D9-9B72-B399D3F5B164}"/>
    <cellStyle name="Normal 5 2 4 7 2" xfId="30473"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7" xfId="30137" xr:uid="{42B1072C-8B2A-4FA2-81EC-269C4E84A3A5}"/>
    <cellStyle name="Normal 5 2 6 3 7 2" xfId="30502" xr:uid="{54FBF52F-2716-45C2-84B6-D21E6196F53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4" xfId="30360" xr:uid="{704420A6-BB13-4C4A-98E2-F5E54ACD7C79}"/>
    <cellStyle name="Normal 5 2 6 4 2 4 2" xfId="31701" xr:uid="{BFDDA610-75E9-4FB0-AECA-C28A0E3EE21C}"/>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7" xfId="30136" xr:uid="{E209EADA-9019-48FA-A3B0-FD7DD812FC2D}"/>
    <cellStyle name="Normal 5 2 6 7 2" xfId="30501" xr:uid="{806443B8-0098-40D3-A0A9-566A12CC2022}"/>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7" xfId="30139" xr:uid="{CEEC2368-E04C-4884-B7E9-1C0EF9192CCC}"/>
    <cellStyle name="Normal 5 3 3 2 3 7 2" xfId="30505"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7" xfId="30138" xr:uid="{D531B8A8-AA54-477A-BB5E-9C4205A9F66B}"/>
    <cellStyle name="Normal 5 3 3 2 7 2" xfId="30504"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7" xfId="30140" xr:uid="{347E797A-C3DA-48FE-923F-48D6C2483068}"/>
    <cellStyle name="Normal 5 3 3 4 7 2" xfId="30506"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7" xfId="30142" xr:uid="{8464588B-FBC9-4AEB-8137-4B7B64E1AFE0}"/>
    <cellStyle name="Normal 5 3 4 3 7 2" xfId="30508"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7" xfId="30141" xr:uid="{C5086DE0-3D25-4310-955C-9881B5375DBB}"/>
    <cellStyle name="Normal 5 3 4 7 2" xfId="30507" xr:uid="{0691E9B7-B979-49A9-82BB-8C389DE41776}"/>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6" xfId="30114" xr:uid="{FF7EC34F-1D03-426F-944C-8DDEC9BD14BD}"/>
    <cellStyle name="Normal 5 3 6 2" xfId="30474"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7" xfId="30144" xr:uid="{9EC4A54E-D459-477E-95C3-D8EED714DA54}"/>
    <cellStyle name="Normal 5 5 10 7 2" xfId="30510" xr:uid="{642D08F6-4146-4DCF-BE9E-E70107F064A1}"/>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7" xfId="30110" xr:uid="{B86EA2F7-3D8C-4453-9463-4535C564224A}"/>
    <cellStyle name="Normal 5 7 2" xfId="31496"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7" xfId="30146" xr:uid="{DC11676B-B130-4A24-B13D-A1AF24211213}"/>
    <cellStyle name="Normal 6 3 3 3 2 3 7 2" xfId="30513" xr:uid="{2A90FA8B-F176-40AB-B942-C645A0B2AC10}"/>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4" xfId="30363" xr:uid="{3A82768C-6B5D-4D32-86C4-08DE35B49E64}"/>
    <cellStyle name="Normal 6 3 3 3 2 4 3 4 2" xfId="31703" xr:uid="{7FCFC7B6-2244-4C07-99E2-5744C78CE1C6}"/>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7" xfId="30145" xr:uid="{80BE168A-ACEA-40EE-BC12-1FF256FF1F93}"/>
    <cellStyle name="Normal 6 3 3 3 2 7 2" xfId="30512"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7" xfId="30147" xr:uid="{C2411ACB-20F6-4EE0-8B84-B62097023916}"/>
    <cellStyle name="Normal 6 3 3 3 4 7 2" xfId="30514"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7" xfId="30149" xr:uid="{5DD134DE-7771-4AC1-A6C7-CAB182204804}"/>
    <cellStyle name="Normal 6 3 3 4 3 7 2" xfId="30516"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7" xfId="30148" xr:uid="{838F89EF-1D7F-4065-8D4C-3A4DAF9BF3DA}"/>
    <cellStyle name="Normal 6 3 3 4 7 2" xfId="30515" xr:uid="{05F24ADF-AA50-4531-B604-5CFE29E6FEC6}"/>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6" xfId="30102" xr:uid="{39D311B1-3F99-4637-B6B6-3945F5B433CC}"/>
    <cellStyle name="Normal 6 3 3 6 2" xfId="30475"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7" xfId="30151" xr:uid="{7EB70341-ADA0-4143-B80B-2417C60D5EFB}"/>
    <cellStyle name="Normal 6 3 4 3 7 2" xfId="30519" xr:uid="{35C90F93-35F2-4DF2-AF1A-E04B1075095B}"/>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4" xfId="30364" xr:uid="{ED8C1BC9-242E-4E34-A350-F2FCEF2ABD52}"/>
    <cellStyle name="Normal 6 3 4 4 2 4 2" xfId="31704" xr:uid="{1508FF5D-6EE9-4924-B426-3723E8CF7E8F}"/>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7" xfId="30150" xr:uid="{230E3327-1DCE-4021-B3F8-983D1A5A137A}"/>
    <cellStyle name="Normal 6 3 4 7 2" xfId="30518" xr:uid="{E88A4B4D-5E2F-4EF4-8F91-154A61DEACCE}"/>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6" xfId="31500" xr:uid="{DD156CEF-7EAB-43B9-BB83-25E20C183EA0}"/>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7" xfId="30153" xr:uid="{49112585-27FD-43F2-BF44-AC831E47158C}"/>
    <cellStyle name="Normal 6 5 3 2 3 7 2" xfId="30522" xr:uid="{97E9803D-6432-444E-A890-68A0602A16F1}"/>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4" xfId="30366" xr:uid="{ECE487CF-3F45-4A59-B530-7A43F95E48BF}"/>
    <cellStyle name="Normal 6 5 3 2 4 3 4 2" xfId="31705" xr:uid="{08509A36-70E6-4EBD-A46D-BFCD7652D951}"/>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7" xfId="30152" xr:uid="{940D94C0-6359-4490-BCCE-8FEBED747550}"/>
    <cellStyle name="Normal 6 5 3 2 7 2" xfId="30521"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7" xfId="30154" xr:uid="{B6B1B1A2-B731-440F-A283-79585C0A73B2}"/>
    <cellStyle name="Normal 6 5 3 4 7 2" xfId="30523"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7" xfId="30156" xr:uid="{E689BF94-8089-4EDB-8A90-EC9DD05FAEB6}"/>
    <cellStyle name="Normal 6 5 4 3 7 2" xfId="30525"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7" xfId="30155" xr:uid="{2552D7E3-E9B3-4241-AB50-FAF890DD8E42}"/>
    <cellStyle name="Normal 6 5 4 7 2" xfId="30524" xr:uid="{4C0D5AE6-EFC9-4BFA-B323-123CB782B2A7}"/>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6" xfId="30115" xr:uid="{8D7A58C9-2680-41F9-B10A-5FB6EB00FD95}"/>
    <cellStyle name="Normal 6 5 6 2" xfId="30476" xr:uid="{6AC3E222-93E2-4ED5-A04F-8AD2183A95F8}"/>
    <cellStyle name="Normal 6 6" xfId="1313" xr:uid="{00000000-0005-0000-0000-0000F2060000}"/>
    <cellStyle name="Normal 6 6 10" xfId="30157" xr:uid="{52A1F13F-0078-432B-BBAA-5F6768E9F38E}"/>
    <cellStyle name="Normal 6 6 10 2" xfId="31504"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7" xfId="30158" xr:uid="{5E7B4808-922D-4165-8936-0598A0A6DAFF}"/>
    <cellStyle name="Normal 6 6 4 7 2" xfId="30527"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8" xfId="31497" xr:uid="{87BFBF72-39C8-449B-BCD7-58E40C532503}"/>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7" xfId="29635" xr:uid="{34C97F94-45C7-4B15-9ED5-2C3B425DF668}"/>
    <cellStyle name="Normal 7 14 3 8" xfId="30368" xr:uid="{41672123-6C8D-4359-9C8E-48BF387564A2}"/>
    <cellStyle name="Normal 7 14 3 8 2" xfId="31707" xr:uid="{E814CD8D-8D5B-49AD-88A8-8E69D7486D14}"/>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7" xfId="30160" xr:uid="{780A71C4-DEF8-4E6E-ACC0-3655804A98B1}"/>
    <cellStyle name="Normal 7 3 3 2 3 7 2" xfId="30530" xr:uid="{0EEE45BB-0632-4849-9B3D-03E60AC0207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4" xfId="30369" xr:uid="{51F68BB7-1CBC-471B-8C45-133EBC2770D2}"/>
    <cellStyle name="Normal 7 3 3 2 4 3 4 2" xfId="31708" xr:uid="{9A461396-9683-439E-A844-9F185B081F12}"/>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7" xfId="30159" xr:uid="{FA8D9B86-1118-4618-BB6D-43B775B037D2}"/>
    <cellStyle name="Normal 7 3 3 2 7 2" xfId="30529"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7" xfId="30161" xr:uid="{52394549-E29E-4278-9C6A-6C4AFCC85D43}"/>
    <cellStyle name="Normal 7 3 3 4 7 2" xfId="30531"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7" xfId="30163" xr:uid="{8FB8729F-E256-4613-98CA-4EC4024F1636}"/>
    <cellStyle name="Normal 7 3 4 3 7 2" xfId="30533"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7" xfId="30162" xr:uid="{547D83AB-00BA-499B-81A0-779EECACE4D6}"/>
    <cellStyle name="Normal 7 3 4 7 2" xfId="30532" xr:uid="{C34CEC2F-9910-42A5-A6D6-E9823FE39A10}"/>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7" xfId="30165" xr:uid="{12C3815A-038F-484F-AD47-98D3CF0EAE5F}"/>
    <cellStyle name="Normal 7 6 10 7 2" xfId="30535" xr:uid="{0238211A-81EA-4FE4-8F6A-61EEA3D894FA}"/>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2 2" xfId="31736" xr:uid="{F5D2602A-1CA8-4937-A75B-B7316868305F}"/>
    <cellStyle name="Percent 2 3" xfId="29585" xr:uid="{8FB87725-886D-4A62-BBA8-4FA9FB880D61}"/>
    <cellStyle name="Percent 2 4" xfId="31735" xr:uid="{81975A88-DC72-409E-895A-F94B1AF416FB}"/>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3 6" xfId="31734" xr:uid="{C296D834-E3A5-4FC0-BDC5-01EF2E3AC3B4}"/>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98">
    <dxf>
      <numFmt numFmtId="189" formatCode=";;;"/>
    </dxf>
    <dxf>
      <numFmt numFmtId="189" formatCode=";;;"/>
    </dxf>
    <dxf>
      <numFmt numFmtId="189" formatCode=";;;"/>
    </dxf>
    <dxf>
      <numFmt numFmtId="189" formatCode=";;;"/>
    </dxf>
    <dxf>
      <numFmt numFmtId="189"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9" formatCode=";;;"/>
    </dxf>
    <dxf>
      <numFmt numFmtId="189" formatCode=";;;"/>
    </dxf>
    <dxf>
      <numFmt numFmtId="189" formatCode=";;;"/>
    </dxf>
    <dxf>
      <numFmt numFmtId="189" formatCode=";;;"/>
    </dxf>
    <dxf>
      <numFmt numFmtId="189"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FFCC"/>
        </patternFill>
      </fill>
    </dxf>
    <dxf>
      <font>
        <b/>
        <i val="0"/>
        <color rgb="FFFF0000"/>
      </font>
      <fill>
        <patternFill>
          <bgColor rgb="FFFFC7CE"/>
        </patternFill>
      </fill>
    </dxf>
    <dxf>
      <font>
        <color rgb="FF9C0006"/>
      </font>
      <fill>
        <patternFill>
          <bgColor rgb="FFFFC7CE"/>
        </patternFill>
      </fill>
    </dxf>
    <dxf>
      <font>
        <color rgb="FFFF0000"/>
      </font>
      <fill>
        <patternFill>
          <bgColor rgb="FFFFFFCC"/>
        </patternFill>
      </fill>
    </dxf>
    <dxf>
      <font>
        <color rgb="FFFF0000"/>
      </font>
      <fill>
        <patternFill>
          <bgColor rgb="FFFFFFCC"/>
        </patternFill>
      </fill>
    </dxf>
    <dxf>
      <font>
        <b/>
        <i val="0"/>
        <color rgb="FFFF0000"/>
      </font>
      <fill>
        <patternFill>
          <bgColor rgb="FFFFC7CE"/>
        </patternFill>
      </fill>
    </dxf>
    <dxf>
      <font>
        <color rgb="FFFF0000"/>
      </font>
      <fill>
        <patternFill>
          <bgColor rgb="FFFFFFCC"/>
        </patternFill>
      </fill>
    </dxf>
    <dxf>
      <font>
        <color rgb="FFFF0000"/>
      </font>
      <fill>
        <patternFill>
          <bgColor rgb="FFFFFFCC"/>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ont>
        <b/>
        <i val="0"/>
        <color rgb="FFFF0000"/>
      </font>
      <fill>
        <patternFill>
          <bgColor rgb="FFFFFFCC"/>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97"/>
      <tableStyleElement type="headerRow" dxfId="96"/>
      <tableStyleElement type="firstRowStripe" dxfId="95"/>
    </tableStyle>
  </tableStyles>
  <colors>
    <mruColors>
      <color rgb="FFFFFFCC"/>
      <color rgb="FFFFCCCC"/>
      <color rgb="FFFFC7CE"/>
      <color rgb="FFCCFFCC"/>
      <color rgb="FFE14343"/>
      <color rgb="FFCCFF66"/>
      <color rgb="FFCCFFFF"/>
      <color rgb="FFDCFDD3"/>
      <color rgb="FFFCCCE1"/>
      <color rgb="FFF7EA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 as a Percentage of Expenditures</a:t>
            </a:r>
          </a:p>
        </c:rich>
      </c:tx>
      <c:layout>
        <c:manualLayout>
          <c:xMode val="edge"/>
          <c:yMode val="edge"/>
          <c:x val="0.12274188751662336"/>
          <c:y val="7.492666479252096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0112123730869721"/>
          <c:y val="0.27053247865581087"/>
          <c:w val="0.88088479213921111"/>
          <c:h val="0.54705190395745684"/>
        </c:manualLayout>
      </c:layout>
      <c:barChart>
        <c:barDir val="col"/>
        <c:grouping val="clustered"/>
        <c:varyColors val="0"/>
        <c:ser>
          <c:idx val="0"/>
          <c:order val="0"/>
          <c:tx>
            <c:strRef>
              <c:f>'Performance  Indicators Print'!$L$10</c:f>
              <c:strCache>
                <c:ptCount val="1"/>
                <c:pt idx="0">
                  <c:v>2022</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Print'!$L$11</c:f>
              <c:numCache>
                <c:formatCode>0.00%</c:formatCode>
                <c:ptCount val="1"/>
                <c:pt idx="0">
                  <c:v>#N/A</c:v>
                </c:pt>
              </c:numCache>
            </c:numRef>
          </c:val>
          <c:extLst>
            <c:ext xmlns:c16="http://schemas.microsoft.com/office/drawing/2014/chart" uri="{C3380CC4-5D6E-409C-BE32-E72D297353CC}">
              <c16:uniqueId val="{00000000-A409-43D6-8C66-73522177D1BF}"/>
            </c:ext>
          </c:extLst>
        </c:ser>
        <c:ser>
          <c:idx val="1"/>
          <c:order val="1"/>
          <c:tx>
            <c:strRef>
              <c:f>'Performance  Indicators Print'!$M$10</c:f>
              <c:strCache>
                <c:ptCount val="1"/>
                <c:pt idx="0">
                  <c:v>2023</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Print'!$M$11</c:f>
              <c:numCache>
                <c:formatCode>0.00%</c:formatCode>
                <c:ptCount val="1"/>
                <c:pt idx="0">
                  <c:v>#N/A</c:v>
                </c:pt>
              </c:numCache>
            </c:numRef>
          </c:val>
          <c:extLst>
            <c:ext xmlns:c16="http://schemas.microsoft.com/office/drawing/2014/chart" uri="{C3380CC4-5D6E-409C-BE32-E72D297353CC}">
              <c16:uniqueId val="{00000001-A409-43D6-8C66-73522177D1BF}"/>
            </c:ext>
          </c:extLst>
        </c:ser>
        <c:ser>
          <c:idx val="2"/>
          <c:order val="2"/>
          <c:tx>
            <c:strRef>
              <c:f>'Performance  Indicators Print'!$N$10</c:f>
              <c:strCache>
                <c:ptCount val="1"/>
                <c:pt idx="0">
                  <c:v>2024</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Print'!$N$11</c:f>
              <c:numCache>
                <c:formatCode>0.00%</c:formatCode>
                <c:ptCount val="1"/>
                <c:pt idx="0">
                  <c:v>0</c:v>
                </c:pt>
              </c:numCache>
            </c:numRef>
          </c:val>
          <c:extLst>
            <c:ext xmlns:c16="http://schemas.microsoft.com/office/drawing/2014/chart" uri="{C3380CC4-5D6E-409C-BE32-E72D297353CC}">
              <c16:uniqueId val="{00000002-A409-43D6-8C66-73522177D1BF}"/>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layout>
        <c:manualLayout>
          <c:xMode val="edge"/>
          <c:yMode val="edge"/>
          <c:x val="0.27314075943617855"/>
          <c:y val="8.035367889975679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2066920149216826E-2"/>
          <c:y val="0.2687673598716262"/>
          <c:w val="0.91147168803203105"/>
          <c:h val="0.59181995771713547"/>
        </c:manualLayout>
      </c:layout>
      <c:barChart>
        <c:barDir val="col"/>
        <c:grouping val="clustered"/>
        <c:varyColors val="0"/>
        <c:ser>
          <c:idx val="0"/>
          <c:order val="0"/>
          <c:tx>
            <c:strRef>
              <c:f>'Performance  Indicators Print'!$L$10</c:f>
              <c:strCache>
                <c:ptCount val="1"/>
                <c:pt idx="0">
                  <c:v>2022</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Print'!$L$15</c:f>
              <c:numCache>
                <c:formatCode>0.00</c:formatCode>
                <c:ptCount val="1"/>
                <c:pt idx="0">
                  <c:v>#N/A</c:v>
                </c:pt>
              </c:numCache>
            </c:numRef>
          </c:val>
          <c:extLst>
            <c:ext xmlns:c16="http://schemas.microsoft.com/office/drawing/2014/chart" uri="{C3380CC4-5D6E-409C-BE32-E72D297353CC}">
              <c16:uniqueId val="{00000000-1CDB-4C76-BFFC-D1B465011A83}"/>
            </c:ext>
          </c:extLst>
        </c:ser>
        <c:ser>
          <c:idx val="1"/>
          <c:order val="1"/>
          <c:tx>
            <c:strRef>
              <c:f>'Performance  Indicators Print'!$M$10</c:f>
              <c:strCache>
                <c:ptCount val="1"/>
                <c:pt idx="0">
                  <c:v>2023</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Print'!$M$15</c:f>
              <c:numCache>
                <c:formatCode>0.00</c:formatCode>
                <c:ptCount val="1"/>
                <c:pt idx="0">
                  <c:v>#N/A</c:v>
                </c:pt>
              </c:numCache>
            </c:numRef>
          </c:val>
          <c:extLst>
            <c:ext xmlns:c16="http://schemas.microsoft.com/office/drawing/2014/chart" uri="{C3380CC4-5D6E-409C-BE32-E72D297353CC}">
              <c16:uniqueId val="{00000001-1CDB-4C76-BFFC-D1B465011A83}"/>
            </c:ext>
          </c:extLst>
        </c:ser>
        <c:ser>
          <c:idx val="2"/>
          <c:order val="2"/>
          <c:tx>
            <c:strRef>
              <c:f>'Performance  Indicators Print'!$N$10</c:f>
              <c:strCache>
                <c:ptCount val="1"/>
                <c:pt idx="0">
                  <c:v>2024</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Print'!$N$15</c:f>
              <c:numCache>
                <c:formatCode>0.00</c:formatCode>
                <c:ptCount val="1"/>
                <c:pt idx="0">
                  <c:v>0</c:v>
                </c:pt>
              </c:numCache>
            </c:numRef>
          </c:val>
          <c:extLst>
            <c:ext xmlns:c16="http://schemas.microsoft.com/office/drawing/2014/chart" uri="{C3380CC4-5D6E-409C-BE32-E72D297353CC}">
              <c16:uniqueId val="{00000002-1CDB-4C76-BFFC-D1B465011A83}"/>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layout>
        <c:manualLayout>
          <c:xMode val="edge"/>
          <c:yMode val="edge"/>
          <c:x val="0.37882602401356363"/>
          <c:y val="0.89314561268280834"/>
          <c:w val="0.24234779045462701"/>
          <c:h val="0.1014280294031689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4695825</xdr:colOff>
      <xdr:row>21</xdr:row>
      <xdr:rowOff>11430</xdr:rowOff>
    </xdr:from>
    <xdr:to>
      <xdr:col>1</xdr:col>
      <xdr:colOff>7019925</xdr:colOff>
      <xdr:row>21</xdr:row>
      <xdr:rowOff>476250</xdr:rowOff>
    </xdr:to>
    <xdr:sp macro="" textlink="">
      <xdr:nvSpPr>
        <xdr:cNvPr id="2" name="Hexagon 1">
          <a:extLst>
            <a:ext uri="{FF2B5EF4-FFF2-40B4-BE49-F238E27FC236}">
              <a16:creationId xmlns:a16="http://schemas.microsoft.com/office/drawing/2014/main" id="{00000000-0008-0000-0200-000002000000}"/>
            </a:ext>
          </a:extLst>
        </xdr:cNvPr>
        <xdr:cNvSpPr/>
      </xdr:nvSpPr>
      <xdr:spPr>
        <a:xfrm>
          <a:off x="5219700" y="7345680"/>
          <a:ext cx="2324100" cy="464820"/>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a:solidFill>
                <a:sysClr val="windowText" lastClr="000000"/>
              </a:solidFill>
            </a:rPr>
            <a:t>Q 955 - Exclude Federal and State compliance from this number</a:t>
          </a:r>
        </a:p>
      </xdr:txBody>
    </xdr:sp>
    <xdr:clientData/>
  </xdr:twoCellAnchor>
  <xdr:twoCellAnchor>
    <xdr:from>
      <xdr:col>1</xdr:col>
      <xdr:colOff>4688205</xdr:colOff>
      <xdr:row>22</xdr:row>
      <xdr:rowOff>15240</xdr:rowOff>
    </xdr:from>
    <xdr:to>
      <xdr:col>1</xdr:col>
      <xdr:colOff>7012305</xdr:colOff>
      <xdr:row>22</xdr:row>
      <xdr:rowOff>472440</xdr:rowOff>
    </xdr:to>
    <xdr:sp macro="" textlink="">
      <xdr:nvSpPr>
        <xdr:cNvPr id="3" name="Hexagon 2">
          <a:extLst>
            <a:ext uri="{FF2B5EF4-FFF2-40B4-BE49-F238E27FC236}">
              <a16:creationId xmlns:a16="http://schemas.microsoft.com/office/drawing/2014/main" id="{00000000-0008-0000-0200-000003000000}"/>
            </a:ext>
          </a:extLst>
        </xdr:cNvPr>
        <xdr:cNvSpPr/>
      </xdr:nvSpPr>
      <xdr:spPr>
        <a:xfrm>
          <a:off x="5212080" y="7863840"/>
          <a:ext cx="2324100" cy="457200"/>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a:solidFill>
                <a:sysClr val="windowText" lastClr="000000"/>
              </a:solidFill>
            </a:rPr>
            <a:t>Q 957 - Exclude Federal and State compliance from this number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347383</xdr:colOff>
      <xdr:row>10</xdr:row>
      <xdr:rowOff>392206</xdr:rowOff>
    </xdr:from>
    <xdr:to>
      <xdr:col>4</xdr:col>
      <xdr:colOff>1053353</xdr:colOff>
      <xdr:row>10</xdr:row>
      <xdr:rowOff>2736638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340178</xdr:colOff>
      <xdr:row>14</xdr:row>
      <xdr:rowOff>105682</xdr:rowOff>
    </xdr:from>
    <xdr:to>
      <xdr:col>4</xdr:col>
      <xdr:colOff>1153433</xdr:colOff>
      <xdr:row>14</xdr:row>
      <xdr:rowOff>2458810</xdr:rowOff>
    </xdr:to>
    <xdr:graphicFrame macro="">
      <xdr:nvGraphicFramePr>
        <xdr:cNvPr id="3" name="Chart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289560</xdr:colOff>
          <xdr:row>7</xdr:row>
          <xdr:rowOff>99060</xdr:rowOff>
        </xdr:from>
        <xdr:to>
          <xdr:col>5</xdr:col>
          <xdr:colOff>1196340</xdr:colOff>
          <xdr:row>8</xdr:row>
          <xdr:rowOff>1531620</xdr:rowOff>
        </xdr:to>
        <xdr:sp macro="" textlink="">
          <xdr:nvSpPr>
            <xdr:cNvPr id="48131" name="Object 3" hidden="1">
              <a:extLst>
                <a:ext uri="{63B3BB69-23CF-44E3-9099-C40C66FF867C}">
                  <a14:compatExt spid="_x0000_s48131"/>
                </a:ext>
                <a:ext uri="{FF2B5EF4-FFF2-40B4-BE49-F238E27FC236}">
                  <a16:creationId xmlns:a16="http://schemas.microsoft.com/office/drawing/2014/main" id="{00000000-0008-0000-0300-000003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75D9-3D83-4324-B62D-17FE2ED83864}">
  <dimension ref="B1:N61"/>
  <sheetViews>
    <sheetView tabSelected="1" zoomScaleNormal="100" workbookViewId="0">
      <selection activeCell="B2" sqref="B2"/>
    </sheetView>
  </sheetViews>
  <sheetFormatPr defaultColWidth="9.109375" defaultRowHeight="14.4" x14ac:dyDescent="0.3"/>
  <cols>
    <col min="1" max="1" width="1.6640625" style="173" customWidth="1"/>
    <col min="2" max="2" width="187.109375" style="173" customWidth="1"/>
    <col min="3" max="4" width="9.109375" style="173" hidden="1" customWidth="1"/>
    <col min="5" max="5" width="2.33203125" style="173" customWidth="1"/>
    <col min="6" max="6" width="16.44140625" style="173" customWidth="1"/>
    <col min="7" max="16384" width="9.109375" style="173"/>
  </cols>
  <sheetData>
    <row r="1" spans="2:14" ht="9.6" customHeight="1" thickBot="1" x14ac:dyDescent="0.35">
      <c r="B1" s="155"/>
    </row>
    <row r="2" spans="2:14" ht="91.95" customHeight="1" thickBot="1" x14ac:dyDescent="0.35">
      <c r="B2" s="519" t="s">
        <v>1740</v>
      </c>
    </row>
    <row r="3" spans="2:14" ht="76.2" customHeight="1" thickBot="1" x14ac:dyDescent="0.35">
      <c r="B3" s="790" t="s">
        <v>1340</v>
      </c>
      <c r="C3" s="166"/>
      <c r="D3" s="166"/>
    </row>
    <row r="4" spans="2:14" ht="58.95" customHeight="1" thickBot="1" x14ac:dyDescent="0.35">
      <c r="B4" s="790" t="s">
        <v>1341</v>
      </c>
      <c r="C4" s="166"/>
      <c r="D4" s="166"/>
    </row>
    <row r="5" spans="2:14" ht="61.2" customHeight="1" x14ac:dyDescent="0.3">
      <c r="B5" s="166" t="s">
        <v>1343</v>
      </c>
    </row>
    <row r="6" spans="2:14" ht="83.4" customHeight="1" x14ac:dyDescent="0.4">
      <c r="B6" s="166" t="s">
        <v>588</v>
      </c>
      <c r="F6" s="520"/>
      <c r="G6" s="520"/>
      <c r="H6" s="520"/>
      <c r="I6" s="520"/>
      <c r="J6" s="520"/>
      <c r="K6" s="520"/>
      <c r="L6" s="520"/>
      <c r="M6" s="520"/>
      <c r="N6" s="520"/>
    </row>
    <row r="7" spans="2:14" ht="58.2" customHeight="1" x14ac:dyDescent="0.3">
      <c r="B7" s="166" t="s">
        <v>589</v>
      </c>
    </row>
    <row r="8" spans="2:14" ht="117.6" customHeight="1" x14ac:dyDescent="0.3">
      <c r="B8" s="156" t="s">
        <v>590</v>
      </c>
    </row>
    <row r="9" spans="2:14" ht="25.95" customHeight="1" x14ac:dyDescent="0.3">
      <c r="B9" s="168" t="s">
        <v>374</v>
      </c>
    </row>
    <row r="10" spans="2:14" ht="49.2" customHeight="1" x14ac:dyDescent="0.3">
      <c r="B10" s="521" t="s">
        <v>591</v>
      </c>
    </row>
    <row r="11" spans="2:14" ht="42.6" customHeight="1" x14ac:dyDescent="0.3">
      <c r="B11" s="521" t="s">
        <v>375</v>
      </c>
    </row>
    <row r="12" spans="2:14" s="523" customFormat="1" ht="34.200000000000003" customHeight="1" x14ac:dyDescent="0.3">
      <c r="B12" s="522" t="s">
        <v>1342</v>
      </c>
    </row>
    <row r="13" spans="2:14" s="523" customFormat="1" ht="55.95" customHeight="1" x14ac:dyDescent="0.3">
      <c r="B13" s="524" t="s">
        <v>592</v>
      </c>
    </row>
    <row r="14" spans="2:14" ht="36" customHeight="1" x14ac:dyDescent="0.3">
      <c r="B14" s="524" t="s">
        <v>593</v>
      </c>
    </row>
    <row r="15" spans="2:14" ht="39" customHeight="1" x14ac:dyDescent="0.3">
      <c r="B15" s="525" t="s">
        <v>594</v>
      </c>
    </row>
    <row r="16" spans="2:14" ht="25.95" customHeight="1" x14ac:dyDescent="0.3">
      <c r="B16" s="168" t="s">
        <v>376</v>
      </c>
    </row>
    <row r="17" spans="2:2" x14ac:dyDescent="0.3">
      <c r="B17" s="155"/>
    </row>
    <row r="18" spans="2:2" x14ac:dyDescent="0.3">
      <c r="B18" s="526" t="s">
        <v>32</v>
      </c>
    </row>
    <row r="19" spans="2:2" ht="15.6" customHeight="1" x14ac:dyDescent="0.3">
      <c r="B19" s="527" t="s">
        <v>595</v>
      </c>
    </row>
    <row r="20" spans="2:2" x14ac:dyDescent="0.3">
      <c r="B20" s="528"/>
    </row>
    <row r="21" spans="2:2" x14ac:dyDescent="0.3">
      <c r="B21" s="526" t="s">
        <v>33</v>
      </c>
    </row>
    <row r="22" spans="2:2" ht="15.6" customHeight="1" x14ac:dyDescent="0.3">
      <c r="B22" s="529" t="s">
        <v>286</v>
      </c>
    </row>
    <row r="23" spans="2:2" ht="13.2" customHeight="1" x14ac:dyDescent="0.3">
      <c r="B23" s="155"/>
    </row>
    <row r="24" spans="2:2" ht="25.95" customHeight="1" x14ac:dyDescent="0.3">
      <c r="B24" s="168" t="s">
        <v>377</v>
      </c>
    </row>
    <row r="25" spans="2:2" s="523" customFormat="1" ht="72.599999999999994" customHeight="1" x14ac:dyDescent="0.3">
      <c r="B25" s="521" t="s">
        <v>1344</v>
      </c>
    </row>
    <row r="26" spans="2:2" s="523" customFormat="1" ht="84.6" customHeight="1" x14ac:dyDescent="0.3">
      <c r="B26" s="521" t="s">
        <v>596</v>
      </c>
    </row>
    <row r="27" spans="2:2" s="523" customFormat="1" ht="78.599999999999994" customHeight="1" x14ac:dyDescent="0.3">
      <c r="B27" s="521" t="s">
        <v>378</v>
      </c>
    </row>
    <row r="28" spans="2:2" ht="15" x14ac:dyDescent="0.3">
      <c r="B28" s="158" t="s">
        <v>597</v>
      </c>
    </row>
    <row r="29" spans="2:2" ht="8.4" customHeight="1" x14ac:dyDescent="0.3">
      <c r="B29" s="157"/>
    </row>
    <row r="30" spans="2:2" ht="25.95" customHeight="1" x14ac:dyDescent="0.3">
      <c r="B30" s="168" t="s">
        <v>598</v>
      </c>
    </row>
    <row r="31" spans="2:2" ht="28.95" customHeight="1" x14ac:dyDescent="0.3">
      <c r="B31" s="169" t="s">
        <v>1731</v>
      </c>
    </row>
    <row r="32" spans="2:2" ht="31.95" customHeight="1" x14ac:dyDescent="0.3">
      <c r="B32" s="169" t="s">
        <v>1732</v>
      </c>
    </row>
    <row r="33" spans="2:7" ht="30.6" customHeight="1" x14ac:dyDescent="0.3">
      <c r="B33" s="530" t="s">
        <v>1733</v>
      </c>
    </row>
    <row r="34" spans="2:7" ht="25.2" customHeight="1" x14ac:dyDescent="0.3">
      <c r="B34" s="530" t="s">
        <v>1734</v>
      </c>
    </row>
    <row r="35" spans="2:7" ht="27.6" customHeight="1" x14ac:dyDescent="0.3">
      <c r="B35" s="530" t="s">
        <v>1735</v>
      </c>
    </row>
    <row r="36" spans="2:7" ht="31.95" customHeight="1" x14ac:dyDescent="0.3">
      <c r="B36" s="531" t="s">
        <v>599</v>
      </c>
    </row>
    <row r="37" spans="2:7" ht="60" customHeight="1" x14ac:dyDescent="0.3">
      <c r="B37" s="169" t="s">
        <v>1741</v>
      </c>
    </row>
    <row r="38" spans="2:7" ht="60" customHeight="1" x14ac:dyDescent="0.3">
      <c r="B38" s="670" t="s">
        <v>1736</v>
      </c>
    </row>
    <row r="39" spans="2:7" ht="25.95" customHeight="1" x14ac:dyDescent="0.3">
      <c r="B39" s="169" t="s">
        <v>600</v>
      </c>
    </row>
    <row r="40" spans="2:7" ht="12" customHeight="1" x14ac:dyDescent="0.3">
      <c r="B40" s="169"/>
    </row>
    <row r="41" spans="2:7" ht="25.95" customHeight="1" x14ac:dyDescent="0.3">
      <c r="B41" s="168" t="s">
        <v>1737</v>
      </c>
    </row>
    <row r="42" spans="2:7" x14ac:dyDescent="0.3">
      <c r="B42" s="167"/>
      <c r="G42" s="532"/>
    </row>
    <row r="43" spans="2:7" ht="43.2" customHeight="1" x14ac:dyDescent="0.3">
      <c r="B43" s="533" t="s">
        <v>601</v>
      </c>
    </row>
    <row r="44" spans="2:7" ht="19.95" customHeight="1" x14ac:dyDescent="0.3">
      <c r="B44" s="855" t="s">
        <v>594</v>
      </c>
    </row>
    <row r="45" spans="2:7" ht="11.4" customHeight="1" x14ac:dyDescent="0.3">
      <c r="B45" s="170"/>
    </row>
    <row r="46" spans="2:7" ht="15" x14ac:dyDescent="0.3">
      <c r="B46" s="171"/>
    </row>
    <row r="47" spans="2:7" ht="7.2" customHeight="1" x14ac:dyDescent="0.3">
      <c r="B47" s="169"/>
    </row>
    <row r="48" spans="2:7" ht="25.95" customHeight="1" x14ac:dyDescent="0.3">
      <c r="B48" s="168" t="s">
        <v>1738</v>
      </c>
    </row>
    <row r="49" spans="2:2" ht="35.4" customHeight="1" x14ac:dyDescent="0.3">
      <c r="B49" s="533" t="s">
        <v>1739</v>
      </c>
    </row>
    <row r="50" spans="2:2" ht="15" x14ac:dyDescent="0.3">
      <c r="B50" s="171"/>
    </row>
    <row r="61" spans="2:2" ht="44.25" customHeight="1" x14ac:dyDescent="0.3"/>
  </sheetData>
  <sheetProtection algorithmName="SHA-512" hashValue="NrKnAbHiEL5vNTpGEZ3lqv8yUqoaEeRm1rz6RwxgVe0goy/GwA+mdGWqK0k4FwnjyNWz4M2G6t5srbk9jTyYPA==" saltValue="t2yImFWdKO1gU+mzVm1oEg==" spinCount="100000" sheet="1" formatCells="0" formatColumns="0" formatRows="0"/>
  <hyperlinks>
    <hyperlink ref="B19" r:id="rId1" xr:uid="{D884A1C1-5813-49FA-ADE3-EC534BDCAC64}"/>
    <hyperlink ref="B22" r:id="rId2" xr:uid="{044AB546-D3C6-4ABF-A2AC-DC336546928A}"/>
    <hyperlink ref="B44" r:id="rId3" xr:uid="{05EF3D24-7CE3-4EA0-9FDA-B9759E6FB5D6}"/>
    <hyperlink ref="B15" r:id="rId4" xr:uid="{BF6D099F-043D-469A-BAD5-08D7A2092F70}"/>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101"/>
  <sheetViews>
    <sheetView workbookViewId="0">
      <selection activeCell="M31" sqref="M31"/>
    </sheetView>
  </sheetViews>
  <sheetFormatPr defaultColWidth="9.109375" defaultRowHeight="14.4" x14ac:dyDescent="0.3"/>
  <cols>
    <col min="1" max="1" width="28.5546875" style="351" customWidth="1"/>
    <col min="2" max="12" width="9.109375" style="351"/>
    <col min="13" max="13" width="21.6640625" style="351" customWidth="1"/>
    <col min="14" max="14" width="16.88671875" style="351" customWidth="1"/>
    <col min="15" max="16" width="9.109375" style="351"/>
    <col min="17" max="17" width="18.109375" style="351" customWidth="1"/>
    <col min="18" max="18" width="11" style="351" customWidth="1"/>
    <col min="19" max="16384" width="9.109375" style="351"/>
  </cols>
  <sheetData>
    <row r="1" spans="1:20" x14ac:dyDescent="0.3">
      <c r="A1" s="351" t="s">
        <v>566</v>
      </c>
    </row>
    <row r="2" spans="1:20" ht="15" thickBot="1" x14ac:dyDescent="0.35">
      <c r="A2" s="349" t="s">
        <v>816</v>
      </c>
      <c r="B2" s="149">
        <v>5100</v>
      </c>
      <c r="C2" s="347">
        <v>51</v>
      </c>
      <c r="D2" s="50"/>
      <c r="E2" s="50"/>
      <c r="G2" s="351">
        <v>100</v>
      </c>
      <c r="I2" s="351" t="s">
        <v>281</v>
      </c>
    </row>
    <row r="3" spans="1:20" ht="15" customHeight="1" thickBot="1" x14ac:dyDescent="0.35">
      <c r="A3" s="350" t="s">
        <v>817</v>
      </c>
      <c r="B3" s="149">
        <v>5101</v>
      </c>
      <c r="C3" s="347">
        <v>51</v>
      </c>
      <c r="D3" s="49"/>
      <c r="E3" s="50"/>
      <c r="G3" s="351">
        <v>200</v>
      </c>
      <c r="I3" s="351" t="s">
        <v>282</v>
      </c>
      <c r="O3" s="353"/>
      <c r="P3" s="353"/>
      <c r="S3" s="353"/>
      <c r="T3" s="353"/>
    </row>
    <row r="4" spans="1:20" ht="15" customHeight="1" thickBot="1" x14ac:dyDescent="0.35">
      <c r="A4" s="350" t="s">
        <v>818</v>
      </c>
      <c r="B4" s="149">
        <v>5102</v>
      </c>
      <c r="C4" s="347">
        <v>51</v>
      </c>
      <c r="D4" s="49"/>
      <c r="E4" s="50"/>
      <c r="G4" s="351">
        <v>300</v>
      </c>
      <c r="I4" s="351" t="s">
        <v>283</v>
      </c>
      <c r="O4" s="353"/>
      <c r="P4" s="353"/>
      <c r="S4" s="353"/>
      <c r="T4" s="353"/>
    </row>
    <row r="5" spans="1:20" ht="15" thickBot="1" x14ac:dyDescent="0.35">
      <c r="A5" s="350" t="s">
        <v>391</v>
      </c>
      <c r="B5" s="149">
        <v>5103</v>
      </c>
      <c r="C5" s="347">
        <v>51</v>
      </c>
      <c r="D5" s="49"/>
      <c r="E5" s="50"/>
      <c r="G5" s="351">
        <v>400</v>
      </c>
      <c r="O5" s="353"/>
      <c r="P5" s="353"/>
      <c r="S5" s="353"/>
      <c r="T5" s="353"/>
    </row>
    <row r="6" spans="1:20" ht="15" thickBot="1" x14ac:dyDescent="0.35">
      <c r="A6" s="350" t="s">
        <v>819</v>
      </c>
      <c r="B6" s="149">
        <v>5104</v>
      </c>
      <c r="C6" s="347">
        <v>51</v>
      </c>
      <c r="D6" s="49"/>
      <c r="E6" s="50"/>
      <c r="G6" s="351">
        <v>500</v>
      </c>
      <c r="O6" s="353"/>
      <c r="P6" s="353"/>
      <c r="S6" s="353"/>
      <c r="T6" s="353"/>
    </row>
    <row r="7" spans="1:20" ht="15" thickBot="1" x14ac:dyDescent="0.35">
      <c r="A7" s="350" t="s">
        <v>820</v>
      </c>
      <c r="B7" s="149">
        <v>5105</v>
      </c>
      <c r="C7" s="347">
        <v>51</v>
      </c>
      <c r="D7" s="49"/>
      <c r="E7" s="50"/>
      <c r="O7" s="353"/>
      <c r="P7" s="353"/>
      <c r="S7" s="353"/>
      <c r="T7" s="353"/>
    </row>
    <row r="8" spans="1:20" ht="15" thickBot="1" x14ac:dyDescent="0.35">
      <c r="A8" s="350" t="s">
        <v>821</v>
      </c>
      <c r="B8" s="149">
        <v>5106</v>
      </c>
      <c r="C8" s="347">
        <v>51</v>
      </c>
      <c r="D8" s="49"/>
      <c r="E8" s="50"/>
      <c r="O8" s="353"/>
      <c r="P8" s="353"/>
      <c r="S8" s="353"/>
      <c r="T8" s="353"/>
    </row>
    <row r="9" spans="1:20" ht="15" thickBot="1" x14ac:dyDescent="0.35">
      <c r="A9" s="350" t="s">
        <v>392</v>
      </c>
      <c r="B9" s="149">
        <v>5107</v>
      </c>
      <c r="C9" s="347">
        <v>51</v>
      </c>
      <c r="D9" s="49"/>
      <c r="E9" s="50"/>
      <c r="O9" s="353"/>
      <c r="P9" s="353"/>
      <c r="S9" s="353"/>
      <c r="T9" s="353"/>
    </row>
    <row r="10" spans="1:20" ht="15" thickBot="1" x14ac:dyDescent="0.35">
      <c r="A10" s="350" t="s">
        <v>822</v>
      </c>
      <c r="B10" s="149">
        <v>5108</v>
      </c>
      <c r="C10" s="347">
        <v>51</v>
      </c>
      <c r="D10" s="49"/>
      <c r="E10" s="50"/>
      <c r="O10" s="353"/>
      <c r="P10" s="353"/>
      <c r="S10" s="353"/>
      <c r="T10" s="353"/>
    </row>
    <row r="11" spans="1:20" ht="15" thickBot="1" x14ac:dyDescent="0.35">
      <c r="A11" s="350" t="s">
        <v>823</v>
      </c>
      <c r="B11" s="149">
        <v>5109</v>
      </c>
      <c r="C11" s="347">
        <v>51</v>
      </c>
      <c r="D11" s="49"/>
      <c r="E11" s="50"/>
      <c r="O11" s="353"/>
      <c r="P11" s="353"/>
      <c r="S11" s="353"/>
      <c r="T11" s="353"/>
    </row>
    <row r="12" spans="1:20" ht="15" thickBot="1" x14ac:dyDescent="0.35">
      <c r="A12" s="350" t="s">
        <v>824</v>
      </c>
      <c r="B12" s="149">
        <v>5110</v>
      </c>
      <c r="C12" s="347">
        <v>51</v>
      </c>
      <c r="D12" s="49"/>
      <c r="E12" s="50"/>
      <c r="O12" s="353"/>
      <c r="P12" s="353"/>
      <c r="S12" s="353"/>
      <c r="T12" s="353"/>
    </row>
    <row r="13" spans="1:20" ht="15" thickBot="1" x14ac:dyDescent="0.35">
      <c r="A13" s="350" t="s">
        <v>825</v>
      </c>
      <c r="B13" s="149">
        <v>5111</v>
      </c>
      <c r="C13" s="347">
        <v>51</v>
      </c>
      <c r="D13" s="49"/>
      <c r="E13" s="50"/>
      <c r="O13" s="353"/>
      <c r="P13" s="353"/>
      <c r="S13" s="353"/>
      <c r="T13" s="353"/>
    </row>
    <row r="14" spans="1:20" ht="15" thickBot="1" x14ac:dyDescent="0.35">
      <c r="A14" s="350" t="s">
        <v>826</v>
      </c>
      <c r="B14" s="149">
        <v>5112</v>
      </c>
      <c r="C14" s="347">
        <v>51</v>
      </c>
      <c r="D14" s="49"/>
      <c r="E14" s="50"/>
      <c r="O14" s="353"/>
      <c r="P14" s="353"/>
      <c r="S14" s="353"/>
      <c r="T14" s="353"/>
    </row>
    <row r="15" spans="1:20" ht="15" thickBot="1" x14ac:dyDescent="0.35">
      <c r="A15" s="350" t="s">
        <v>827</v>
      </c>
      <c r="B15" s="149">
        <v>5113</v>
      </c>
      <c r="C15" s="347">
        <v>51</v>
      </c>
      <c r="D15" s="49"/>
      <c r="E15" s="50"/>
      <c r="O15" s="353"/>
      <c r="P15" s="353"/>
      <c r="S15" s="353"/>
      <c r="T15" s="353"/>
    </row>
    <row r="16" spans="1:20" ht="15" thickBot="1" x14ac:dyDescent="0.35">
      <c r="A16" s="350" t="s">
        <v>828</v>
      </c>
      <c r="B16" s="149">
        <v>5114</v>
      </c>
      <c r="C16" s="347">
        <v>51</v>
      </c>
      <c r="D16" s="49"/>
      <c r="E16" s="50"/>
      <c r="O16" s="353"/>
      <c r="P16" s="353"/>
      <c r="S16" s="353"/>
      <c r="T16" s="353"/>
    </row>
    <row r="17" spans="1:20" ht="15" thickBot="1" x14ac:dyDescent="0.35">
      <c r="A17" s="350" t="s">
        <v>829</v>
      </c>
      <c r="B17" s="149">
        <v>5115</v>
      </c>
      <c r="C17" s="347">
        <v>51</v>
      </c>
      <c r="D17" s="49"/>
      <c r="E17" s="50"/>
      <c r="O17" s="353"/>
      <c r="P17" s="353"/>
      <c r="S17" s="353"/>
      <c r="T17" s="353"/>
    </row>
    <row r="18" spans="1:20" ht="15" thickBot="1" x14ac:dyDescent="0.35">
      <c r="A18" s="350" t="s">
        <v>568</v>
      </c>
      <c r="B18" s="149">
        <v>5116</v>
      </c>
      <c r="C18" s="347">
        <v>51</v>
      </c>
      <c r="D18" s="49"/>
      <c r="E18" s="50"/>
      <c r="O18" s="353"/>
      <c r="P18" s="353"/>
      <c r="S18" s="353"/>
      <c r="T18" s="353"/>
    </row>
    <row r="19" spans="1:20" ht="15" thickBot="1" x14ac:dyDescent="0.35">
      <c r="A19" s="350" t="s">
        <v>830</v>
      </c>
      <c r="B19" s="149">
        <v>5117</v>
      </c>
      <c r="C19" s="347">
        <v>51</v>
      </c>
      <c r="D19" s="49"/>
      <c r="E19" s="50"/>
      <c r="O19" s="353"/>
      <c r="P19" s="353"/>
      <c r="S19" s="353"/>
      <c r="T19" s="353"/>
    </row>
    <row r="20" spans="1:20" ht="15" thickBot="1" x14ac:dyDescent="0.35">
      <c r="A20" s="350" t="s">
        <v>831</v>
      </c>
      <c r="B20" s="149">
        <v>5118</v>
      </c>
      <c r="C20" s="347">
        <v>51</v>
      </c>
      <c r="D20" s="49"/>
      <c r="E20" s="50"/>
      <c r="O20" s="353"/>
      <c r="P20" s="353"/>
      <c r="S20" s="353"/>
      <c r="T20" s="353"/>
    </row>
    <row r="21" spans="1:20" ht="15" thickBot="1" x14ac:dyDescent="0.35">
      <c r="A21" s="350" t="s">
        <v>569</v>
      </c>
      <c r="B21" s="149">
        <v>5119</v>
      </c>
      <c r="C21" s="347">
        <v>51</v>
      </c>
      <c r="D21" s="49"/>
      <c r="E21" s="50"/>
      <c r="O21" s="353"/>
      <c r="P21" s="353"/>
      <c r="S21" s="353"/>
      <c r="T21" s="353"/>
    </row>
    <row r="22" spans="1:20" ht="15" thickBot="1" x14ac:dyDescent="0.35">
      <c r="A22" s="350" t="s">
        <v>832</v>
      </c>
      <c r="B22" s="149">
        <v>5120</v>
      </c>
      <c r="C22" s="347">
        <v>51</v>
      </c>
      <c r="D22" s="49"/>
      <c r="E22" s="50"/>
      <c r="O22" s="353"/>
      <c r="P22" s="353"/>
      <c r="S22" s="353"/>
      <c r="T22" s="353"/>
    </row>
    <row r="23" spans="1:20" ht="15" thickBot="1" x14ac:dyDescent="0.35">
      <c r="A23" s="350" t="s">
        <v>833</v>
      </c>
      <c r="B23" s="149">
        <v>5121</v>
      </c>
      <c r="C23" s="347">
        <v>51</v>
      </c>
      <c r="D23" s="49"/>
      <c r="E23" s="50"/>
      <c r="O23" s="353"/>
      <c r="P23" s="353"/>
      <c r="S23" s="353"/>
      <c r="T23" s="353"/>
    </row>
    <row r="24" spans="1:20" ht="15" thickBot="1" x14ac:dyDescent="0.35">
      <c r="A24" s="350" t="s">
        <v>834</v>
      </c>
      <c r="B24" s="149">
        <v>5122</v>
      </c>
      <c r="C24" s="347">
        <v>51</v>
      </c>
      <c r="D24" s="49"/>
      <c r="E24" s="50"/>
      <c r="O24" s="353"/>
      <c r="P24" s="353"/>
      <c r="S24" s="353"/>
      <c r="T24" s="353"/>
    </row>
    <row r="25" spans="1:20" ht="15" thickBot="1" x14ac:dyDescent="0.35">
      <c r="A25" s="350" t="s">
        <v>570</v>
      </c>
      <c r="B25" s="149">
        <v>5123</v>
      </c>
      <c r="C25" s="347">
        <v>51</v>
      </c>
      <c r="D25" s="49"/>
      <c r="E25" s="50"/>
      <c r="O25" s="353"/>
      <c r="P25" s="353"/>
      <c r="S25" s="353"/>
      <c r="T25" s="353"/>
    </row>
    <row r="26" spans="1:20" ht="15" thickBot="1" x14ac:dyDescent="0.35">
      <c r="A26" s="350" t="s">
        <v>835</v>
      </c>
      <c r="B26" s="149">
        <v>5124</v>
      </c>
      <c r="C26" s="347">
        <v>51</v>
      </c>
      <c r="D26" s="49"/>
      <c r="E26" s="50"/>
      <c r="O26" s="353"/>
      <c r="P26" s="353"/>
      <c r="S26" s="353"/>
      <c r="T26" s="353"/>
    </row>
    <row r="27" spans="1:20" ht="15" thickBot="1" x14ac:dyDescent="0.35">
      <c r="A27" s="350" t="s">
        <v>836</v>
      </c>
      <c r="B27" s="149">
        <v>5125</v>
      </c>
      <c r="C27" s="347">
        <v>51</v>
      </c>
      <c r="D27" s="49"/>
      <c r="E27" s="50"/>
      <c r="O27" s="353"/>
      <c r="P27" s="353"/>
      <c r="S27" s="353"/>
      <c r="T27" s="353"/>
    </row>
    <row r="28" spans="1:20" ht="15" thickBot="1" x14ac:dyDescent="0.35">
      <c r="A28" s="350" t="s">
        <v>837</v>
      </c>
      <c r="B28" s="149">
        <v>5126</v>
      </c>
      <c r="C28" s="347">
        <v>51</v>
      </c>
      <c r="D28" s="49"/>
      <c r="E28" s="50"/>
      <c r="O28" s="353"/>
      <c r="P28" s="353"/>
      <c r="S28" s="353"/>
      <c r="T28" s="353"/>
    </row>
    <row r="29" spans="1:20" ht="15" thickBot="1" x14ac:dyDescent="0.35">
      <c r="A29" s="350" t="s">
        <v>838</v>
      </c>
      <c r="B29" s="149">
        <v>5127</v>
      </c>
      <c r="C29" s="347">
        <v>51</v>
      </c>
      <c r="D29" s="49"/>
      <c r="E29" s="50"/>
      <c r="O29" s="353"/>
      <c r="P29" s="353"/>
      <c r="S29" s="353"/>
      <c r="T29" s="353"/>
    </row>
    <row r="30" spans="1:20" ht="15" thickBot="1" x14ac:dyDescent="0.35">
      <c r="A30" s="350" t="s">
        <v>839</v>
      </c>
      <c r="B30" s="149">
        <v>5128</v>
      </c>
      <c r="C30" s="347">
        <v>51</v>
      </c>
      <c r="D30" s="49"/>
      <c r="E30" s="50"/>
      <c r="O30" s="353"/>
      <c r="P30" s="353"/>
      <c r="S30" s="353"/>
      <c r="T30" s="353"/>
    </row>
    <row r="31" spans="1:20" ht="15" thickBot="1" x14ac:dyDescent="0.35">
      <c r="A31" s="350" t="s">
        <v>571</v>
      </c>
      <c r="B31" s="149">
        <v>5129</v>
      </c>
      <c r="C31" s="347">
        <v>51</v>
      </c>
      <c r="D31" s="49"/>
      <c r="E31" s="50"/>
      <c r="O31" s="353"/>
      <c r="P31" s="353"/>
      <c r="S31" s="353"/>
      <c r="T31" s="353"/>
    </row>
    <row r="32" spans="1:20" ht="15" thickBot="1" x14ac:dyDescent="0.35">
      <c r="A32" s="350" t="s">
        <v>840</v>
      </c>
      <c r="B32" s="149">
        <v>5130</v>
      </c>
      <c r="C32" s="347">
        <v>51</v>
      </c>
      <c r="D32" s="49"/>
      <c r="E32" s="50"/>
      <c r="O32" s="353"/>
      <c r="P32" s="353"/>
      <c r="S32" s="353"/>
      <c r="T32" s="353"/>
    </row>
    <row r="33" spans="1:20" ht="15" thickBot="1" x14ac:dyDescent="0.35">
      <c r="A33" s="350" t="s">
        <v>841</v>
      </c>
      <c r="B33" s="149">
        <v>5131</v>
      </c>
      <c r="C33" s="347">
        <v>51</v>
      </c>
      <c r="D33" s="49"/>
      <c r="E33" s="50"/>
      <c r="O33" s="353"/>
      <c r="P33" s="353"/>
      <c r="S33" s="353"/>
      <c r="T33" s="353"/>
    </row>
    <row r="34" spans="1:20" ht="15" thickBot="1" x14ac:dyDescent="0.35">
      <c r="A34" s="350" t="s">
        <v>393</v>
      </c>
      <c r="B34" s="149">
        <v>5132</v>
      </c>
      <c r="C34" s="347">
        <v>51</v>
      </c>
      <c r="D34" s="49"/>
      <c r="E34" s="50"/>
      <c r="O34" s="353"/>
      <c r="P34" s="353"/>
      <c r="S34" s="353"/>
      <c r="T34" s="353"/>
    </row>
    <row r="35" spans="1:20" ht="15" thickBot="1" x14ac:dyDescent="0.35">
      <c r="A35" s="350" t="s">
        <v>842</v>
      </c>
      <c r="B35" s="149">
        <v>5133</v>
      </c>
      <c r="C35" s="347">
        <v>51</v>
      </c>
      <c r="D35" s="49"/>
      <c r="E35" s="50"/>
      <c r="O35" s="353"/>
      <c r="P35" s="353"/>
      <c r="S35" s="353"/>
      <c r="T35" s="353"/>
    </row>
    <row r="36" spans="1:20" ht="15" thickBot="1" x14ac:dyDescent="0.35">
      <c r="A36" s="350" t="s">
        <v>843</v>
      </c>
      <c r="B36" s="149">
        <v>5134</v>
      </c>
      <c r="C36" s="347">
        <v>51</v>
      </c>
      <c r="D36" s="49"/>
      <c r="E36" s="50"/>
      <c r="O36" s="353"/>
      <c r="P36" s="353"/>
      <c r="S36" s="353"/>
      <c r="T36" s="353"/>
    </row>
    <row r="37" spans="1:20" ht="15" thickBot="1" x14ac:dyDescent="0.35">
      <c r="A37" s="350" t="s">
        <v>844</v>
      </c>
      <c r="B37" s="149">
        <v>5135</v>
      </c>
      <c r="C37" s="347">
        <v>51</v>
      </c>
      <c r="D37" s="49"/>
      <c r="E37" s="50"/>
      <c r="O37" s="353"/>
      <c r="P37" s="353"/>
      <c r="S37" s="353"/>
      <c r="T37" s="353"/>
    </row>
    <row r="38" spans="1:20" ht="15" thickBot="1" x14ac:dyDescent="0.35">
      <c r="A38" s="350" t="s">
        <v>845</v>
      </c>
      <c r="B38" s="149">
        <v>5136</v>
      </c>
      <c r="C38" s="347">
        <v>51</v>
      </c>
      <c r="D38" s="49"/>
      <c r="E38" s="50"/>
      <c r="O38" s="353"/>
      <c r="P38" s="353"/>
      <c r="S38" s="353"/>
      <c r="T38" s="353"/>
    </row>
    <row r="39" spans="1:20" ht="15" thickBot="1" x14ac:dyDescent="0.35">
      <c r="A39" s="350" t="s">
        <v>572</v>
      </c>
      <c r="B39" s="149">
        <v>5137</v>
      </c>
      <c r="C39" s="347">
        <v>51</v>
      </c>
      <c r="D39" s="49"/>
      <c r="E39" s="50"/>
      <c r="O39" s="353"/>
      <c r="P39" s="353"/>
      <c r="S39" s="353"/>
      <c r="T39" s="353"/>
    </row>
    <row r="40" spans="1:20" ht="15" thickBot="1" x14ac:dyDescent="0.35">
      <c r="A40" s="350" t="s">
        <v>846</v>
      </c>
      <c r="B40" s="149">
        <v>5138</v>
      </c>
      <c r="C40" s="347">
        <v>51</v>
      </c>
      <c r="D40" s="49"/>
      <c r="E40" s="50"/>
      <c r="O40" s="353"/>
      <c r="P40" s="353"/>
      <c r="S40" s="353"/>
      <c r="T40" s="353"/>
    </row>
    <row r="41" spans="1:20" ht="15" thickBot="1" x14ac:dyDescent="0.35">
      <c r="A41" s="350" t="s">
        <v>847</v>
      </c>
      <c r="B41" s="149">
        <v>5139</v>
      </c>
      <c r="C41" s="347">
        <v>51</v>
      </c>
      <c r="D41" s="49"/>
      <c r="E41" s="50"/>
      <c r="O41" s="353"/>
      <c r="P41" s="353"/>
      <c r="S41" s="353"/>
      <c r="T41" s="353"/>
    </row>
    <row r="42" spans="1:20" ht="15" thickBot="1" x14ac:dyDescent="0.35">
      <c r="A42" s="350" t="s">
        <v>848</v>
      </c>
      <c r="B42" s="149">
        <v>5140</v>
      </c>
      <c r="C42" s="347">
        <v>51</v>
      </c>
      <c r="D42" s="49"/>
      <c r="E42" s="50"/>
      <c r="O42" s="353"/>
      <c r="P42" s="353"/>
      <c r="S42" s="353"/>
      <c r="T42" s="353"/>
    </row>
    <row r="43" spans="1:20" ht="15" thickBot="1" x14ac:dyDescent="0.35">
      <c r="A43" s="350" t="s">
        <v>849</v>
      </c>
      <c r="B43" s="149">
        <v>5141</v>
      </c>
      <c r="C43" s="347">
        <v>51</v>
      </c>
      <c r="D43" s="49"/>
      <c r="E43" s="50"/>
      <c r="O43" s="353"/>
      <c r="P43" s="353"/>
      <c r="S43" s="353"/>
      <c r="T43" s="353"/>
    </row>
    <row r="44" spans="1:20" ht="15" thickBot="1" x14ac:dyDescent="0.35">
      <c r="A44" s="350" t="s">
        <v>850</v>
      </c>
      <c r="B44" s="149">
        <v>5142</v>
      </c>
      <c r="C44" s="347">
        <v>51</v>
      </c>
      <c r="D44" s="49"/>
      <c r="E44" s="50"/>
      <c r="O44" s="353"/>
      <c r="P44" s="353"/>
      <c r="S44" s="353"/>
      <c r="T44" s="353"/>
    </row>
    <row r="45" spans="1:20" ht="15" thickBot="1" x14ac:dyDescent="0.35">
      <c r="A45" s="350" t="s">
        <v>851</v>
      </c>
      <c r="B45" s="149">
        <v>5143</v>
      </c>
      <c r="C45" s="347">
        <v>51</v>
      </c>
      <c r="D45" s="49"/>
      <c r="E45" s="50"/>
      <c r="O45" s="353"/>
      <c r="P45" s="353"/>
      <c r="S45" s="353"/>
      <c r="T45" s="353"/>
    </row>
    <row r="46" spans="1:20" ht="15" thickBot="1" x14ac:dyDescent="0.35">
      <c r="A46" s="350" t="s">
        <v>852</v>
      </c>
      <c r="B46" s="149">
        <v>5144</v>
      </c>
      <c r="C46" s="347">
        <v>51</v>
      </c>
      <c r="D46" s="49"/>
      <c r="E46" s="50"/>
      <c r="O46" s="353"/>
      <c r="P46" s="353"/>
      <c r="S46" s="353"/>
      <c r="T46" s="353"/>
    </row>
    <row r="47" spans="1:20" ht="15" thickBot="1" x14ac:dyDescent="0.35">
      <c r="A47" s="350" t="s">
        <v>853</v>
      </c>
      <c r="B47" s="149">
        <v>5145</v>
      </c>
      <c r="C47" s="347">
        <v>51</v>
      </c>
      <c r="D47" s="49"/>
      <c r="E47" s="50"/>
      <c r="O47" s="353"/>
      <c r="P47" s="353"/>
      <c r="S47" s="353"/>
      <c r="T47" s="353"/>
    </row>
    <row r="48" spans="1:20" ht="15" thickBot="1" x14ac:dyDescent="0.35">
      <c r="A48" s="350" t="s">
        <v>854</v>
      </c>
      <c r="B48" s="149">
        <v>5146</v>
      </c>
      <c r="C48" s="347">
        <v>51</v>
      </c>
      <c r="D48" s="49"/>
      <c r="E48" s="50"/>
      <c r="O48" s="353"/>
      <c r="P48" s="353"/>
      <c r="S48" s="353"/>
      <c r="T48" s="353"/>
    </row>
    <row r="49" spans="1:20" ht="15" thickBot="1" x14ac:dyDescent="0.35">
      <c r="A49" s="350" t="s">
        <v>394</v>
      </c>
      <c r="B49" s="149">
        <v>5147</v>
      </c>
      <c r="C49" s="347">
        <v>51</v>
      </c>
      <c r="D49" s="49"/>
      <c r="E49" s="50"/>
      <c r="O49" s="353"/>
      <c r="P49" s="353"/>
      <c r="S49" s="353"/>
      <c r="T49" s="353"/>
    </row>
    <row r="50" spans="1:20" ht="15" thickBot="1" x14ac:dyDescent="0.35">
      <c r="A50" s="350" t="s">
        <v>855</v>
      </c>
      <c r="B50" s="149">
        <v>5148</v>
      </c>
      <c r="C50" s="347">
        <v>51</v>
      </c>
      <c r="D50" s="49"/>
      <c r="E50" s="50"/>
      <c r="O50" s="353"/>
      <c r="P50" s="353"/>
      <c r="S50" s="353"/>
      <c r="T50" s="353"/>
    </row>
    <row r="51" spans="1:20" ht="15" thickBot="1" x14ac:dyDescent="0.35">
      <c r="A51" s="350" t="s">
        <v>856</v>
      </c>
      <c r="B51" s="149">
        <v>5149</v>
      </c>
      <c r="C51" s="347">
        <v>51</v>
      </c>
      <c r="D51" s="49"/>
      <c r="E51" s="50"/>
      <c r="O51" s="353"/>
      <c r="P51" s="353"/>
      <c r="S51" s="353"/>
      <c r="T51" s="353"/>
    </row>
    <row r="52" spans="1:20" ht="15" thickBot="1" x14ac:dyDescent="0.35">
      <c r="A52" s="350" t="s">
        <v>857</v>
      </c>
      <c r="B52" s="149">
        <v>5150</v>
      </c>
      <c r="C52" s="347">
        <v>51</v>
      </c>
      <c r="D52" s="49"/>
      <c r="E52" s="50"/>
      <c r="O52" s="353"/>
      <c r="P52" s="353"/>
      <c r="S52" s="353"/>
      <c r="T52" s="353"/>
    </row>
    <row r="53" spans="1:20" ht="15" thickBot="1" x14ac:dyDescent="0.35">
      <c r="A53" s="350" t="s">
        <v>858</v>
      </c>
      <c r="B53" s="149">
        <v>5151</v>
      </c>
      <c r="C53" s="347">
        <v>51</v>
      </c>
      <c r="D53" s="49"/>
      <c r="E53" s="50"/>
      <c r="O53" s="353"/>
      <c r="P53" s="353"/>
      <c r="S53" s="353"/>
      <c r="T53" s="353"/>
    </row>
    <row r="54" spans="1:20" ht="15" thickBot="1" x14ac:dyDescent="0.35">
      <c r="A54" s="350" t="s">
        <v>859</v>
      </c>
      <c r="B54" s="149">
        <v>5152</v>
      </c>
      <c r="C54" s="347">
        <v>51</v>
      </c>
      <c r="D54" s="49"/>
      <c r="E54" s="50"/>
      <c r="O54" s="353"/>
      <c r="P54" s="353"/>
      <c r="S54" s="353"/>
      <c r="T54" s="353"/>
    </row>
    <row r="55" spans="1:20" ht="15" thickBot="1" x14ac:dyDescent="0.35">
      <c r="A55" s="350" t="s">
        <v>860</v>
      </c>
      <c r="B55" s="149">
        <v>5153</v>
      </c>
      <c r="C55" s="347">
        <v>51</v>
      </c>
      <c r="D55" s="49"/>
      <c r="E55" s="50"/>
      <c r="O55" s="353"/>
      <c r="P55" s="353"/>
      <c r="S55" s="353"/>
      <c r="T55" s="353"/>
    </row>
    <row r="56" spans="1:20" ht="15" thickBot="1" x14ac:dyDescent="0.35">
      <c r="A56" s="350" t="s">
        <v>861</v>
      </c>
      <c r="B56" s="149">
        <v>5154</v>
      </c>
      <c r="C56" s="347">
        <v>51</v>
      </c>
      <c r="D56" s="49"/>
      <c r="E56" s="50"/>
      <c r="O56" s="353"/>
      <c r="P56" s="353"/>
      <c r="S56" s="353"/>
      <c r="T56" s="353"/>
    </row>
    <row r="57" spans="1:20" ht="15" thickBot="1" x14ac:dyDescent="0.35">
      <c r="A57" s="350" t="s">
        <v>862</v>
      </c>
      <c r="B57" s="149">
        <v>5155</v>
      </c>
      <c r="C57" s="347">
        <v>51</v>
      </c>
      <c r="D57" s="49"/>
      <c r="E57" s="50"/>
      <c r="O57" s="353"/>
      <c r="P57" s="353"/>
      <c r="S57" s="353"/>
      <c r="T57" s="353"/>
    </row>
    <row r="58" spans="1:20" ht="15" thickBot="1" x14ac:dyDescent="0.35">
      <c r="A58" s="350" t="s">
        <v>395</v>
      </c>
      <c r="B58" s="149">
        <v>5156</v>
      </c>
      <c r="C58" s="347">
        <v>51</v>
      </c>
      <c r="D58" s="49"/>
      <c r="E58" s="50"/>
      <c r="O58" s="353"/>
      <c r="P58" s="353"/>
      <c r="S58" s="353"/>
      <c r="T58" s="353"/>
    </row>
    <row r="59" spans="1:20" ht="15" thickBot="1" x14ac:dyDescent="0.35">
      <c r="A59" s="350" t="s">
        <v>573</v>
      </c>
      <c r="B59" s="149">
        <v>5157</v>
      </c>
      <c r="C59" s="347">
        <v>51</v>
      </c>
      <c r="D59" s="49"/>
      <c r="E59" s="50"/>
      <c r="O59" s="353"/>
      <c r="P59" s="353"/>
      <c r="S59" s="353"/>
      <c r="T59" s="353"/>
    </row>
    <row r="60" spans="1:20" ht="15" thickBot="1" x14ac:dyDescent="0.35">
      <c r="A60" s="350" t="s">
        <v>863</v>
      </c>
      <c r="B60" s="149">
        <v>5158</v>
      </c>
      <c r="C60" s="347">
        <v>51</v>
      </c>
      <c r="D60" s="49"/>
      <c r="E60" s="50"/>
      <c r="O60" s="353"/>
      <c r="P60" s="353"/>
      <c r="S60" s="353"/>
      <c r="T60" s="353"/>
    </row>
    <row r="61" spans="1:20" ht="15" thickBot="1" x14ac:dyDescent="0.35">
      <c r="A61" s="350" t="s">
        <v>864</v>
      </c>
      <c r="B61" s="149">
        <v>5159</v>
      </c>
      <c r="C61" s="347">
        <v>51</v>
      </c>
      <c r="D61" s="49"/>
      <c r="E61" s="50"/>
      <c r="O61" s="353"/>
      <c r="P61" s="353"/>
      <c r="S61" s="353"/>
      <c r="T61" s="353"/>
    </row>
    <row r="62" spans="1:20" ht="15" thickBot="1" x14ac:dyDescent="0.35">
      <c r="A62" s="350" t="s">
        <v>865</v>
      </c>
      <c r="B62" s="149">
        <v>5160</v>
      </c>
      <c r="C62" s="347">
        <v>51</v>
      </c>
      <c r="D62" s="49"/>
      <c r="E62" s="50"/>
      <c r="O62" s="353"/>
      <c r="P62" s="353"/>
      <c r="S62" s="353"/>
      <c r="T62" s="353"/>
    </row>
    <row r="63" spans="1:20" ht="15" thickBot="1" x14ac:dyDescent="0.35">
      <c r="A63" s="350" t="s">
        <v>866</v>
      </c>
      <c r="B63" s="149">
        <v>5161</v>
      </c>
      <c r="C63" s="347">
        <v>51</v>
      </c>
      <c r="D63" s="49"/>
      <c r="E63" s="50"/>
      <c r="O63" s="353"/>
      <c r="P63" s="353"/>
      <c r="S63" s="353"/>
      <c r="T63" s="353"/>
    </row>
    <row r="64" spans="1:20" ht="15" thickBot="1" x14ac:dyDescent="0.35">
      <c r="A64" s="350" t="s">
        <v>867</v>
      </c>
      <c r="B64" s="149">
        <v>5162</v>
      </c>
      <c r="C64" s="347">
        <v>51</v>
      </c>
      <c r="D64" s="49"/>
      <c r="E64" s="50"/>
      <c r="O64" s="353"/>
      <c r="P64" s="353"/>
      <c r="S64" s="353"/>
      <c r="T64" s="353"/>
    </row>
    <row r="65" spans="1:20" ht="15" thickBot="1" x14ac:dyDescent="0.35">
      <c r="A65" s="350" t="s">
        <v>868</v>
      </c>
      <c r="B65" s="149">
        <v>5163</v>
      </c>
      <c r="C65" s="347">
        <v>51</v>
      </c>
      <c r="D65" s="49"/>
      <c r="E65" s="50"/>
      <c r="O65" s="353"/>
      <c r="P65" s="353"/>
      <c r="S65" s="353"/>
      <c r="T65" s="353"/>
    </row>
    <row r="66" spans="1:20" ht="15" thickBot="1" x14ac:dyDescent="0.35">
      <c r="A66" s="350" t="s">
        <v>869</v>
      </c>
      <c r="B66" s="149">
        <v>5164</v>
      </c>
      <c r="C66" s="347">
        <v>51</v>
      </c>
      <c r="D66" s="49"/>
      <c r="E66" s="50"/>
      <c r="O66" s="353"/>
      <c r="P66" s="353"/>
      <c r="S66" s="353"/>
      <c r="T66" s="353"/>
    </row>
    <row r="67" spans="1:20" ht="15" thickBot="1" x14ac:dyDescent="0.35">
      <c r="A67" s="350" t="s">
        <v>396</v>
      </c>
      <c r="B67" s="149">
        <v>5165</v>
      </c>
      <c r="C67" s="347">
        <v>51</v>
      </c>
      <c r="D67" s="49"/>
      <c r="E67" s="50"/>
      <c r="O67" s="353"/>
      <c r="P67" s="353"/>
      <c r="S67" s="353"/>
      <c r="T67" s="353"/>
    </row>
    <row r="68" spans="1:20" ht="15" thickBot="1" x14ac:dyDescent="0.35">
      <c r="A68" s="350" t="s">
        <v>870</v>
      </c>
      <c r="B68" s="149">
        <v>5166</v>
      </c>
      <c r="C68" s="347">
        <v>51</v>
      </c>
      <c r="D68" s="49"/>
      <c r="E68" s="50"/>
      <c r="O68" s="353"/>
      <c r="P68" s="353"/>
      <c r="S68" s="353"/>
      <c r="T68" s="353"/>
    </row>
    <row r="69" spans="1:20" x14ac:dyDescent="0.3">
      <c r="A69" s="351" t="s">
        <v>397</v>
      </c>
      <c r="B69" s="351">
        <v>5167</v>
      </c>
      <c r="C69" s="347">
        <v>51</v>
      </c>
    </row>
    <row r="70" spans="1:20" x14ac:dyDescent="0.3">
      <c r="A70" s="351" t="s">
        <v>871</v>
      </c>
      <c r="B70" s="351">
        <v>5168</v>
      </c>
      <c r="C70" s="347">
        <v>51</v>
      </c>
    </row>
    <row r="71" spans="1:20" x14ac:dyDescent="0.3">
      <c r="A71" s="351" t="s">
        <v>872</v>
      </c>
      <c r="B71" s="351">
        <v>5169</v>
      </c>
      <c r="C71" s="347">
        <v>51</v>
      </c>
    </row>
    <row r="72" spans="1:20" x14ac:dyDescent="0.3">
      <c r="A72" s="351" t="s">
        <v>398</v>
      </c>
      <c r="B72" s="351">
        <v>5170</v>
      </c>
      <c r="C72" s="347">
        <v>51</v>
      </c>
    </row>
    <row r="73" spans="1:20" x14ac:dyDescent="0.3">
      <c r="A73" s="351" t="s">
        <v>873</v>
      </c>
      <c r="B73" s="351">
        <v>5171</v>
      </c>
      <c r="C73" s="347">
        <v>51</v>
      </c>
    </row>
    <row r="74" spans="1:20" x14ac:dyDescent="0.3">
      <c r="A74" s="351" t="s">
        <v>574</v>
      </c>
      <c r="B74" s="351">
        <v>5172</v>
      </c>
      <c r="C74" s="347">
        <v>51</v>
      </c>
    </row>
    <row r="75" spans="1:20" x14ac:dyDescent="0.3">
      <c r="A75" s="351" t="s">
        <v>874</v>
      </c>
      <c r="B75" s="351">
        <v>5173</v>
      </c>
      <c r="C75" s="347">
        <v>51</v>
      </c>
    </row>
    <row r="76" spans="1:20" x14ac:dyDescent="0.3">
      <c r="A76" s="351" t="s">
        <v>875</v>
      </c>
      <c r="B76" s="351">
        <v>5174</v>
      </c>
      <c r="C76" s="347">
        <v>51</v>
      </c>
    </row>
    <row r="77" spans="1:20" x14ac:dyDescent="0.3">
      <c r="A77" s="351" t="s">
        <v>876</v>
      </c>
      <c r="B77" s="351">
        <v>5175</v>
      </c>
      <c r="C77" s="347">
        <v>51</v>
      </c>
    </row>
    <row r="78" spans="1:20" x14ac:dyDescent="0.3">
      <c r="A78" s="351" t="s">
        <v>877</v>
      </c>
      <c r="B78" s="351">
        <v>5176</v>
      </c>
      <c r="C78" s="347">
        <v>51</v>
      </c>
    </row>
    <row r="79" spans="1:20" x14ac:dyDescent="0.3">
      <c r="A79" s="351" t="s">
        <v>878</v>
      </c>
      <c r="B79" s="351">
        <v>5177</v>
      </c>
      <c r="C79" s="347">
        <v>51</v>
      </c>
    </row>
    <row r="80" spans="1:20" x14ac:dyDescent="0.3">
      <c r="A80" s="351" t="s">
        <v>879</v>
      </c>
      <c r="B80" s="351">
        <v>5178</v>
      </c>
      <c r="C80" s="347">
        <v>51</v>
      </c>
    </row>
    <row r="81" spans="1:3" x14ac:dyDescent="0.3">
      <c r="A81" s="351" t="s">
        <v>880</v>
      </c>
      <c r="B81" s="351">
        <v>5179</v>
      </c>
      <c r="C81" s="347">
        <v>51</v>
      </c>
    </row>
    <row r="82" spans="1:3" x14ac:dyDescent="0.3">
      <c r="A82" s="351" t="s">
        <v>881</v>
      </c>
      <c r="B82" s="351">
        <v>5180</v>
      </c>
      <c r="C82" s="347">
        <v>51</v>
      </c>
    </row>
    <row r="83" spans="1:3" x14ac:dyDescent="0.3">
      <c r="A83" s="351" t="s">
        <v>882</v>
      </c>
      <c r="B83" s="351">
        <v>5181</v>
      </c>
      <c r="C83" s="347">
        <v>51</v>
      </c>
    </row>
    <row r="84" spans="1:3" x14ac:dyDescent="0.3">
      <c r="A84" s="351" t="s">
        <v>399</v>
      </c>
      <c r="B84" s="351">
        <v>5182</v>
      </c>
      <c r="C84" s="347">
        <v>51</v>
      </c>
    </row>
    <row r="85" spans="1:3" x14ac:dyDescent="0.3">
      <c r="A85" s="351" t="s">
        <v>883</v>
      </c>
      <c r="B85" s="351">
        <v>5183</v>
      </c>
      <c r="C85" s="347">
        <v>51</v>
      </c>
    </row>
    <row r="86" spans="1:3" x14ac:dyDescent="0.3">
      <c r="A86" s="351" t="s">
        <v>884</v>
      </c>
      <c r="B86" s="351">
        <v>5184</v>
      </c>
      <c r="C86" s="347">
        <v>51</v>
      </c>
    </row>
    <row r="87" spans="1:3" x14ac:dyDescent="0.3">
      <c r="A87" s="351" t="s">
        <v>885</v>
      </c>
      <c r="B87" s="351">
        <v>5185</v>
      </c>
      <c r="C87" s="347">
        <v>51</v>
      </c>
    </row>
    <row r="88" spans="1:3" x14ac:dyDescent="0.3">
      <c r="A88" s="351" t="s">
        <v>886</v>
      </c>
      <c r="B88" s="351">
        <v>5186</v>
      </c>
      <c r="C88" s="347">
        <v>51</v>
      </c>
    </row>
    <row r="89" spans="1:3" x14ac:dyDescent="0.3">
      <c r="A89" s="351" t="s">
        <v>887</v>
      </c>
      <c r="B89" s="351">
        <v>5187</v>
      </c>
      <c r="C89" s="347">
        <v>51</v>
      </c>
    </row>
    <row r="90" spans="1:3" x14ac:dyDescent="0.3">
      <c r="A90" s="351" t="s">
        <v>400</v>
      </c>
      <c r="B90" s="351">
        <v>5188</v>
      </c>
      <c r="C90" s="347">
        <v>51</v>
      </c>
    </row>
    <row r="91" spans="1:3" x14ac:dyDescent="0.3">
      <c r="A91" s="351" t="s">
        <v>888</v>
      </c>
      <c r="B91" s="351">
        <v>5189</v>
      </c>
      <c r="C91" s="347">
        <v>51</v>
      </c>
    </row>
    <row r="92" spans="1:3" x14ac:dyDescent="0.3">
      <c r="A92" s="351" t="s">
        <v>889</v>
      </c>
      <c r="B92" s="351">
        <v>5190</v>
      </c>
      <c r="C92" s="347">
        <v>51</v>
      </c>
    </row>
    <row r="93" spans="1:3" x14ac:dyDescent="0.3">
      <c r="A93" s="351" t="s">
        <v>890</v>
      </c>
      <c r="B93" s="351">
        <v>5191</v>
      </c>
      <c r="C93" s="347">
        <v>51</v>
      </c>
    </row>
    <row r="94" spans="1:3" x14ac:dyDescent="0.3">
      <c r="A94" s="351" t="s">
        <v>891</v>
      </c>
      <c r="B94" s="351">
        <v>5192</v>
      </c>
      <c r="C94" s="347">
        <v>51</v>
      </c>
    </row>
    <row r="95" spans="1:3" x14ac:dyDescent="0.3">
      <c r="A95" s="351" t="s">
        <v>892</v>
      </c>
      <c r="B95" s="351">
        <v>5193</v>
      </c>
      <c r="C95" s="347">
        <v>51</v>
      </c>
    </row>
    <row r="96" spans="1:3" x14ac:dyDescent="0.3">
      <c r="A96" s="351" t="s">
        <v>893</v>
      </c>
      <c r="B96" s="351">
        <v>5194</v>
      </c>
      <c r="C96" s="347">
        <v>51</v>
      </c>
    </row>
    <row r="97" spans="1:3" x14ac:dyDescent="0.3">
      <c r="A97" s="351" t="s">
        <v>894</v>
      </c>
      <c r="B97" s="351">
        <v>5195</v>
      </c>
      <c r="C97" s="347">
        <v>51</v>
      </c>
    </row>
    <row r="98" spans="1:3" x14ac:dyDescent="0.3">
      <c r="A98" s="351" t="s">
        <v>895</v>
      </c>
      <c r="B98" s="351">
        <v>5196</v>
      </c>
      <c r="C98" s="347">
        <v>51</v>
      </c>
    </row>
    <row r="99" spans="1:3" x14ac:dyDescent="0.3">
      <c r="A99" s="351" t="s">
        <v>896</v>
      </c>
      <c r="B99" s="351">
        <v>5197</v>
      </c>
      <c r="C99" s="347">
        <v>51</v>
      </c>
    </row>
    <row r="100" spans="1:3" x14ac:dyDescent="0.3">
      <c r="A100" s="351" t="s">
        <v>897</v>
      </c>
      <c r="B100" s="351">
        <v>5198</v>
      </c>
      <c r="C100" s="347">
        <v>51</v>
      </c>
    </row>
    <row r="101" spans="1:3" x14ac:dyDescent="0.3">
      <c r="A101" s="351" t="s">
        <v>898</v>
      </c>
      <c r="B101" s="351">
        <v>5199</v>
      </c>
      <c r="C101" s="347">
        <v>51</v>
      </c>
    </row>
  </sheetData>
  <sheetProtection algorithmName="SHA-512" hashValue="/PXxjPYPHOQhpKeK45LC+8vce+SaPIiIKk+3zee/Z4+vHv5di8TqszC1Z1OxAjP4L0KLBTL2Jo9fjKyOcUgJ2w==" saltValue="BZDbY80sMcpG4aon6yzLO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H360"/>
  <sheetViews>
    <sheetView zoomScale="95" zoomScaleNormal="95" workbookViewId="0">
      <pane ySplit="5" topLeftCell="A6" activePane="bottomLeft" state="frozen"/>
      <selection activeCell="B2" sqref="B2"/>
      <selection pane="bottomLeft" activeCell="D2" sqref="D2"/>
    </sheetView>
  </sheetViews>
  <sheetFormatPr defaultColWidth="9.109375" defaultRowHeight="14.4" x14ac:dyDescent="0.3"/>
  <cols>
    <col min="1" max="1" width="10.21875" style="18" customWidth="1"/>
    <col min="2" max="2" width="21.21875" style="5" customWidth="1"/>
    <col min="3" max="3" width="18.21875" style="5" customWidth="1"/>
    <col min="4" max="4" width="54.109375" style="353" customWidth="1"/>
    <col min="5" max="5" width="17.109375" style="18" customWidth="1"/>
    <col min="6" max="6" width="21.5546875" style="353" customWidth="1"/>
    <col min="7" max="7" width="33.21875" style="419" customWidth="1"/>
    <col min="8" max="8" width="25.109375" style="283" customWidth="1"/>
    <col min="9" max="9" width="26.77734375" style="353" customWidth="1"/>
    <col min="10" max="10" width="16.109375" style="18" customWidth="1"/>
    <col min="11" max="11" width="5.5546875" style="18" hidden="1" customWidth="1"/>
    <col min="12" max="12" width="4" hidden="1" customWidth="1"/>
    <col min="13" max="13" width="12" style="18" hidden="1" customWidth="1"/>
    <col min="14" max="14" width="3.33203125" style="176" hidden="1" customWidth="1"/>
    <col min="15" max="15" width="2.109375" style="18" hidden="1" customWidth="1"/>
    <col min="16" max="16" width="13.44140625" style="18" hidden="1" customWidth="1"/>
    <col min="17" max="17" width="13.109375" style="18" hidden="1" customWidth="1"/>
    <col min="18" max="24" width="9.109375" style="18"/>
    <col min="25" max="25" width="8.88671875" customWidth="1"/>
    <col min="26" max="28" width="10.5546875" customWidth="1"/>
    <col min="29" max="95" width="20.6640625" customWidth="1"/>
    <col min="123" max="1880" width="9.109375" style="18"/>
    <col min="1881" max="16384" width="9.109375" style="353"/>
  </cols>
  <sheetData>
    <row r="1" spans="1:122" ht="15" thickBot="1" x14ac:dyDescent="0.35">
      <c r="B1" s="421" t="s">
        <v>330</v>
      </c>
      <c r="C1" s="421"/>
      <c r="E1" s="354" t="s">
        <v>31</v>
      </c>
      <c r="F1" s="355">
        <v>2024</v>
      </c>
      <c r="G1" s="114" t="s">
        <v>103</v>
      </c>
      <c r="H1" s="356"/>
      <c r="I1" s="357"/>
      <c r="J1" s="358"/>
      <c r="M1" s="18" t="s">
        <v>46</v>
      </c>
      <c r="O1" s="18">
        <v>1</v>
      </c>
      <c r="P1" s="18" t="s">
        <v>732</v>
      </c>
      <c r="Q1" s="18">
        <v>20</v>
      </c>
    </row>
    <row r="2" spans="1:122" ht="44.25" customHeight="1" thickBot="1" x14ac:dyDescent="0.35">
      <c r="B2" s="943" t="s">
        <v>238</v>
      </c>
      <c r="C2" s="944"/>
      <c r="D2" s="359" t="s">
        <v>566</v>
      </c>
      <c r="E2" s="941" t="s">
        <v>249</v>
      </c>
      <c r="F2" s="941"/>
      <c r="G2" s="942"/>
      <c r="H2" s="915" t="s">
        <v>2102</v>
      </c>
      <c r="M2" s="18" t="s">
        <v>47</v>
      </c>
      <c r="N2" s="176">
        <v>50</v>
      </c>
      <c r="O2" s="18">
        <v>2</v>
      </c>
      <c r="P2" s="18">
        <v>9004</v>
      </c>
      <c r="Q2" s="18">
        <v>21</v>
      </c>
    </row>
    <row r="3" spans="1:122" ht="15" thickBot="1" x14ac:dyDescent="0.35">
      <c r="B3" s="422" t="s">
        <v>0</v>
      </c>
      <c r="C3" s="423"/>
      <c r="D3" s="361" t="e">
        <f>VLOOKUP(D2,'Unit Names(H)'!A2:B139,2,FALSE)</f>
        <v>#N/A</v>
      </c>
      <c r="E3" s="482"/>
      <c r="F3" s="362"/>
      <c r="G3" s="363"/>
      <c r="H3" s="360"/>
      <c r="N3" s="176">
        <v>51</v>
      </c>
      <c r="O3" s="18">
        <v>3</v>
      </c>
      <c r="Q3" s="18">
        <v>22</v>
      </c>
    </row>
    <row r="4" spans="1:122" ht="15" thickBot="1" x14ac:dyDescent="0.35">
      <c r="B4" s="424" t="s">
        <v>461</v>
      </c>
      <c r="C4" s="425"/>
      <c r="D4" s="364"/>
      <c r="E4" s="364"/>
      <c r="F4" s="365"/>
      <c r="G4" s="366"/>
      <c r="H4" s="360"/>
      <c r="I4" s="2"/>
      <c r="M4" s="18" t="s">
        <v>273</v>
      </c>
      <c r="N4" s="176">
        <v>52</v>
      </c>
      <c r="O4" s="18">
        <v>4</v>
      </c>
      <c r="Q4" s="18">
        <v>23</v>
      </c>
    </row>
    <row r="5" spans="1:122" ht="37.5" customHeight="1" thickBot="1" x14ac:dyDescent="0.35">
      <c r="A5" s="343" t="s">
        <v>327</v>
      </c>
      <c r="B5" s="254" t="s">
        <v>92</v>
      </c>
      <c r="C5" s="254" t="s">
        <v>105</v>
      </c>
      <c r="D5" s="367" t="s">
        <v>1</v>
      </c>
      <c r="E5" s="367">
        <v>2023</v>
      </c>
      <c r="F5" s="368">
        <v>2024</v>
      </c>
      <c r="G5" s="369" t="s">
        <v>547</v>
      </c>
      <c r="H5" s="370" t="s">
        <v>253</v>
      </c>
      <c r="I5" s="355" t="s">
        <v>11</v>
      </c>
      <c r="M5" s="18" t="s">
        <v>358</v>
      </c>
      <c r="O5" s="18">
        <v>0</v>
      </c>
    </row>
    <row r="6" spans="1:122" ht="54" customHeight="1" thickBot="1" x14ac:dyDescent="0.35">
      <c r="A6" s="343"/>
      <c r="B6" s="950" t="s">
        <v>1641</v>
      </c>
      <c r="C6" s="951"/>
      <c r="D6" s="951"/>
      <c r="E6" s="951"/>
      <c r="F6" s="951"/>
      <c r="G6" s="952"/>
      <c r="H6" s="872"/>
      <c r="I6" s="881"/>
      <c r="L6" s="173"/>
      <c r="M6" s="315" t="s">
        <v>1705</v>
      </c>
      <c r="Y6" s="173"/>
      <c r="Z6" s="173"/>
      <c r="AA6" s="173"/>
      <c r="AB6" s="173"/>
      <c r="AC6" s="173"/>
      <c r="AD6" s="173"/>
      <c r="AE6" s="173"/>
      <c r="AF6" s="173"/>
      <c r="AG6" s="173"/>
      <c r="AH6" s="173"/>
      <c r="AI6" s="173"/>
      <c r="AJ6" s="173"/>
      <c r="AK6" s="173"/>
      <c r="AL6" s="173"/>
      <c r="AM6" s="173"/>
      <c r="AN6" s="173"/>
      <c r="AO6" s="173"/>
      <c r="AP6" s="173"/>
      <c r="AQ6" s="173"/>
      <c r="AR6" s="173"/>
      <c r="AS6" s="173"/>
      <c r="AT6" s="173"/>
      <c r="AU6" s="173"/>
      <c r="AV6" s="173"/>
      <c r="AW6" s="173"/>
      <c r="AX6" s="173"/>
      <c r="AY6" s="173"/>
      <c r="AZ6" s="173"/>
      <c r="BA6" s="173"/>
      <c r="BB6" s="173"/>
      <c r="BC6" s="173"/>
      <c r="BD6" s="173"/>
      <c r="BE6" s="173"/>
      <c r="BF6" s="173"/>
      <c r="BG6" s="173"/>
      <c r="BH6" s="173"/>
      <c r="BI6" s="173"/>
      <c r="BJ6" s="173"/>
      <c r="BK6" s="173"/>
      <c r="BL6" s="173"/>
      <c r="BM6" s="173"/>
      <c r="BN6" s="173"/>
      <c r="BO6" s="173"/>
      <c r="BP6" s="173"/>
      <c r="BQ6" s="173"/>
      <c r="BR6" s="173"/>
      <c r="BS6" s="173"/>
      <c r="BT6" s="173"/>
      <c r="BU6" s="173"/>
      <c r="BV6" s="173"/>
      <c r="BW6" s="173"/>
      <c r="BX6" s="173"/>
      <c r="BY6" s="173"/>
      <c r="BZ6" s="173"/>
      <c r="CA6" s="173"/>
      <c r="CB6" s="173"/>
      <c r="CC6" s="173"/>
      <c r="CD6" s="173"/>
      <c r="CE6" s="173"/>
      <c r="CF6" s="173"/>
      <c r="CG6" s="173"/>
      <c r="CH6" s="173"/>
      <c r="CI6" s="173"/>
      <c r="CJ6" s="173"/>
      <c r="CK6" s="173"/>
      <c r="CL6" s="173"/>
      <c r="CM6" s="173"/>
      <c r="CN6" s="173"/>
      <c r="CO6" s="173"/>
      <c r="CP6" s="173"/>
      <c r="CQ6" s="173"/>
      <c r="CR6" s="173"/>
      <c r="CS6" s="173"/>
      <c r="CT6" s="173"/>
      <c r="CU6" s="173"/>
      <c r="CV6" s="173"/>
      <c r="CW6" s="173"/>
      <c r="CX6" s="173"/>
      <c r="CY6" s="173"/>
      <c r="CZ6" s="173"/>
      <c r="DA6" s="173"/>
      <c r="DB6" s="173"/>
      <c r="DC6" s="173"/>
      <c r="DD6" s="173"/>
      <c r="DE6" s="173"/>
      <c r="DF6" s="173"/>
      <c r="DG6" s="173"/>
      <c r="DH6" s="173"/>
      <c r="DI6" s="173"/>
      <c r="DJ6" s="173"/>
      <c r="DK6" s="173"/>
      <c r="DL6" s="173"/>
      <c r="DM6" s="173"/>
      <c r="DN6" s="173"/>
      <c r="DO6" s="173"/>
      <c r="DP6" s="173"/>
      <c r="DQ6" s="173"/>
      <c r="DR6" s="173"/>
    </row>
    <row r="7" spans="1:122" ht="60.6" customHeight="1" thickBot="1" x14ac:dyDescent="0.35">
      <c r="A7" s="343"/>
      <c r="B7" s="950" t="s">
        <v>1341</v>
      </c>
      <c r="C7" s="951"/>
      <c r="D7" s="951"/>
      <c r="E7" s="951"/>
      <c r="F7" s="951"/>
      <c r="G7" s="952"/>
      <c r="H7" s="872"/>
      <c r="I7" s="881"/>
      <c r="L7" s="173"/>
      <c r="Y7" s="173"/>
      <c r="Z7" s="173"/>
      <c r="AA7" s="173"/>
      <c r="AB7" s="173"/>
      <c r="AC7" s="173"/>
      <c r="AD7" s="173"/>
      <c r="AE7" s="173"/>
      <c r="AF7" s="173"/>
      <c r="AG7" s="173"/>
      <c r="AH7" s="173"/>
      <c r="AI7" s="173"/>
      <c r="AJ7" s="173"/>
      <c r="AK7" s="173"/>
      <c r="AL7" s="173"/>
      <c r="AM7" s="173"/>
      <c r="AN7" s="173"/>
      <c r="AO7" s="173"/>
      <c r="AP7" s="173"/>
      <c r="AQ7" s="173"/>
      <c r="AR7" s="173"/>
      <c r="AS7" s="173"/>
      <c r="AT7" s="173"/>
      <c r="AU7" s="173"/>
      <c r="AV7" s="173"/>
      <c r="AW7" s="173"/>
      <c r="AX7" s="173"/>
      <c r="AY7" s="173"/>
      <c r="AZ7" s="173"/>
      <c r="BA7" s="173"/>
      <c r="BB7" s="173"/>
      <c r="BC7" s="173"/>
      <c r="BD7" s="173"/>
      <c r="BE7" s="173"/>
      <c r="BF7" s="173"/>
      <c r="BG7" s="173"/>
      <c r="BH7" s="173"/>
      <c r="BI7" s="173"/>
      <c r="BJ7" s="173"/>
      <c r="BK7" s="173"/>
      <c r="BL7" s="173"/>
      <c r="BM7" s="173"/>
      <c r="BN7" s="173"/>
      <c r="BO7" s="173"/>
      <c r="BP7" s="173"/>
      <c r="BQ7" s="173"/>
      <c r="BR7" s="173"/>
      <c r="BS7" s="173"/>
      <c r="BT7" s="173"/>
      <c r="BU7" s="173"/>
      <c r="BV7" s="173"/>
      <c r="BW7" s="173"/>
      <c r="BX7" s="173"/>
      <c r="BY7" s="173"/>
      <c r="BZ7" s="173"/>
      <c r="CA7" s="173"/>
      <c r="CB7" s="173"/>
      <c r="CC7" s="173"/>
      <c r="CD7" s="173"/>
      <c r="CE7" s="173"/>
      <c r="CF7" s="173"/>
      <c r="CG7" s="173"/>
      <c r="CH7" s="173"/>
      <c r="CI7" s="173"/>
      <c r="CJ7" s="173"/>
      <c r="CK7" s="173"/>
      <c r="CL7" s="173"/>
      <c r="CM7" s="173"/>
      <c r="CN7" s="173"/>
      <c r="CO7" s="173"/>
      <c r="CP7" s="173"/>
      <c r="CQ7" s="173"/>
      <c r="CR7" s="173"/>
      <c r="CS7" s="173"/>
      <c r="CT7" s="173"/>
      <c r="CU7" s="173"/>
      <c r="CV7" s="173"/>
      <c r="CW7" s="173"/>
      <c r="CX7" s="173"/>
      <c r="CY7" s="173"/>
      <c r="CZ7" s="173"/>
      <c r="DA7" s="173"/>
      <c r="DB7" s="173"/>
      <c r="DC7" s="173"/>
      <c r="DD7" s="173"/>
      <c r="DE7" s="173"/>
      <c r="DF7" s="173"/>
      <c r="DG7" s="173"/>
      <c r="DH7" s="173"/>
      <c r="DI7" s="173"/>
      <c r="DJ7" s="173"/>
      <c r="DK7" s="173"/>
      <c r="DL7" s="173"/>
      <c r="DM7" s="173"/>
      <c r="DN7" s="173"/>
      <c r="DO7" s="173"/>
      <c r="DP7" s="173"/>
      <c r="DQ7" s="173"/>
      <c r="DR7" s="173"/>
    </row>
    <row r="8" spans="1:122" ht="22.2" customHeight="1" x14ac:dyDescent="0.3">
      <c r="A8" s="253"/>
      <c r="B8" s="447" t="s">
        <v>104</v>
      </c>
      <c r="C8" s="448"/>
      <c r="D8" s="449"/>
      <c r="E8" s="450"/>
      <c r="F8" s="451"/>
      <c r="G8" s="444"/>
      <c r="H8" s="17"/>
      <c r="I8" s="72"/>
      <c r="M8" s="18" t="s">
        <v>342</v>
      </c>
    </row>
    <row r="9" spans="1:122" s="18" customFormat="1" ht="63.75" customHeight="1" x14ac:dyDescent="0.3">
      <c r="A9" s="536">
        <v>333</v>
      </c>
      <c r="B9" s="343" t="s">
        <v>59</v>
      </c>
      <c r="C9" s="343" t="s">
        <v>106</v>
      </c>
      <c r="D9" s="352" t="s">
        <v>462</v>
      </c>
      <c r="E9" s="341" t="e">
        <f>INDEX('PY1 Data(H)'!$A$1:$CZ$231,MATCH('Unit Data from Audit Worksheet'!$A9,'PY1 Data(H)'!$A$1:$A$231,0),MATCH('Unit Data from Audit Worksheet'!$D$2,'PY1 Data(H)'!$A$1:$CZ$1,0))</f>
        <v>#N/A</v>
      </c>
      <c r="F9" s="897">
        <v>0</v>
      </c>
      <c r="G9" s="372">
        <f>IF(F9&lt;0,"Note: Number is normally positive.",)</f>
        <v>0</v>
      </c>
      <c r="H9" s="373"/>
      <c r="I9" s="374"/>
      <c r="J9" s="267"/>
      <c r="L9"/>
      <c r="M9" s="18" t="s">
        <v>359</v>
      </c>
      <c r="N9" s="176"/>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row>
    <row r="10" spans="1:122" s="18" customFormat="1" ht="51" customHeight="1" x14ac:dyDescent="0.3">
      <c r="A10" s="100">
        <v>500</v>
      </c>
      <c r="B10" s="343" t="s">
        <v>50</v>
      </c>
      <c r="C10" s="343" t="s">
        <v>106</v>
      </c>
      <c r="D10" s="352" t="s">
        <v>463</v>
      </c>
      <c r="E10" s="341" t="e">
        <f>INDEX('PY1 Data(H)'!$A$1:$CZ$231,MATCH('Unit Data from Audit Worksheet'!$A10,'PY1 Data(H)'!$A$1:$A$231,0),MATCH('Unit Data from Audit Worksheet'!$D$2,'PY1 Data(H)'!$A$1:$CZ$1,0))</f>
        <v>#N/A</v>
      </c>
      <c r="F10" s="897">
        <v>0</v>
      </c>
      <c r="G10" s="372">
        <f>IF(F10&lt;0,"Note: Number is normally positive.",)</f>
        <v>0</v>
      </c>
      <c r="H10" s="373"/>
      <c r="I10" s="373"/>
      <c r="J10" s="267"/>
      <c r="L10"/>
      <c r="M10" s="18" t="s">
        <v>360</v>
      </c>
      <c r="N10" s="176"/>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row>
    <row r="11" spans="1:122" ht="51" customHeight="1" x14ac:dyDescent="0.3">
      <c r="A11" s="540">
        <v>385</v>
      </c>
      <c r="B11" s="4" t="s">
        <v>54</v>
      </c>
      <c r="C11" s="343" t="s">
        <v>106</v>
      </c>
      <c r="D11" s="99" t="s">
        <v>107</v>
      </c>
      <c r="E11" s="341" t="e">
        <f>INDEX('PY1 Data(H)'!$A$1:$CZ$231,MATCH('Unit Data from Audit Worksheet'!$A11,'PY1 Data(H)'!$A$1:$A$231,0),MATCH('Unit Data from Audit Worksheet'!$D$2,'PY1 Data(H)'!$A$1:$CZ$1,0))-INDEX('PY1 Data(H)'!$A$1:$CZ$231,MATCH('Unit Data from Audit Worksheet'!$A13,'PY1 Data(H)'!$A$1:$A$231,0),MATCH('Unit Data from Audit Worksheet'!$D$2,'PY1 Data(H)'!$A$1:$CZ$1,0))</f>
        <v>#N/A</v>
      </c>
      <c r="F11" s="897">
        <v>0</v>
      </c>
      <c r="G11" s="372">
        <f>IF((F9+F10)&gt;F11,"Error: Please review Account numbers (333+500)&gt;385",)</f>
        <v>0</v>
      </c>
      <c r="H11" s="17"/>
      <c r="I11" s="373"/>
      <c r="J11"/>
    </row>
    <row r="12" spans="1:122" s="18" customFormat="1" ht="90" customHeight="1" x14ac:dyDescent="0.3">
      <c r="A12" s="100">
        <v>575</v>
      </c>
      <c r="B12" s="343" t="s">
        <v>62</v>
      </c>
      <c r="C12" s="343" t="s">
        <v>106</v>
      </c>
      <c r="D12" s="426" t="s">
        <v>464</v>
      </c>
      <c r="E12" s="341" t="e">
        <f>INDEX('PY1 Data(H)'!$A$1:$CZ$231,MATCH('Unit Data from Audit Worksheet'!$A12,'PY1 Data(H)'!$A$1:$A$231,0),MATCH('Unit Data from Audit Worksheet'!$D$2,'PY1 Data(H)'!$A$1:$CZ$1,0))</f>
        <v>#N/A</v>
      </c>
      <c r="F12" s="897">
        <v>0</v>
      </c>
      <c r="G12" s="372">
        <f>IF(F12&lt;0,"Note: Number is normally positive.",)</f>
        <v>0</v>
      </c>
      <c r="H12" s="375"/>
      <c r="I12" s="376"/>
      <c r="J12"/>
      <c r="L12"/>
      <c r="N12" s="176"/>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row>
    <row r="13" spans="1:122" s="18" customFormat="1" ht="93.75" customHeight="1" x14ac:dyDescent="0.3">
      <c r="A13" s="100">
        <v>576</v>
      </c>
      <c r="B13" s="343" t="s">
        <v>62</v>
      </c>
      <c r="C13" s="343" t="s">
        <v>106</v>
      </c>
      <c r="D13" s="426" t="s">
        <v>465</v>
      </c>
      <c r="E13" s="341" t="e">
        <f>INDEX('PY1 Data(H)'!$A$1:$CZ$231,MATCH('Unit Data from Audit Worksheet'!$A13,'PY1 Data(H)'!$A$1:$A$231,0),MATCH('Unit Data from Audit Worksheet'!$D$2,'PY1 Data(H)'!$A$1:$CZ$1,0))</f>
        <v>#N/A</v>
      </c>
      <c r="F13" s="897">
        <v>0</v>
      </c>
      <c r="G13" s="372">
        <f>IF(F13&lt;0,"Error: Enter as positive.",)</f>
        <v>0</v>
      </c>
      <c r="H13" s="375"/>
      <c r="I13" s="376"/>
      <c r="J13"/>
      <c r="L13"/>
      <c r="N13" s="176"/>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row>
    <row r="14" spans="1:122" ht="94.8" customHeight="1" x14ac:dyDescent="0.3">
      <c r="A14" s="541">
        <v>626</v>
      </c>
      <c r="B14" s="429" t="s">
        <v>365</v>
      </c>
      <c r="C14" s="429" t="s">
        <v>106</v>
      </c>
      <c r="D14" s="201" t="s">
        <v>466</v>
      </c>
      <c r="E14" s="341" t="e">
        <f>INDEX('PY1 Data(H)'!$A$1:$CZ$231,MATCH('Unit Data from Audit Worksheet'!$A14,'PY1 Data(H)'!$A$1:$A$231,0),MATCH('Unit Data from Audit Worksheet'!$D$2,'PY1 Data(H)'!$A$1:$CZ$1,0))-INDEX('PY1 Data(H)'!$A$1:$CZ$231,MATCH('Unit Data from Audit Worksheet'!$A13,'PY1 Data(H)'!$A$1:$A$231,0),MATCH('Unit Data from Audit Worksheet'!$D$2,'PY1 Data(H)'!$A$1:$CZ$1,0))</f>
        <v>#N/A</v>
      </c>
      <c r="F14" s="897">
        <v>0</v>
      </c>
      <c r="G14" s="372">
        <f>IF(F14&lt;0,"Error: Enter as positive.",)</f>
        <v>0</v>
      </c>
      <c r="H14" s="377"/>
      <c r="I14" s="377"/>
      <c r="J14"/>
    </row>
    <row r="15" spans="1:122" ht="94.8" customHeight="1" x14ac:dyDescent="0.3">
      <c r="A15" s="179">
        <v>627</v>
      </c>
      <c r="B15" s="722" t="s">
        <v>307</v>
      </c>
      <c r="C15" s="429" t="s">
        <v>106</v>
      </c>
      <c r="D15" s="201" t="s">
        <v>467</v>
      </c>
      <c r="E15" s="341" t="e">
        <f>INDEX('PY1 Data(H)'!$A$1:$CZ$231,MATCH('Unit Data from Audit Worksheet'!$A15,'PY1 Data(H)'!$A$1:$A$231,0),MATCH('Unit Data from Audit Worksheet'!$D$2,'PY1 Data(H)'!$A$1:$CZ$1,0))</f>
        <v>#N/A</v>
      </c>
      <c r="F15" s="897">
        <v>0</v>
      </c>
      <c r="G15" s="372">
        <f>IF(F15&gt;F14,"Please review account numbers 627 &gt;626",)</f>
        <v>0</v>
      </c>
      <c r="H15" s="377"/>
      <c r="I15" s="377"/>
      <c r="J15"/>
    </row>
    <row r="16" spans="1:122" ht="105" customHeight="1" x14ac:dyDescent="0.3">
      <c r="A16" s="179">
        <v>628</v>
      </c>
      <c r="B16" s="722" t="s">
        <v>307</v>
      </c>
      <c r="C16" s="429" t="s">
        <v>106</v>
      </c>
      <c r="D16" s="201" t="s">
        <v>468</v>
      </c>
      <c r="E16" s="341" t="e">
        <f>INDEX('PY1 Data(H)'!$A$1:$CZ$231,MATCH('Unit Data from Audit Worksheet'!$A16,'PY1 Data(H)'!$A$1:$A$231,0),MATCH('Unit Data from Audit Worksheet'!$D$2,'PY1 Data(H)'!$A$1:$CZ$1,0))</f>
        <v>#N/A</v>
      </c>
      <c r="F16" s="897">
        <v>0</v>
      </c>
      <c r="G16" s="372">
        <f>IF(F16&gt;F14,"Please review account numbers 628 &gt; 626",)</f>
        <v>0</v>
      </c>
      <c r="H16" s="377"/>
      <c r="I16" s="377"/>
      <c r="J16"/>
    </row>
    <row r="17" spans="1:10" ht="95.25" customHeight="1" x14ac:dyDescent="0.3">
      <c r="A17" s="179">
        <v>629</v>
      </c>
      <c r="B17" s="722" t="s">
        <v>307</v>
      </c>
      <c r="C17" s="429" t="s">
        <v>106</v>
      </c>
      <c r="D17" s="201" t="s">
        <v>469</v>
      </c>
      <c r="E17" s="341" t="e">
        <f>INDEX('PY1 Data(H)'!$A$1:$CZ$231,MATCH('Unit Data from Audit Worksheet'!$A17,'PY1 Data(H)'!$A$1:$A$231,0),MATCH('Unit Data from Audit Worksheet'!$D$2,'PY1 Data(H)'!$A$1:$CZ$1,0))</f>
        <v>#N/A</v>
      </c>
      <c r="F17" s="897">
        <v>0</v>
      </c>
      <c r="G17" s="372">
        <f>IF(F17&gt;F14,"Please review account numbers 629 &gt; 626",)</f>
        <v>0</v>
      </c>
      <c r="H17" s="377"/>
      <c r="I17" s="377"/>
      <c r="J17"/>
    </row>
    <row r="18" spans="1:10" ht="69" customHeight="1" x14ac:dyDescent="0.3">
      <c r="A18" s="179">
        <v>630</v>
      </c>
      <c r="B18" s="722" t="s">
        <v>307</v>
      </c>
      <c r="C18" s="429" t="s">
        <v>106</v>
      </c>
      <c r="D18" s="201" t="s">
        <v>354</v>
      </c>
      <c r="E18" s="341" t="e">
        <f>INDEX('PY1 Data(H)'!$A$1:$CZ$231,MATCH('Unit Data from Audit Worksheet'!$A18,'PY1 Data(H)'!$A$1:$A$231,0),MATCH('Unit Data from Audit Worksheet'!$D$2,'PY1 Data(H)'!$A$1:$CZ$1,0))</f>
        <v>#N/A</v>
      </c>
      <c r="F18" s="897">
        <v>0</v>
      </c>
      <c r="G18" s="372">
        <f>IF(F18&gt;F14,"Please review account numbers 630 &gt; 626",)</f>
        <v>0</v>
      </c>
      <c r="H18" s="377"/>
      <c r="I18" s="377"/>
      <c r="J18"/>
    </row>
    <row r="19" spans="1:10" ht="95.25" customHeight="1" x14ac:dyDescent="0.3">
      <c r="A19" s="179">
        <v>631</v>
      </c>
      <c r="B19" s="722" t="s">
        <v>307</v>
      </c>
      <c r="C19" s="429" t="s">
        <v>106</v>
      </c>
      <c r="D19" s="201" t="s">
        <v>470</v>
      </c>
      <c r="E19" s="341" t="e">
        <f>INDEX('PY1 Data(H)'!$A$1:$CZ$231,MATCH('Unit Data from Audit Worksheet'!$A19,'PY1 Data(H)'!$A$1:$A$231,0),MATCH('Unit Data from Audit Worksheet'!$D$2,'PY1 Data(H)'!$A$1:$CZ$1,0))</f>
        <v>#N/A</v>
      </c>
      <c r="F19" s="897">
        <v>0</v>
      </c>
      <c r="G19" s="372">
        <f>IF(F19&gt;F14,"Please review account numbers 631 &gt; 626",)</f>
        <v>0</v>
      </c>
      <c r="H19" s="377"/>
      <c r="I19" s="377"/>
      <c r="J19"/>
    </row>
    <row r="20" spans="1:10" ht="111.75" customHeight="1" x14ac:dyDescent="0.3">
      <c r="A20" s="179">
        <v>632</v>
      </c>
      <c r="B20" s="722" t="s">
        <v>307</v>
      </c>
      <c r="C20" s="429" t="s">
        <v>106</v>
      </c>
      <c r="D20" s="201" t="s">
        <v>471</v>
      </c>
      <c r="E20" s="341" t="e">
        <f>INDEX('PY1 Data(H)'!$A$1:$CZ$231,MATCH('Unit Data from Audit Worksheet'!$A20,'PY1 Data(H)'!$A$1:$A$231,0),MATCH('Unit Data from Audit Worksheet'!$D$2,'PY1 Data(H)'!$A$1:$CZ$1,0))</f>
        <v>#N/A</v>
      </c>
      <c r="F20" s="897">
        <v>0</v>
      </c>
      <c r="G20" s="372">
        <f>IF(F20&gt;F14,"Please review account numbers 632 &gt; 626",)</f>
        <v>0</v>
      </c>
      <c r="H20" s="377"/>
      <c r="I20" s="377"/>
      <c r="J20"/>
    </row>
    <row r="21" spans="1:10" ht="69.599999999999994" customHeight="1" x14ac:dyDescent="0.3">
      <c r="A21" s="540">
        <v>338</v>
      </c>
      <c r="B21" s="4" t="s">
        <v>51</v>
      </c>
      <c r="C21" s="343" t="s">
        <v>106</v>
      </c>
      <c r="D21" s="99" t="s">
        <v>108</v>
      </c>
      <c r="E21" s="341" t="e">
        <f>INDEX('PY1 Data(H)'!$A$1:$CZ$231,MATCH('Unit Data from Audit Worksheet'!$A21,'PY1 Data(H)'!$A$1:$A$231,0),MATCH('Unit Data from Audit Worksheet'!$D$2,'PY1 Data(H)'!$A$1:$CZ$1,0))-INDEX('PY1 Data(H)'!$A$1:$CZ$231,MATCH('Unit Data from Audit Worksheet'!$A13,'PY1 Data(H)'!$A$1:$A$231,0),MATCH('Unit Data from Audit Worksheet'!$D$2,'PY1 Data(H)'!$A$1:$CZ$1,0))</f>
        <v>#N/A</v>
      </c>
      <c r="F21" s="897">
        <v>0</v>
      </c>
      <c r="G21" s="372" t="str">
        <f>IF(F14&gt;F21,"Error: Please review accts 626 &gt; 338","")</f>
        <v/>
      </c>
      <c r="H21" s="17"/>
      <c r="I21" s="373"/>
      <c r="J21"/>
    </row>
    <row r="22" spans="1:10" ht="89.25" customHeight="1" x14ac:dyDescent="0.3">
      <c r="A22" s="100">
        <v>335</v>
      </c>
      <c r="B22" s="4" t="s">
        <v>51</v>
      </c>
      <c r="C22" s="343" t="s">
        <v>106</v>
      </c>
      <c r="D22" s="352" t="s">
        <v>472</v>
      </c>
      <c r="E22" s="341" t="e">
        <f>INDEX('PY1 Data(H)'!$A$1:$CZ$231,MATCH('Unit Data from Audit Worksheet'!$A22,'PY1 Data(H)'!$A$1:$A$231,0),MATCH('Unit Data from Audit Worksheet'!$D$2,'PY1 Data(H)'!$A$1:$CZ$1,0))</f>
        <v>#N/A</v>
      </c>
      <c r="F22" s="897">
        <v>0</v>
      </c>
      <c r="G22" s="372">
        <f>IF(F22&lt;0,"Error: Enter as positive.",)</f>
        <v>0</v>
      </c>
      <c r="H22" s="17"/>
      <c r="I22" s="227"/>
      <c r="J22"/>
    </row>
    <row r="23" spans="1:10" ht="60" customHeight="1" x14ac:dyDescent="0.3">
      <c r="A23" s="100">
        <v>252</v>
      </c>
      <c r="B23" s="4" t="s">
        <v>51</v>
      </c>
      <c r="C23" s="343" t="s">
        <v>106</v>
      </c>
      <c r="D23" s="99" t="s">
        <v>109</v>
      </c>
      <c r="E23" s="341" t="e">
        <f>INDEX('PY1 Data(H)'!$A$1:$CZ$231,MATCH('Unit Data from Audit Worksheet'!$A23,'PY1 Data(H)'!$A$1:$A$231,0),MATCH('Unit Data from Audit Worksheet'!$D$2,'PY1 Data(H)'!$A$1:$CZ$1,0))</f>
        <v>#N/A</v>
      </c>
      <c r="F23" s="897">
        <v>0</v>
      </c>
      <c r="G23" s="378"/>
      <c r="H23" s="17"/>
      <c r="I23" s="72"/>
      <c r="J23"/>
    </row>
    <row r="24" spans="1:10" ht="43.2" x14ac:dyDescent="0.3">
      <c r="A24" s="100">
        <v>253</v>
      </c>
      <c r="B24" s="4" t="s">
        <v>51</v>
      </c>
      <c r="C24" s="343" t="s">
        <v>106</v>
      </c>
      <c r="D24" s="99" t="s">
        <v>110</v>
      </c>
      <c r="E24" s="341" t="e">
        <f>INDEX('PY1 Data(H)'!$A$1:$CZ$231,MATCH('Unit Data from Audit Worksheet'!$A24,'PY1 Data(H)'!$A$1:$A$231,0),MATCH('Unit Data from Audit Worksheet'!$D$2,'PY1 Data(H)'!$A$1:$CZ$1,0))</f>
        <v>#N/A</v>
      </c>
      <c r="F24" s="897">
        <v>0</v>
      </c>
      <c r="G24" s="372"/>
      <c r="H24" s="17"/>
      <c r="I24" s="72"/>
      <c r="J24"/>
    </row>
    <row r="25" spans="1:10" ht="73.5" customHeight="1" x14ac:dyDescent="0.3">
      <c r="A25" s="100">
        <v>254</v>
      </c>
      <c r="B25" s="4" t="s">
        <v>51</v>
      </c>
      <c r="C25" s="343" t="s">
        <v>106</v>
      </c>
      <c r="D25" s="99" t="s">
        <v>473</v>
      </c>
      <c r="E25" s="341" t="e">
        <f>INDEX('PY1 Data(H)'!$A$1:$CZ$231,MATCH('Unit Data from Audit Worksheet'!$A25,'PY1 Data(H)'!$A$1:$A$231,0),MATCH('Unit Data from Audit Worksheet'!$D$2,'PY1 Data(H)'!$A$1:$CZ$1,0))</f>
        <v>#N/A</v>
      </c>
      <c r="F25" s="897">
        <v>0</v>
      </c>
      <c r="G25" s="372">
        <f>IF(H25=0,,"Error: Total assets and deferred outflows less total liabilities and deferred inflows do not equal total net position. Account numbers  385-338-252-253-254 = 0.  The amount the formula is off is located in the cell to the right")</f>
        <v>0</v>
      </c>
      <c r="H25" s="375">
        <f>F11-F21-F23-F24-F25</f>
        <v>0</v>
      </c>
      <c r="I25" s="72"/>
      <c r="J25"/>
    </row>
    <row r="26" spans="1:10" ht="21.75" customHeight="1" x14ac:dyDescent="0.3">
      <c r="A26" s="100"/>
      <c r="B26" s="438" t="s">
        <v>111</v>
      </c>
      <c r="C26" s="439"/>
      <c r="D26" s="442"/>
      <c r="E26" s="443"/>
      <c r="F26" s="765"/>
      <c r="G26" s="452"/>
      <c r="H26" s="17"/>
      <c r="I26" s="72"/>
      <c r="J26"/>
    </row>
    <row r="27" spans="1:10" ht="59.25" customHeight="1" x14ac:dyDescent="0.3">
      <c r="A27" s="100">
        <v>502</v>
      </c>
      <c r="B27" s="4" t="s">
        <v>50</v>
      </c>
      <c r="C27" s="343" t="s">
        <v>113</v>
      </c>
      <c r="D27" s="352" t="s">
        <v>474</v>
      </c>
      <c r="E27" s="341" t="e">
        <f>INDEX('PY1 Data(H)'!$A$1:$CZ$231,MATCH('Unit Data from Audit Worksheet'!$A27,'PY1 Data(H)'!$A$1:$A$231,0),MATCH('Unit Data from Audit Worksheet'!$D$2,'PY1 Data(H)'!$A$1:$CZ$1,0))</f>
        <v>#N/A</v>
      </c>
      <c r="F27" s="897">
        <v>0</v>
      </c>
      <c r="G27" s="372">
        <f>IF(F27&lt;0,"Note: Number is normally positive.",)</f>
        <v>0</v>
      </c>
      <c r="H27" s="17"/>
      <c r="I27" s="72"/>
      <c r="J27"/>
    </row>
    <row r="28" spans="1:10" ht="59.25" customHeight="1" x14ac:dyDescent="0.3">
      <c r="A28" s="100">
        <v>503</v>
      </c>
      <c r="B28" s="4" t="s">
        <v>50</v>
      </c>
      <c r="C28" s="343" t="s">
        <v>113</v>
      </c>
      <c r="D28" s="99" t="s">
        <v>112</v>
      </c>
      <c r="E28" s="341" t="e">
        <f>INDEX('PY1 Data(H)'!$A$1:$CZ$231,MATCH('Unit Data from Audit Worksheet'!$A28,'PY1 Data(H)'!$A$1:$A$231,0),MATCH('Unit Data from Audit Worksheet'!$D$2,'PY1 Data(H)'!$A$1:$CZ$1,0))</f>
        <v>#N/A</v>
      </c>
      <c r="F28" s="897">
        <v>0</v>
      </c>
      <c r="G28" s="372">
        <f>IF(F28&lt;0,"Note: Number is normally positive.",)</f>
        <v>0</v>
      </c>
      <c r="H28" s="17"/>
      <c r="I28" s="72"/>
      <c r="J28"/>
    </row>
    <row r="29" spans="1:10" ht="27" customHeight="1" x14ac:dyDescent="0.3">
      <c r="A29" s="100"/>
      <c r="B29" s="455" t="s">
        <v>114</v>
      </c>
      <c r="C29" s="456"/>
      <c r="D29" s="442"/>
      <c r="E29" s="443"/>
      <c r="F29" s="898"/>
      <c r="G29" s="444"/>
      <c r="H29" s="17"/>
      <c r="I29" s="72"/>
      <c r="J29"/>
    </row>
    <row r="30" spans="1:10" ht="49.5" customHeight="1" x14ac:dyDescent="0.3">
      <c r="A30" s="100">
        <v>344</v>
      </c>
      <c r="B30" s="4" t="s">
        <v>51</v>
      </c>
      <c r="C30" s="4" t="s">
        <v>121</v>
      </c>
      <c r="D30" s="99" t="s">
        <v>115</v>
      </c>
      <c r="E30" s="341" t="e">
        <f>INDEX('PY1 Data(H)'!$A$1:$CZ$231,MATCH('Unit Data from Audit Worksheet'!$A30,'PY1 Data(H)'!$A$1:$A$231,0),MATCH('Unit Data from Audit Worksheet'!$D$2,'PY1 Data(H)'!$A$1:$CZ$1,0))</f>
        <v>#N/A</v>
      </c>
      <c r="F30" s="897">
        <v>0</v>
      </c>
      <c r="G30" s="372">
        <f t="shared" ref="G30:G37" si="0">IF(F30&lt;0,"Error: Enter as positive.",)</f>
        <v>0</v>
      </c>
      <c r="H30" s="17"/>
      <c r="I30" s="72"/>
      <c r="J30"/>
    </row>
    <row r="31" spans="1:10" ht="49.5" customHeight="1" x14ac:dyDescent="0.3">
      <c r="A31" s="100">
        <v>388</v>
      </c>
      <c r="B31" s="4" t="s">
        <v>54</v>
      </c>
      <c r="C31" s="4" t="s">
        <v>121</v>
      </c>
      <c r="D31" s="99" t="s">
        <v>116</v>
      </c>
      <c r="E31" s="341" t="e">
        <f>INDEX('PY1 Data(H)'!$A$1:$CZ$231,MATCH('Unit Data from Audit Worksheet'!$A31,'PY1 Data(H)'!$A$1:$A$231,0),MATCH('Unit Data from Audit Worksheet'!$D$2,'PY1 Data(H)'!$A$1:$CZ$1,0))</f>
        <v>#N/A</v>
      </c>
      <c r="F31" s="897">
        <v>0</v>
      </c>
      <c r="G31" s="372">
        <f t="shared" si="0"/>
        <v>0</v>
      </c>
      <c r="H31" s="17"/>
      <c r="I31" s="72"/>
      <c r="J31"/>
    </row>
    <row r="32" spans="1:10" ht="51.75" customHeight="1" x14ac:dyDescent="0.3">
      <c r="A32" s="100">
        <v>339</v>
      </c>
      <c r="B32" s="4" t="s">
        <v>51</v>
      </c>
      <c r="C32" s="4" t="s">
        <v>121</v>
      </c>
      <c r="D32" s="99" t="s">
        <v>117</v>
      </c>
      <c r="E32" s="341" t="e">
        <f>INDEX('PY1 Data(H)'!$A$1:$CZ$231,MATCH('Unit Data from Audit Worksheet'!$A32,'PY1 Data(H)'!$A$1:$A$231,0),MATCH('Unit Data from Audit Worksheet'!$D$2,'PY1 Data(H)'!$A$1:$CZ$1,0))</f>
        <v>#N/A</v>
      </c>
      <c r="F32" s="897">
        <v>0</v>
      </c>
      <c r="G32" s="372">
        <f t="shared" si="0"/>
        <v>0</v>
      </c>
      <c r="H32" s="17"/>
      <c r="I32" s="72"/>
      <c r="J32"/>
    </row>
    <row r="33" spans="1:122" ht="50.25" customHeight="1" x14ac:dyDescent="0.3">
      <c r="A33" s="100">
        <v>504</v>
      </c>
      <c r="B33" s="4" t="s">
        <v>51</v>
      </c>
      <c r="C33" s="4" t="s">
        <v>121</v>
      </c>
      <c r="D33" s="99" t="s">
        <v>118</v>
      </c>
      <c r="E33" s="341" t="e">
        <f>INDEX('PY1 Data(H)'!$A$1:$CZ$231,MATCH('Unit Data from Audit Worksheet'!$A33,'PY1 Data(H)'!$A$1:$A$231,0),MATCH('Unit Data from Audit Worksheet'!$D$2,'PY1 Data(H)'!$A$1:$CZ$1,0))</f>
        <v>#N/A</v>
      </c>
      <c r="F33" s="897">
        <v>0</v>
      </c>
      <c r="G33" s="372">
        <f t="shared" si="0"/>
        <v>0</v>
      </c>
      <c r="H33" s="17"/>
      <c r="I33" s="72"/>
      <c r="J33"/>
    </row>
    <row r="34" spans="1:122" ht="60" customHeight="1" x14ac:dyDescent="0.3">
      <c r="A34" s="100">
        <v>505</v>
      </c>
      <c r="B34" s="4" t="s">
        <v>51</v>
      </c>
      <c r="C34" s="4" t="s">
        <v>121</v>
      </c>
      <c r="D34" s="346" t="s">
        <v>119</v>
      </c>
      <c r="E34" s="341" t="e">
        <f>INDEX('PY1 Data(H)'!$A$1:$CZ$231,MATCH('Unit Data from Audit Worksheet'!$A34,'PY1 Data(H)'!$A$1:$A$231,0),MATCH('Unit Data from Audit Worksheet'!$D$2,'PY1 Data(H)'!$A$1:$CZ$1,0))</f>
        <v>#N/A</v>
      </c>
      <c r="F34" s="897">
        <v>0</v>
      </c>
      <c r="G34" s="372">
        <f t="shared" si="0"/>
        <v>0</v>
      </c>
      <c r="H34" s="17"/>
      <c r="I34" s="72"/>
      <c r="J34"/>
    </row>
    <row r="35" spans="1:122" ht="67.95" customHeight="1" x14ac:dyDescent="0.3">
      <c r="A35" s="100">
        <v>341</v>
      </c>
      <c r="B35" s="4" t="s">
        <v>51</v>
      </c>
      <c r="C35" s="4" t="s">
        <v>121</v>
      </c>
      <c r="D35" s="352" t="s">
        <v>475</v>
      </c>
      <c r="E35" s="341" t="e">
        <f>INDEX('PY1 Data(H)'!$A$1:$CZ$231,MATCH('Unit Data from Audit Worksheet'!$A35,'PY1 Data(H)'!$A$1:$A$231,0),MATCH('Unit Data from Audit Worksheet'!$D$2,'PY1 Data(H)'!$A$1:$CZ$1,0))</f>
        <v>#N/A</v>
      </c>
      <c r="F35" s="897">
        <v>0</v>
      </c>
      <c r="G35" s="372">
        <f t="shared" si="0"/>
        <v>0</v>
      </c>
      <c r="H35" s="17"/>
      <c r="I35" s="72"/>
      <c r="J35"/>
    </row>
    <row r="36" spans="1:122" ht="61.2" customHeight="1" x14ac:dyDescent="0.3">
      <c r="A36" s="100">
        <v>386</v>
      </c>
      <c r="B36" s="4" t="s">
        <v>51</v>
      </c>
      <c r="C36" s="4" t="s">
        <v>121</v>
      </c>
      <c r="D36" s="99" t="s">
        <v>476</v>
      </c>
      <c r="E36" s="341" t="e">
        <f>INDEX('PY1 Data(H)'!$A$1:$CZ$231,MATCH('Unit Data from Audit Worksheet'!$A36,'PY1 Data(H)'!$A$1:$A$231,0),MATCH('Unit Data from Audit Worksheet'!$D$2,'PY1 Data(H)'!$A$1:$CZ$1,0))</f>
        <v>#N/A</v>
      </c>
      <c r="F36" s="897">
        <v>0</v>
      </c>
      <c r="G36" s="372">
        <f t="shared" si="0"/>
        <v>0</v>
      </c>
      <c r="H36" s="17"/>
      <c r="I36" s="72"/>
      <c r="J36"/>
    </row>
    <row r="37" spans="1:122" ht="57.6" customHeight="1" x14ac:dyDescent="0.3">
      <c r="A37" s="100">
        <v>387</v>
      </c>
      <c r="B37" s="4" t="s">
        <v>54</v>
      </c>
      <c r="C37" s="4" t="s">
        <v>121</v>
      </c>
      <c r="D37" s="99" t="s">
        <v>477</v>
      </c>
      <c r="E37" s="341" t="e">
        <f>INDEX('PY1 Data(H)'!$A$1:$CZ$231,MATCH('Unit Data from Audit Worksheet'!$A37,'PY1 Data(H)'!$A$1:$A$231,0),MATCH('Unit Data from Audit Worksheet'!$D$2,'PY1 Data(H)'!$A$1:$CZ$1,0))</f>
        <v>#N/A</v>
      </c>
      <c r="F37" s="897">
        <v>0</v>
      </c>
      <c r="G37" s="372">
        <f t="shared" si="0"/>
        <v>0</v>
      </c>
      <c r="H37" s="17"/>
      <c r="I37" s="72"/>
      <c r="J37"/>
    </row>
    <row r="38" spans="1:122" ht="92.25" customHeight="1" x14ac:dyDescent="0.3">
      <c r="A38" s="100">
        <v>389</v>
      </c>
      <c r="B38" s="4" t="s">
        <v>54</v>
      </c>
      <c r="C38" s="4" t="s">
        <v>121</v>
      </c>
      <c r="D38" s="352" t="s">
        <v>478</v>
      </c>
      <c r="E38" s="341" t="e">
        <f>INDEX('PY1 Data(H)'!$A$1:$CZ$231,MATCH('Unit Data from Audit Worksheet'!$A38,'PY1 Data(H)'!$A$1:$A$231,0),MATCH('Unit Data from Audit Worksheet'!$D$2,'PY1 Data(H)'!$A$1:$CZ$1,0))</f>
        <v>#N/A</v>
      </c>
      <c r="F38" s="897">
        <v>0</v>
      </c>
      <c r="G38" s="372"/>
      <c r="H38" s="17"/>
      <c r="I38" s="72"/>
      <c r="J38"/>
    </row>
    <row r="39" spans="1:122" ht="138" customHeight="1" x14ac:dyDescent="0.3">
      <c r="A39" s="100">
        <v>255</v>
      </c>
      <c r="B39" s="4" t="s">
        <v>51</v>
      </c>
      <c r="C39" s="4" t="s">
        <v>121</v>
      </c>
      <c r="D39" s="352" t="s">
        <v>479</v>
      </c>
      <c r="E39" s="341" t="e">
        <f>INDEX('PY1 Data(H)'!$A$1:$CZ$231,MATCH('Unit Data from Audit Worksheet'!$A39,'PY1 Data(H)'!$A$1:$A$231,0),MATCH('Unit Data from Audit Worksheet'!$D$2,'PY1 Data(H)'!$A$1:$CZ$1,0))</f>
        <v>#N/A</v>
      </c>
      <c r="F39" s="897">
        <v>0</v>
      </c>
      <c r="G39" s="674">
        <f>IF(H39=0,,"Error: Total revenues less total expenses do not equal total change in net position. Account numbers 339+504+505+341+386-387+389-388-255 = 0  The amount the formula is off is located in the cell to the right")</f>
        <v>0</v>
      </c>
      <c r="H39" s="375">
        <f>F32+F33+F34+F35+F36-F37+F38-F31-F39</f>
        <v>0</v>
      </c>
      <c r="I39" s="72"/>
      <c r="J39"/>
    </row>
    <row r="40" spans="1:122" ht="138" customHeight="1" x14ac:dyDescent="0.3">
      <c r="A40" s="100">
        <v>376</v>
      </c>
      <c r="B40" s="4" t="s">
        <v>51</v>
      </c>
      <c r="C40" s="4" t="s">
        <v>121</v>
      </c>
      <c r="D40" s="352" t="s">
        <v>480</v>
      </c>
      <c r="E40" s="341" t="e">
        <f>INDEX('PY1 Data(H)'!$A$1:$CZ$231,MATCH('Unit Data from Audit Worksheet'!$A40,'PY1 Data(H)'!$A$1:$A$231,0),MATCH('Unit Data from Audit Worksheet'!$D$2,'PY1 Data(H)'!$A$1:$CZ$1,0))</f>
        <v>#N/A</v>
      </c>
      <c r="F40" s="897">
        <v>0</v>
      </c>
      <c r="G40" s="544" t="e">
        <f>IF(H40=0,,"Error: Beginning Balance does not agree with our records.  Account numbers  252+253+254-255-376-(Prior Year 252+253+254)=0  The amount the formula is off is located in the cell to the right")</f>
        <v>#N/A</v>
      </c>
      <c r="H40" s="746" t="e">
        <f>F23+F24+F25-F39-F40-(E23+E24+E25)</f>
        <v>#N/A</v>
      </c>
      <c r="I40" s="892" t="e">
        <f>IF(H40=0," ","If the out of balance is because prior years data is not populated in cells E23,E24,E25, disregard the error message.  Do not include prior year's ending balances in cell F40")</f>
        <v>#N/A</v>
      </c>
      <c r="J40"/>
    </row>
    <row r="41" spans="1:122" s="18" customFormat="1" ht="126.6" customHeight="1" x14ac:dyDescent="0.3">
      <c r="A41" s="100">
        <v>597</v>
      </c>
      <c r="B41" s="343" t="s">
        <v>275</v>
      </c>
      <c r="C41" s="343" t="s">
        <v>285</v>
      </c>
      <c r="D41" s="427" t="s">
        <v>481</v>
      </c>
      <c r="E41" s="341" t="e">
        <f>INDEX('PY1 Data(H)'!$A$1:$CZ$231,MATCH('Unit Data from Audit Worksheet'!$A41,'PY1 Data(H)'!$A$1:$A$231,0),MATCH('Unit Data from Audit Worksheet'!$D$2,'PY1 Data(H)'!$A$1:$CZ$1,0))</f>
        <v>#N/A</v>
      </c>
      <c r="F41" s="897">
        <v>0</v>
      </c>
      <c r="G41" s="372">
        <f>IF(F41&lt;0,"Note: Number is normally positive.",)</f>
        <v>0</v>
      </c>
      <c r="H41" s="373"/>
      <c r="I41" s="374"/>
      <c r="J41"/>
      <c r="L41"/>
      <c r="N41" s="176"/>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row>
    <row r="42" spans="1:122" ht="25.5" customHeight="1" x14ac:dyDescent="0.3">
      <c r="A42" s="100"/>
      <c r="B42" s="455" t="s">
        <v>274</v>
      </c>
      <c r="C42" s="456"/>
      <c r="D42" s="442"/>
      <c r="E42" s="443"/>
      <c r="F42" s="898"/>
      <c r="G42" s="444"/>
      <c r="H42" s="17"/>
      <c r="I42" s="72"/>
      <c r="J42"/>
    </row>
    <row r="43" spans="1:122" s="18" customFormat="1" ht="86.25" customHeight="1" x14ac:dyDescent="0.3">
      <c r="A43" s="100">
        <v>592</v>
      </c>
      <c r="B43" s="343" t="s">
        <v>53</v>
      </c>
      <c r="C43" s="343" t="s">
        <v>276</v>
      </c>
      <c r="D43" s="352" t="s">
        <v>482</v>
      </c>
      <c r="E43" s="341" t="e">
        <f>INDEX('PY1 Data(H)'!$A$1:$CZ$231,MATCH('Unit Data from Audit Worksheet'!$A43,'PY1 Data(H)'!$A$1:$A$231,0),MATCH('Unit Data from Audit Worksheet'!$D$2,'PY1 Data(H)'!$A$1:$CZ$1,0))</f>
        <v>#N/A</v>
      </c>
      <c r="F43" s="897">
        <v>0</v>
      </c>
      <c r="G43" s="372"/>
      <c r="H43" s="373"/>
      <c r="I43" s="374"/>
      <c r="J43"/>
      <c r="L43"/>
      <c r="N43" s="176"/>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row>
    <row r="44" spans="1:122" s="18" customFormat="1" ht="71.25" customHeight="1" x14ac:dyDescent="0.3">
      <c r="A44" s="100">
        <v>591</v>
      </c>
      <c r="B44" s="343" t="s">
        <v>53</v>
      </c>
      <c r="C44" s="343" t="s">
        <v>276</v>
      </c>
      <c r="D44" s="99" t="s">
        <v>277</v>
      </c>
      <c r="E44" s="341" t="e">
        <f>INDEX('PY1 Data(H)'!$A$1:$CZ$231,MATCH('Unit Data from Audit Worksheet'!$A44,'PY1 Data(H)'!$A$1:$A$231,0),MATCH('Unit Data from Audit Worksheet'!$D$2,'PY1 Data(H)'!$A$1:$CZ$1,0))</f>
        <v>#N/A</v>
      </c>
      <c r="F44" s="897">
        <v>0</v>
      </c>
      <c r="G44" s="372">
        <f>IF(F44&lt;0,"Error: Enter as positive.",)</f>
        <v>0</v>
      </c>
      <c r="H44" s="373"/>
      <c r="I44" s="374"/>
      <c r="J44"/>
      <c r="L44"/>
      <c r="N44" s="176"/>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row>
    <row r="45" spans="1:122" ht="27" customHeight="1" x14ac:dyDescent="0.3">
      <c r="A45" s="100"/>
      <c r="B45" s="455" t="s">
        <v>122</v>
      </c>
      <c r="C45" s="456"/>
      <c r="D45" s="445"/>
      <c r="E45" s="443"/>
      <c r="F45" s="765"/>
      <c r="G45" s="446"/>
      <c r="H45" s="17"/>
      <c r="I45" s="72"/>
      <c r="J45"/>
    </row>
    <row r="46" spans="1:122" s="18" customFormat="1" ht="64.8" customHeight="1" x14ac:dyDescent="0.3">
      <c r="A46" s="100">
        <v>506</v>
      </c>
      <c r="B46" s="805" t="s">
        <v>1646</v>
      </c>
      <c r="C46" s="723" t="s">
        <v>126</v>
      </c>
      <c r="D46" s="99" t="s">
        <v>483</v>
      </c>
      <c r="E46" s="341" t="e">
        <f>INDEX('PY1 Data(H)'!$A$1:$CZ$231,MATCH('Unit Data from Audit Worksheet'!$A46,'PY1 Data(H)'!$A$1:$A$231,0),MATCH('Unit Data from Audit Worksheet'!$D$2,'PY1 Data(H)'!$A$1:$CZ$1,0))</f>
        <v>#N/A</v>
      </c>
      <c r="F46" s="897">
        <v>0</v>
      </c>
      <c r="G46" s="372">
        <f>IF(F46&lt;0,"Note: Number is normally positive.",)</f>
        <v>0</v>
      </c>
      <c r="H46" s="373"/>
      <c r="I46" s="72"/>
      <c r="J46"/>
      <c r="L46"/>
      <c r="N46" s="17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row>
    <row r="47" spans="1:122" s="18" customFormat="1" ht="59.4" customHeight="1" x14ac:dyDescent="0.3">
      <c r="A47" s="100">
        <v>536</v>
      </c>
      <c r="B47" s="805" t="s">
        <v>1646</v>
      </c>
      <c r="C47" s="723" t="s">
        <v>126</v>
      </c>
      <c r="D47" s="99" t="s">
        <v>123</v>
      </c>
      <c r="E47" s="341" t="e">
        <f>INDEX('PY1 Data(H)'!$A$1:$CZ$231,MATCH('Unit Data from Audit Worksheet'!$A47,'PY1 Data(H)'!$A$1:$A$231,0),MATCH('Unit Data from Audit Worksheet'!$D$2,'PY1 Data(H)'!$A$1:$CZ$1,0))</f>
        <v>#N/A</v>
      </c>
      <c r="F47" s="897">
        <v>0</v>
      </c>
      <c r="G47" s="372">
        <f>IF(F47&lt;0,"Note: Number is normally positive.",)</f>
        <v>0</v>
      </c>
      <c r="H47" s="373"/>
      <c r="I47" s="374"/>
      <c r="J47"/>
      <c r="L47"/>
      <c r="N47" s="176"/>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row>
    <row r="48" spans="1:122" s="18" customFormat="1" ht="66" customHeight="1" x14ac:dyDescent="0.3">
      <c r="A48" s="100">
        <v>586</v>
      </c>
      <c r="B48" s="723" t="s">
        <v>53</v>
      </c>
      <c r="C48" s="723" t="s">
        <v>126</v>
      </c>
      <c r="D48" s="345" t="s">
        <v>265</v>
      </c>
      <c r="E48" s="341" t="e">
        <f>INDEX('PY1 Data(H)'!$A$1:$CZ$231,MATCH('Unit Data from Audit Worksheet'!$A48,'PY1 Data(H)'!$A$1:$A$231,0),MATCH('Unit Data from Audit Worksheet'!$D$2,'PY1 Data(H)'!$A$1:$CZ$1,0))</f>
        <v>#N/A</v>
      </c>
      <c r="F48" s="897">
        <v>0</v>
      </c>
      <c r="G48" s="372">
        <f>IF(F48&lt;0,"Note: Number is normally positive.",)</f>
        <v>0</v>
      </c>
      <c r="H48" s="373"/>
      <c r="I48" s="374"/>
      <c r="J48"/>
      <c r="L48"/>
      <c r="N48" s="176"/>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row>
    <row r="49" spans="1:122" ht="58.2" customHeight="1" x14ac:dyDescent="0.3">
      <c r="A49" s="100">
        <v>379</v>
      </c>
      <c r="B49" s="723" t="s">
        <v>54</v>
      </c>
      <c r="C49" s="723" t="s">
        <v>126</v>
      </c>
      <c r="D49" s="99" t="s">
        <v>107</v>
      </c>
      <c r="E49" s="341" t="e">
        <f>INDEX('PY1 Data(H)'!$A$1:$CZ$231,MATCH('Unit Data from Audit Worksheet'!$A49,'PY1 Data(H)'!$A$1:$A$231,0),MATCH('Unit Data from Audit Worksheet'!$D$2,'PY1 Data(H)'!$A$1:$CZ$1,0))</f>
        <v>#N/A</v>
      </c>
      <c r="F49" s="897">
        <v>0</v>
      </c>
      <c r="G49" s="372">
        <f>IF((F46+F47)&gt;F49,"Error: Please review account numbers (506+536)&gt;379",)</f>
        <v>0</v>
      </c>
      <c r="H49" s="17"/>
      <c r="I49" s="72"/>
      <c r="J49"/>
    </row>
    <row r="50" spans="1:122" ht="93" customHeight="1" x14ac:dyDescent="0.3">
      <c r="A50" s="100">
        <v>368</v>
      </c>
      <c r="B50" s="723" t="s">
        <v>61</v>
      </c>
      <c r="C50" s="723" t="s">
        <v>126</v>
      </c>
      <c r="D50" s="352" t="s">
        <v>484</v>
      </c>
      <c r="E50" s="341" t="e">
        <f>INDEX('PY1 Data(H)'!$A$1:$CZ$231,MATCH('Unit Data from Audit Worksheet'!$A50,'PY1 Data(H)'!$A$1:$A$231,0),MATCH('Unit Data from Audit Worksheet'!$D$2,'PY1 Data(H)'!$A$1:$CZ$1,0))</f>
        <v>#N/A</v>
      </c>
      <c r="F50" s="897">
        <v>0</v>
      </c>
      <c r="G50" s="372">
        <f t="shared" ref="G50:G55" si="1">IF(F50&lt;0,"Error: Enter as positive.",)</f>
        <v>0</v>
      </c>
      <c r="H50" s="17"/>
      <c r="I50" s="373"/>
      <c r="J50"/>
    </row>
    <row r="51" spans="1:122" ht="99.75" customHeight="1" x14ac:dyDescent="0.3">
      <c r="A51" s="100">
        <v>4</v>
      </c>
      <c r="B51" s="805" t="s">
        <v>1646</v>
      </c>
      <c r="C51" s="723" t="s">
        <v>126</v>
      </c>
      <c r="D51" s="178" t="s">
        <v>485</v>
      </c>
      <c r="E51" s="341" t="e">
        <f>INDEX('PY1 Data(H)'!$A$1:$CZ$231,MATCH('Unit Data from Audit Worksheet'!$A51,'PY1 Data(H)'!$A$1:$A$231,0),MATCH('Unit Data from Audit Worksheet'!$D$2,'PY1 Data(H)'!$A$1:$CZ$1,0))</f>
        <v>#N/A</v>
      </c>
      <c r="F51" s="897">
        <v>0</v>
      </c>
      <c r="G51" s="372">
        <f t="shared" si="1"/>
        <v>0</v>
      </c>
      <c r="H51" s="17"/>
      <c r="I51" s="72"/>
      <c r="J51"/>
    </row>
    <row r="52" spans="1:122" ht="119.4" customHeight="1" x14ac:dyDescent="0.3">
      <c r="A52" s="100">
        <v>5</v>
      </c>
      <c r="B52" s="805" t="s">
        <v>1646</v>
      </c>
      <c r="C52" s="723" t="s">
        <v>126</v>
      </c>
      <c r="D52" s="198" t="s">
        <v>486</v>
      </c>
      <c r="E52" s="341" t="e">
        <f>INDEX('PY1 Data(H)'!$A$1:$CZ$231,MATCH('Unit Data from Audit Worksheet'!$A52,'PY1 Data(H)'!$A$1:$A$231,0),MATCH('Unit Data from Audit Worksheet'!$D$2,'PY1 Data(H)'!$A$1:$CZ$1,0))</f>
        <v>#N/A</v>
      </c>
      <c r="F52" s="897">
        <v>0</v>
      </c>
      <c r="G52" s="372">
        <f t="shared" si="1"/>
        <v>0</v>
      </c>
      <c r="H52" s="17"/>
      <c r="I52" s="72"/>
      <c r="J52"/>
    </row>
    <row r="53" spans="1:122" ht="93.75" customHeight="1" x14ac:dyDescent="0.3">
      <c r="A53" s="100">
        <v>380</v>
      </c>
      <c r="B53" s="723" t="s">
        <v>54</v>
      </c>
      <c r="C53" s="723" t="s">
        <v>126</v>
      </c>
      <c r="D53" s="198" t="s">
        <v>487</v>
      </c>
      <c r="E53" s="341" t="e">
        <f>INDEX('PY1 Data(H)'!$A$1:$CZ$231,MATCH('Unit Data from Audit Worksheet'!$A53,'PY1 Data(H)'!$A$1:$A$231,0),MATCH('Unit Data from Audit Worksheet'!$D$2,'PY1 Data(H)'!$A$1:$CZ$1,0))</f>
        <v>#N/A</v>
      </c>
      <c r="F53" s="897">
        <v>0</v>
      </c>
      <c r="G53" s="372">
        <f t="shared" si="1"/>
        <v>0</v>
      </c>
      <c r="H53" s="17"/>
      <c r="I53" s="72"/>
      <c r="J53"/>
    </row>
    <row r="54" spans="1:122" ht="59.4" customHeight="1" x14ac:dyDescent="0.3">
      <c r="A54" s="100">
        <v>391</v>
      </c>
      <c r="B54" s="723" t="s">
        <v>61</v>
      </c>
      <c r="C54" s="723" t="s">
        <v>126</v>
      </c>
      <c r="D54" s="99" t="s">
        <v>124</v>
      </c>
      <c r="E54" s="341" t="e">
        <f>INDEX('PY1 Data(H)'!$A$1:$CZ$231,MATCH('Unit Data from Audit Worksheet'!$A54,'PY1 Data(H)'!$A$1:$A$231,0),MATCH('Unit Data from Audit Worksheet'!$D$2,'PY1 Data(H)'!$A$1:$CZ$1,0))</f>
        <v>#N/A</v>
      </c>
      <c r="F54" s="897">
        <v>0</v>
      </c>
      <c r="G54" s="372">
        <f t="shared" si="1"/>
        <v>0</v>
      </c>
      <c r="H54" s="17"/>
      <c r="I54" s="72"/>
      <c r="J54"/>
    </row>
    <row r="55" spans="1:122" ht="63" customHeight="1" x14ac:dyDescent="0.3">
      <c r="A55" s="100">
        <v>7</v>
      </c>
      <c r="B55" s="723" t="s">
        <v>61</v>
      </c>
      <c r="C55" s="723" t="s">
        <v>126</v>
      </c>
      <c r="D55" s="99" t="s">
        <v>125</v>
      </c>
      <c r="E55" s="341" t="e">
        <f>INDEX('PY1 Data(H)'!$A$1:$CZ$231,MATCH('Unit Data from Audit Worksheet'!$A55,'PY1 Data(H)'!$A$1:$A$231,0),MATCH('Unit Data from Audit Worksheet'!$D$2,'PY1 Data(H)'!$A$1:$CZ$1,0))</f>
        <v>#N/A</v>
      </c>
      <c r="F55" s="897">
        <v>0</v>
      </c>
      <c r="G55" s="372">
        <f t="shared" si="1"/>
        <v>0</v>
      </c>
      <c r="H55" s="17"/>
      <c r="I55" s="72"/>
      <c r="J55"/>
    </row>
    <row r="56" spans="1:122" ht="66.599999999999994" customHeight="1" x14ac:dyDescent="0.3">
      <c r="A56" s="179">
        <v>645</v>
      </c>
      <c r="B56" s="722" t="s">
        <v>307</v>
      </c>
      <c r="C56" s="722" t="s">
        <v>126</v>
      </c>
      <c r="D56" s="636" t="s">
        <v>328</v>
      </c>
      <c r="E56" s="341" t="e">
        <f>INDEX('PY1 Data(H)'!$A$1:$CZ$231,MATCH('Unit Data from Audit Worksheet'!$A56,'PY1 Data(H)'!$A$1:$A$231,0),MATCH('Unit Data from Audit Worksheet'!$D$2,'PY1 Data(H)'!$A$1:$CZ$1,0))</f>
        <v>#N/A</v>
      </c>
      <c r="F56" s="897">
        <v>0</v>
      </c>
      <c r="G56" s="372"/>
      <c r="H56" s="373"/>
      <c r="I56" s="374"/>
      <c r="J56"/>
    </row>
    <row r="57" spans="1:122" ht="69" customHeight="1" x14ac:dyDescent="0.3">
      <c r="A57" s="179">
        <v>646</v>
      </c>
      <c r="B57" s="722" t="s">
        <v>307</v>
      </c>
      <c r="C57" s="722" t="s">
        <v>126</v>
      </c>
      <c r="D57" s="178" t="s">
        <v>308</v>
      </c>
      <c r="E57" s="341" t="e">
        <f>INDEX('PY1 Data(H)'!$A$1:$CZ$231,MATCH('Unit Data from Audit Worksheet'!$A57,'PY1 Data(H)'!$A$1:$A$231,0),MATCH('Unit Data from Audit Worksheet'!$D$2,'PY1 Data(H)'!$A$1:$CZ$1,0))</f>
        <v>#N/A</v>
      </c>
      <c r="F57" s="897">
        <v>0</v>
      </c>
      <c r="G57" s="372"/>
      <c r="H57" s="373"/>
      <c r="I57" s="374"/>
      <c r="J57"/>
    </row>
    <row r="58" spans="1:122" ht="57.75" customHeight="1" x14ac:dyDescent="0.3">
      <c r="A58" s="100">
        <v>9</v>
      </c>
      <c r="B58" s="805" t="s">
        <v>1647</v>
      </c>
      <c r="C58" s="723" t="s">
        <v>126</v>
      </c>
      <c r="D58" s="352" t="s">
        <v>488</v>
      </c>
      <c r="E58" s="341" t="e">
        <f>INDEX('PY1 Data(H)'!$A$1:$CZ$231,MATCH('Unit Data from Audit Worksheet'!$A58,'PY1 Data(H)'!$A$1:$A$231,0),MATCH('Unit Data from Audit Worksheet'!$D$2,'PY1 Data(H)'!$A$1:$CZ$1,0))</f>
        <v>#N/A</v>
      </c>
      <c r="F58" s="897">
        <v>0</v>
      </c>
      <c r="G58" s="372">
        <f>IF(F49-F51-F52-F53-F58=0,,"Error: Total assets less total liabilities do not equal total fund balance. Account numbers 379-4-5-380-9= 0  The amount of the formula is in the cell to the right")</f>
        <v>0</v>
      </c>
      <c r="H58" s="375">
        <f>F49-F51-F52-F53-F58</f>
        <v>0</v>
      </c>
      <c r="I58" s="72"/>
      <c r="J58"/>
    </row>
    <row r="59" spans="1:122" s="18" customFormat="1" ht="74.400000000000006" customHeight="1" x14ac:dyDescent="0.3">
      <c r="A59" s="100">
        <v>540</v>
      </c>
      <c r="B59" s="343" t="s">
        <v>53</v>
      </c>
      <c r="C59" s="343" t="s">
        <v>489</v>
      </c>
      <c r="D59" s="99" t="s">
        <v>329</v>
      </c>
      <c r="E59" s="341" t="e">
        <f>INDEX('PY1 Data(H)'!$A$1:$CZ$231,MATCH('Unit Data from Audit Worksheet'!$A59,'PY1 Data(H)'!$A$1:$A$231,0),MATCH('Unit Data from Audit Worksheet'!$D$2,'PY1 Data(H)'!$A$1:$CZ$1,0))</f>
        <v>#N/A</v>
      </c>
      <c r="F59" s="897">
        <v>0</v>
      </c>
      <c r="G59" s="372"/>
      <c r="H59" s="373"/>
      <c r="I59" s="374"/>
      <c r="J59"/>
      <c r="L59"/>
      <c r="N59" s="176"/>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row>
    <row r="60" spans="1:122" s="18" customFormat="1" ht="68.400000000000006" customHeight="1" x14ac:dyDescent="0.3">
      <c r="A60" s="100">
        <v>1052</v>
      </c>
      <c r="B60" s="797" t="s">
        <v>401</v>
      </c>
      <c r="C60" s="797" t="s">
        <v>129</v>
      </c>
      <c r="D60" s="798" t="s">
        <v>1270</v>
      </c>
      <c r="E60" s="341" t="e">
        <f>INDEX('PY1 Data(H)'!$A$1:$CZ$231,MATCH('Unit Data from Audit Worksheet'!$A60,'PY1 Data(H)'!$A$1:$A$231,0),MATCH('Unit Data from Audit Worksheet'!$D$2,'PY1 Data(H)'!$A$1:$CZ$1,0))</f>
        <v>#N/A</v>
      </c>
      <c r="F60" s="766">
        <v>0</v>
      </c>
      <c r="G60" s="372"/>
      <c r="H60" s="373"/>
      <c r="I60" s="374"/>
      <c r="J60" s="173"/>
      <c r="L60" s="173"/>
      <c r="N60" s="176"/>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c r="AW60" s="173"/>
      <c r="AX60" s="173"/>
      <c r="AY60" s="173"/>
      <c r="AZ60" s="173"/>
      <c r="BA60" s="173"/>
      <c r="BB60" s="173"/>
      <c r="BC60" s="173"/>
      <c r="BD60" s="173"/>
      <c r="BE60" s="173"/>
      <c r="BF60" s="173"/>
      <c r="BG60" s="173"/>
      <c r="BH60" s="173"/>
      <c r="BI60" s="173"/>
      <c r="BJ60" s="173"/>
      <c r="BK60" s="173"/>
      <c r="BL60" s="173"/>
      <c r="BM60" s="173"/>
      <c r="BN60" s="173"/>
      <c r="BO60" s="173"/>
      <c r="BP60" s="173"/>
      <c r="BQ60" s="173"/>
      <c r="BR60" s="173"/>
      <c r="BS60" s="173"/>
      <c r="BT60" s="173"/>
      <c r="BU60" s="173"/>
      <c r="BV60" s="173"/>
      <c r="BW60" s="173"/>
      <c r="BX60" s="173"/>
      <c r="BY60" s="173"/>
      <c r="BZ60" s="173"/>
      <c r="CA60" s="173"/>
      <c r="CB60" s="173"/>
      <c r="CC60" s="173"/>
      <c r="CD60" s="173"/>
      <c r="CE60" s="173"/>
      <c r="CF60" s="173"/>
      <c r="CG60" s="173"/>
      <c r="CH60" s="173"/>
      <c r="CI60" s="173"/>
      <c r="CJ60" s="173"/>
      <c r="CK60" s="173"/>
      <c r="CL60" s="173"/>
      <c r="CM60" s="173"/>
      <c r="CN60" s="173"/>
      <c r="CO60" s="173"/>
      <c r="CP60" s="173"/>
      <c r="CQ60" s="173"/>
      <c r="CR60" s="173"/>
      <c r="CS60" s="173"/>
      <c r="CT60" s="173"/>
      <c r="CU60" s="173"/>
      <c r="CV60" s="173"/>
      <c r="CW60" s="173"/>
      <c r="CX60" s="173"/>
      <c r="CY60" s="173"/>
      <c r="CZ60" s="173"/>
      <c r="DA60" s="173"/>
      <c r="DB60" s="173"/>
      <c r="DC60" s="173"/>
      <c r="DD60" s="173"/>
      <c r="DE60" s="173"/>
      <c r="DF60" s="173"/>
      <c r="DG60" s="173"/>
      <c r="DH60" s="173"/>
      <c r="DI60" s="173"/>
      <c r="DJ60" s="173"/>
      <c r="DK60" s="173"/>
      <c r="DL60" s="173"/>
      <c r="DM60" s="173"/>
      <c r="DN60" s="173"/>
      <c r="DO60" s="173"/>
      <c r="DP60" s="173"/>
      <c r="DQ60" s="173"/>
      <c r="DR60" s="173"/>
    </row>
    <row r="61" spans="1:122" ht="30" customHeight="1" x14ac:dyDescent="0.3">
      <c r="A61" s="100"/>
      <c r="B61" s="455" t="s">
        <v>128</v>
      </c>
      <c r="C61" s="456"/>
      <c r="D61" s="442"/>
      <c r="E61" s="443"/>
      <c r="F61" s="898"/>
      <c r="G61" s="444"/>
      <c r="H61" s="17"/>
      <c r="I61" s="72"/>
      <c r="J61"/>
    </row>
    <row r="62" spans="1:122" ht="82.5" customHeight="1" x14ac:dyDescent="0.3">
      <c r="A62" s="100">
        <v>984</v>
      </c>
      <c r="B62" s="806" t="s">
        <v>1648</v>
      </c>
      <c r="C62" s="343" t="s">
        <v>489</v>
      </c>
      <c r="D62" s="352" t="s">
        <v>548</v>
      </c>
      <c r="E62" s="341" t="e">
        <f>INDEX('PY1 Data(H)'!$A$1:$CZ$231,MATCH('Unit Data from Audit Worksheet'!$A62,'PY1 Data(H)'!$A$1:$A$231,0),MATCH('Unit Data from Audit Worksheet'!$D$2,'PY1 Data(H)'!$A$1:$CZ$1,0))</f>
        <v>#N/A</v>
      </c>
      <c r="F62" s="897">
        <v>0</v>
      </c>
      <c r="G62" s="372"/>
      <c r="H62" s="17"/>
      <c r="I62" s="72"/>
      <c r="J62"/>
    </row>
    <row r="63" spans="1:122" ht="69" customHeight="1" x14ac:dyDescent="0.3">
      <c r="A63" s="100">
        <v>985</v>
      </c>
      <c r="B63" s="806" t="s">
        <v>1648</v>
      </c>
      <c r="C63" s="343" t="s">
        <v>489</v>
      </c>
      <c r="D63" s="352" t="s">
        <v>549</v>
      </c>
      <c r="E63" s="341" t="e">
        <f>INDEX('PY1 Data(H)'!$A$1:$CZ$231,MATCH('Unit Data from Audit Worksheet'!$A63,'PY1 Data(H)'!$A$1:$A$231,0),MATCH('Unit Data from Audit Worksheet'!$D$2,'PY1 Data(H)'!$A$1:$CZ$1,0))</f>
        <v>#N/A</v>
      </c>
      <c r="F63" s="897">
        <v>0</v>
      </c>
      <c r="G63" s="372"/>
      <c r="H63" s="17"/>
      <c r="I63" s="72"/>
      <c r="J63"/>
    </row>
    <row r="64" spans="1:122" ht="52.5" customHeight="1" x14ac:dyDescent="0.3">
      <c r="A64" s="100">
        <v>369</v>
      </c>
      <c r="B64" s="4" t="s">
        <v>51</v>
      </c>
      <c r="C64" s="4" t="s">
        <v>129</v>
      </c>
      <c r="D64" s="352" t="s">
        <v>490</v>
      </c>
      <c r="E64" s="341" t="e">
        <f>INDEX('PY1 Data(H)'!$A$1:$CZ$231,MATCH('Unit Data from Audit Worksheet'!$A64,'PY1 Data(H)'!$A$1:$A$231,0),MATCH('Unit Data from Audit Worksheet'!$D$2,'PY1 Data(H)'!$A$1:$CZ$1,0))</f>
        <v>#N/A</v>
      </c>
      <c r="F64" s="897">
        <v>0</v>
      </c>
      <c r="G64" s="372"/>
      <c r="H64" s="17"/>
      <c r="I64" s="72"/>
      <c r="J64"/>
    </row>
    <row r="65" spans="1:122" ht="63" customHeight="1" x14ac:dyDescent="0.3">
      <c r="A65" s="100">
        <v>16</v>
      </c>
      <c r="B65" s="4" t="s">
        <v>58</v>
      </c>
      <c r="C65" s="4" t="s">
        <v>129</v>
      </c>
      <c r="D65" s="99" t="s">
        <v>127</v>
      </c>
      <c r="E65" s="341" t="e">
        <f>INDEX('PY1 Data(H)'!$A$1:$CZ$231,MATCH('Unit Data from Audit Worksheet'!$A65,'PY1 Data(H)'!$A$1:$A$231,0),MATCH('Unit Data from Audit Worksheet'!$D$2,'PY1 Data(H)'!$A$1:$CZ$1,0))</f>
        <v>#N/A</v>
      </c>
      <c r="F65" s="897">
        <v>0</v>
      </c>
      <c r="G65" s="372"/>
      <c r="H65" s="17"/>
      <c r="I65" s="72"/>
      <c r="J65"/>
    </row>
    <row r="66" spans="1:122" ht="69" customHeight="1" x14ac:dyDescent="0.3">
      <c r="A66" s="100">
        <v>370</v>
      </c>
      <c r="B66" s="4" t="s">
        <v>51</v>
      </c>
      <c r="C66" s="4" t="s">
        <v>129</v>
      </c>
      <c r="D66" s="352" t="s">
        <v>491</v>
      </c>
      <c r="E66" s="341" t="e">
        <f>INDEX('PY1 Data(H)'!$A$1:$CZ$231,MATCH('Unit Data from Audit Worksheet'!$A66,'PY1 Data(H)'!$A$1:$A$231,0),MATCH('Unit Data from Audit Worksheet'!$D$2,'PY1 Data(H)'!$A$1:$CZ$1,0))</f>
        <v>#N/A</v>
      </c>
      <c r="F66" s="897">
        <v>0</v>
      </c>
      <c r="G66" s="372">
        <f>IF(F66&lt;0,"Error: Enter as positive.",)</f>
        <v>0</v>
      </c>
      <c r="H66" s="17"/>
      <c r="I66" s="72"/>
      <c r="J66"/>
    </row>
    <row r="67" spans="1:122" ht="73.8" customHeight="1" x14ac:dyDescent="0.3">
      <c r="A67" s="100">
        <v>532</v>
      </c>
      <c r="B67" s="806" t="s">
        <v>1646</v>
      </c>
      <c r="C67" s="4" t="s">
        <v>129</v>
      </c>
      <c r="D67" s="348" t="s">
        <v>492</v>
      </c>
      <c r="E67" s="341" t="e">
        <f>INDEX('PY1 Data(H)'!$A$1:$CZ$231,MATCH('Unit Data from Audit Worksheet'!$A67,'PY1 Data(H)'!$A$1:$A$231,0),MATCH('Unit Data from Audit Worksheet'!$D$2,'PY1 Data(H)'!$A$1:$CZ$1,0))</f>
        <v>#N/A</v>
      </c>
      <c r="F67" s="897">
        <v>0</v>
      </c>
      <c r="G67" s="372">
        <f>IF(F67&lt;0,"Error: Enter as positive.",)</f>
        <v>0</v>
      </c>
      <c r="H67" s="17"/>
      <c r="I67" s="72"/>
      <c r="J67"/>
    </row>
    <row r="68" spans="1:122" ht="54" customHeight="1" x14ac:dyDescent="0.3">
      <c r="A68" s="100">
        <v>17</v>
      </c>
      <c r="B68" s="4" t="s">
        <v>54</v>
      </c>
      <c r="C68" s="4" t="s">
        <v>129</v>
      </c>
      <c r="D68" s="99" t="s">
        <v>493</v>
      </c>
      <c r="E68" s="341" t="e">
        <f>INDEX('PY1 Data(H)'!$A$1:$CZ$231,MATCH('Unit Data from Audit Worksheet'!$A68,'PY1 Data(H)'!$A$1:$A$231,0),MATCH('Unit Data from Audit Worksheet'!$D$2,'PY1 Data(H)'!$A$1:$CZ$1,0))</f>
        <v>#N/A</v>
      </c>
      <c r="F68" s="897">
        <v>0</v>
      </c>
      <c r="G68" s="372"/>
      <c r="H68" s="17"/>
      <c r="I68" s="72"/>
      <c r="J68"/>
    </row>
    <row r="69" spans="1:122" ht="58.5" customHeight="1" x14ac:dyDescent="0.3">
      <c r="A69" s="100">
        <v>20</v>
      </c>
      <c r="B69" s="806" t="s">
        <v>1646</v>
      </c>
      <c r="C69" s="4" t="s">
        <v>129</v>
      </c>
      <c r="D69" s="99" t="s">
        <v>494</v>
      </c>
      <c r="E69" s="341" t="e">
        <f>INDEX('PY1 Data(H)'!$A$1:$CZ$231,MATCH('Unit Data from Audit Worksheet'!$A69,'PY1 Data(H)'!$A$1:$A$231,0),MATCH('Unit Data from Audit Worksheet'!$D$2,'PY1 Data(H)'!$A$1:$CZ$1,0))</f>
        <v>#N/A</v>
      </c>
      <c r="F69" s="897">
        <v>0</v>
      </c>
      <c r="G69" s="372">
        <f>IF(F69&lt;0,"Error: Enter as positive.",)</f>
        <v>0</v>
      </c>
      <c r="H69" s="17"/>
      <c r="I69" s="72"/>
      <c r="J69"/>
    </row>
    <row r="70" spans="1:122" ht="54" customHeight="1" x14ac:dyDescent="0.3">
      <c r="A70" s="100">
        <v>533</v>
      </c>
      <c r="B70" s="806" t="s">
        <v>1646</v>
      </c>
      <c r="C70" s="4" t="s">
        <v>129</v>
      </c>
      <c r="D70" s="348" t="s">
        <v>495</v>
      </c>
      <c r="E70" s="341" t="e">
        <f>INDEX('PY1 Data(H)'!$A$1:$CZ$231,MATCH('Unit Data from Audit Worksheet'!$A70,'PY1 Data(H)'!$A$1:$A$231,0),MATCH('Unit Data from Audit Worksheet'!$D$2,'PY1 Data(H)'!$A$1:$CZ$1,0))</f>
        <v>#N/A</v>
      </c>
      <c r="F70" s="897">
        <v>0</v>
      </c>
      <c r="G70" s="379"/>
      <c r="H70" s="17"/>
      <c r="I70" s="72"/>
      <c r="J70"/>
    </row>
    <row r="71" spans="1:122" s="18" customFormat="1" ht="62.25" customHeight="1" x14ac:dyDescent="0.3">
      <c r="A71" s="100">
        <v>508</v>
      </c>
      <c r="B71" s="806" t="s">
        <v>1646</v>
      </c>
      <c r="C71" s="4" t="s">
        <v>129</v>
      </c>
      <c r="D71" s="99" t="s">
        <v>246</v>
      </c>
      <c r="E71" s="341" t="e">
        <f>INDEX('PY1 Data(H)'!$A$1:$CZ$231,MATCH('Unit Data from Audit Worksheet'!$A71,'PY1 Data(H)'!$A$1:$A$231,0),MATCH('Unit Data from Audit Worksheet'!$D$2,'PY1 Data(H)'!$A$1:$CZ$1,0))</f>
        <v>#N/A</v>
      </c>
      <c r="F71" s="897">
        <v>0</v>
      </c>
      <c r="G71" s="372"/>
      <c r="H71" s="373"/>
      <c r="I71" s="374"/>
      <c r="J71"/>
      <c r="L71"/>
      <c r="N71" s="176"/>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row>
    <row r="72" spans="1:122" s="18" customFormat="1" ht="81.75" customHeight="1" x14ac:dyDescent="0.3">
      <c r="A72" s="100">
        <v>509</v>
      </c>
      <c r="B72" s="806" t="s">
        <v>1646</v>
      </c>
      <c r="C72" s="4" t="s">
        <v>129</v>
      </c>
      <c r="D72" s="99" t="s">
        <v>244</v>
      </c>
      <c r="E72" s="341" t="e">
        <f>INDEX('PY1 Data(H)'!$A$1:$CZ$231,MATCH('Unit Data from Audit Worksheet'!$A72,'PY1 Data(H)'!$A$1:$A$231,0),MATCH('Unit Data from Audit Worksheet'!$D$2,'PY1 Data(H)'!$A$1:$CZ$1,0))</f>
        <v>#N/A</v>
      </c>
      <c r="F72" s="897">
        <v>0</v>
      </c>
      <c r="G72" s="372">
        <f>IF(F72&lt;0,"Error: Enter as positive.",)</f>
        <v>0</v>
      </c>
      <c r="H72" s="373"/>
      <c r="I72" s="374"/>
      <c r="J72"/>
      <c r="L72"/>
      <c r="N72" s="176"/>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row>
    <row r="73" spans="1:122" ht="69" customHeight="1" x14ac:dyDescent="0.3">
      <c r="A73" s="100">
        <v>22</v>
      </c>
      <c r="B73" s="4" t="s">
        <v>54</v>
      </c>
      <c r="C73" s="4" t="s">
        <v>129</v>
      </c>
      <c r="D73" s="99" t="s">
        <v>245</v>
      </c>
      <c r="E73" s="341" t="e">
        <f>INDEX('PY1 Data(H)'!$A$1:$CZ$231,MATCH('Unit Data from Audit Worksheet'!$A73,'PY1 Data(H)'!$A$1:$A$231,0),MATCH('Unit Data from Audit Worksheet'!$D$2,'PY1 Data(H)'!$A$1:$CZ$1,0))</f>
        <v>#N/A</v>
      </c>
      <c r="F73" s="897">
        <v>0</v>
      </c>
      <c r="G73" s="379"/>
      <c r="H73" s="17"/>
      <c r="I73" s="72"/>
      <c r="J73"/>
    </row>
    <row r="74" spans="1:122" ht="138" customHeight="1" x14ac:dyDescent="0.3">
      <c r="A74" s="100">
        <v>23</v>
      </c>
      <c r="B74" s="4" t="s">
        <v>54</v>
      </c>
      <c r="C74" s="4" t="s">
        <v>129</v>
      </c>
      <c r="D74" s="352" t="s">
        <v>496</v>
      </c>
      <c r="E74" s="341" t="e">
        <f>INDEX('PY1 Data(H)'!$A$1:$CZ$231,MATCH('Unit Data from Audit Worksheet'!$A74,'PY1 Data(H)'!$A$1:$A$231,0),MATCH('Unit Data from Audit Worksheet'!$D$2,'PY1 Data(H)'!$A$1:$CZ$1,0))</f>
        <v>#N/A</v>
      </c>
      <c r="F74" s="897">
        <v>0</v>
      </c>
      <c r="G74" s="372">
        <f>IF(H74=0,,"Error: Total revenues less total expenditures do not equal total change in fund balance.  Account numbers 16-532+17-20+533+22+508-509-23=0  The amount of the formula is located in the cell to the right")</f>
        <v>0</v>
      </c>
      <c r="H74" s="375">
        <f>+F65-F67+F68-F69+F70+F73+F71-F72-F74</f>
        <v>0</v>
      </c>
      <c r="I74" s="72"/>
      <c r="J74"/>
    </row>
    <row r="75" spans="1:122" ht="126.6" customHeight="1" x14ac:dyDescent="0.3">
      <c r="A75" s="100">
        <v>590</v>
      </c>
      <c r="B75" s="806" t="s">
        <v>1713</v>
      </c>
      <c r="C75" s="4"/>
      <c r="D75" s="800" t="s">
        <v>1742</v>
      </c>
      <c r="E75" s="481"/>
      <c r="F75" s="897"/>
      <c r="G75" s="667"/>
      <c r="H75" s="846" t="str">
        <f>IF(F75&lt;&gt;""," ","Please do not leave cell F75 blank.")</f>
        <v>Please do not leave cell F75 blank.</v>
      </c>
      <c r="I75" s="882"/>
      <c r="J75"/>
      <c r="K75" s="380"/>
    </row>
    <row r="76" spans="1:122" ht="138" customHeight="1" x14ac:dyDescent="0.3">
      <c r="A76" s="100">
        <v>507</v>
      </c>
      <c r="B76" s="343" t="s">
        <v>54</v>
      </c>
      <c r="C76" s="343" t="s">
        <v>129</v>
      </c>
      <c r="D76" s="352" t="s">
        <v>497</v>
      </c>
      <c r="E76" s="341" t="e">
        <f>INDEX('PY1 Data(H)'!$A$1:$CZ$231,MATCH('Unit Data from Audit Worksheet'!$A76,'PY1 Data(H)'!$A$1:$A$231,0),MATCH('Unit Data from Audit Worksheet'!$D$2,'PY1 Data(H)'!$A$1:$CZ$1,0))</f>
        <v>#N/A</v>
      </c>
      <c r="F76" s="897">
        <v>0</v>
      </c>
      <c r="G76" s="674" t="e">
        <f>IF(F58-F74-F76=E58,,"Error: Beginning Balance does not agree with our records.  (Acct# 9-23-507)= Prior Years Acct # 9 The amount of the formula is in the cell to the right")</f>
        <v>#N/A</v>
      </c>
      <c r="H76" s="804" t="e">
        <f>+F58-F74-F76-E58</f>
        <v>#N/A</v>
      </c>
      <c r="I76" s="892" t="e">
        <f>IF(H76=0," ","If the out of balance is because prior years data is not populated in cell E58, disregard the error message.  Do not include prior year's balance in cell F76.")</f>
        <v>#N/A</v>
      </c>
      <c r="J76"/>
    </row>
    <row r="77" spans="1:122" s="18" customFormat="1" ht="137.4" customHeight="1" x14ac:dyDescent="0.3">
      <c r="A77" s="100">
        <v>147</v>
      </c>
      <c r="B77" s="343" t="s">
        <v>807</v>
      </c>
      <c r="C77" s="343" t="s">
        <v>808</v>
      </c>
      <c r="D77" s="352" t="s">
        <v>809</v>
      </c>
      <c r="E77" s="341" t="e">
        <f>INDEX('PY1 Data(H)'!$A$1:$CZ$231,MATCH('Unit Data from Audit Worksheet'!$A77,'PY1 Data(H)'!$A$1:$A$231,0),MATCH('Unit Data from Audit Worksheet'!$D$2,'PY1 Data(H)'!$A$1:$CZ$1,0))</f>
        <v>#N/A</v>
      </c>
      <c r="F77" s="897">
        <v>0</v>
      </c>
      <c r="G77" s="372"/>
      <c r="H77" s="375"/>
      <c r="I77" s="656"/>
      <c r="J77" s="539"/>
      <c r="L77" s="539"/>
      <c r="N77" s="177"/>
      <c r="Y77" s="539"/>
      <c r="Z77" s="539"/>
      <c r="AA77" s="539"/>
      <c r="AB77" s="539"/>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539"/>
      <c r="BF77" s="539"/>
      <c r="BG77" s="539"/>
      <c r="BH77" s="539"/>
      <c r="BI77" s="539"/>
      <c r="BJ77" s="539"/>
      <c r="BK77" s="539"/>
      <c r="BL77" s="539"/>
      <c r="BM77" s="539"/>
      <c r="BN77" s="539"/>
      <c r="BO77" s="539"/>
      <c r="BP77" s="539"/>
      <c r="BQ77" s="539"/>
      <c r="BR77" s="539"/>
      <c r="BS77" s="539"/>
      <c r="BT77" s="539"/>
      <c r="BU77" s="539"/>
      <c r="BV77" s="539"/>
      <c r="BW77" s="539"/>
      <c r="BX77" s="539"/>
      <c r="BY77" s="539"/>
      <c r="BZ77" s="539"/>
      <c r="CA77" s="539"/>
      <c r="CB77" s="539"/>
      <c r="CC77" s="539"/>
      <c r="CD77" s="539"/>
      <c r="CE77" s="539"/>
      <c r="CF77" s="539"/>
      <c r="CG77" s="539"/>
      <c r="CH77" s="539"/>
      <c r="CI77" s="539"/>
      <c r="CJ77" s="539"/>
      <c r="CK77" s="539"/>
      <c r="CL77" s="539"/>
      <c r="CM77" s="539"/>
      <c r="CN77" s="539"/>
      <c r="CO77" s="539"/>
      <c r="CP77" s="539"/>
      <c r="CQ77" s="539"/>
      <c r="CR77" s="539"/>
      <c r="CS77" s="539"/>
      <c r="CT77" s="539"/>
      <c r="CU77" s="539"/>
      <c r="CV77" s="539"/>
      <c r="CW77" s="539"/>
      <c r="CX77" s="539"/>
      <c r="CY77" s="539"/>
      <c r="CZ77" s="539"/>
      <c r="DA77" s="539"/>
      <c r="DB77" s="539"/>
      <c r="DC77" s="539"/>
      <c r="DD77" s="539"/>
      <c r="DE77" s="539"/>
      <c r="DF77" s="539"/>
      <c r="DG77" s="539"/>
      <c r="DH77" s="539"/>
      <c r="DI77" s="539"/>
      <c r="DJ77" s="539"/>
      <c r="DK77" s="539"/>
      <c r="DL77" s="539"/>
      <c r="DM77" s="539"/>
      <c r="DN77" s="539"/>
      <c r="DO77" s="539"/>
      <c r="DP77" s="539"/>
      <c r="DQ77" s="539"/>
      <c r="DR77" s="539"/>
    </row>
    <row r="78" spans="1:122" s="18" customFormat="1" ht="106.2" customHeight="1" x14ac:dyDescent="0.3">
      <c r="A78" s="100">
        <v>585</v>
      </c>
      <c r="B78" s="343" t="s">
        <v>807</v>
      </c>
      <c r="C78" s="343" t="s">
        <v>808</v>
      </c>
      <c r="D78" s="352" t="s">
        <v>810</v>
      </c>
      <c r="E78" s="341" t="e">
        <f>INDEX('PY1 Data(H)'!$A$1:$CZ$231,MATCH('Unit Data from Audit Worksheet'!$A78,'PY1 Data(H)'!$A$1:$A$231,0),MATCH('Unit Data from Audit Worksheet'!$D$2,'PY1 Data(H)'!$A$1:$CZ$1,0))</f>
        <v>#N/A</v>
      </c>
      <c r="F78" s="897">
        <v>0</v>
      </c>
      <c r="G78" s="372"/>
      <c r="H78" s="375"/>
      <c r="I78" s="656"/>
      <c r="J78" s="539"/>
      <c r="L78" s="539"/>
      <c r="N78" s="177"/>
      <c r="Y78" s="539"/>
      <c r="Z78" s="539"/>
      <c r="AA78" s="539"/>
      <c r="AB78" s="539"/>
      <c r="AC78" s="539"/>
      <c r="AD78" s="539"/>
      <c r="AE78" s="539"/>
      <c r="AF78" s="539"/>
      <c r="AG78" s="539"/>
      <c r="AH78" s="539"/>
      <c r="AI78" s="539"/>
      <c r="AJ78" s="539"/>
      <c r="AK78" s="539"/>
      <c r="AL78" s="539"/>
      <c r="AM78" s="539"/>
      <c r="AN78" s="539"/>
      <c r="AO78" s="539"/>
      <c r="AP78" s="539"/>
      <c r="AQ78" s="539"/>
      <c r="AR78" s="539"/>
      <c r="AS78" s="539"/>
      <c r="AT78" s="539"/>
      <c r="AU78" s="539"/>
      <c r="AV78" s="539"/>
      <c r="AW78" s="539"/>
      <c r="AX78" s="539"/>
      <c r="AY78" s="539"/>
      <c r="AZ78" s="539"/>
      <c r="BA78" s="539"/>
      <c r="BB78" s="539"/>
      <c r="BC78" s="539"/>
      <c r="BD78" s="539"/>
      <c r="BE78" s="539"/>
      <c r="BF78" s="539"/>
      <c r="BG78" s="539"/>
      <c r="BH78" s="539"/>
      <c r="BI78" s="539"/>
      <c r="BJ78" s="539"/>
      <c r="BK78" s="539"/>
      <c r="BL78" s="539"/>
      <c r="BM78" s="539"/>
      <c r="BN78" s="539"/>
      <c r="BO78" s="539"/>
      <c r="BP78" s="539"/>
      <c r="BQ78" s="539"/>
      <c r="BR78" s="539"/>
      <c r="BS78" s="539"/>
      <c r="BT78" s="539"/>
      <c r="BU78" s="539"/>
      <c r="BV78" s="539"/>
      <c r="BW78" s="539"/>
      <c r="BX78" s="539"/>
      <c r="BY78" s="539"/>
      <c r="BZ78" s="539"/>
      <c r="CA78" s="539"/>
      <c r="CB78" s="539"/>
      <c r="CC78" s="539"/>
      <c r="CD78" s="539"/>
      <c r="CE78" s="539"/>
      <c r="CF78" s="539"/>
      <c r="CG78" s="539"/>
      <c r="CH78" s="539"/>
      <c r="CI78" s="539"/>
      <c r="CJ78" s="539"/>
      <c r="CK78" s="539"/>
      <c r="CL78" s="539"/>
      <c r="CM78" s="539"/>
      <c r="CN78" s="539"/>
      <c r="CO78" s="539"/>
      <c r="CP78" s="539"/>
      <c r="CQ78" s="539"/>
      <c r="CR78" s="539"/>
      <c r="CS78" s="539"/>
      <c r="CT78" s="539"/>
      <c r="CU78" s="539"/>
      <c r="CV78" s="539"/>
      <c r="CW78" s="539"/>
      <c r="CX78" s="539"/>
      <c r="CY78" s="539"/>
      <c r="CZ78" s="539"/>
      <c r="DA78" s="539"/>
      <c r="DB78" s="539"/>
      <c r="DC78" s="539"/>
      <c r="DD78" s="539"/>
      <c r="DE78" s="539"/>
      <c r="DF78" s="539"/>
      <c r="DG78" s="539"/>
      <c r="DH78" s="539"/>
      <c r="DI78" s="539"/>
      <c r="DJ78" s="539"/>
      <c r="DK78" s="539"/>
      <c r="DL78" s="539"/>
      <c r="DM78" s="539"/>
      <c r="DN78" s="539"/>
      <c r="DO78" s="539"/>
      <c r="DP78" s="539"/>
      <c r="DQ78" s="539"/>
      <c r="DR78" s="539"/>
    </row>
    <row r="79" spans="1:122" s="18" customFormat="1" ht="104.4" customHeight="1" x14ac:dyDescent="0.3">
      <c r="A79" s="100">
        <v>546</v>
      </c>
      <c r="B79" s="343" t="s">
        <v>807</v>
      </c>
      <c r="C79" s="343" t="s">
        <v>808</v>
      </c>
      <c r="D79" s="352" t="s">
        <v>811</v>
      </c>
      <c r="E79" s="341" t="e">
        <f>INDEX('PY1 Data(H)'!$A$1:$CZ$231,MATCH('Unit Data from Audit Worksheet'!$A79,'PY1 Data(H)'!$A$1:$A$231,0),MATCH('Unit Data from Audit Worksheet'!$D$2,'PY1 Data(H)'!$A$1:$CZ$1,0))</f>
        <v>#N/A</v>
      </c>
      <c r="F79" s="897">
        <v>0</v>
      </c>
      <c r="G79" s="372"/>
      <c r="H79" s="375"/>
      <c r="I79" s="656"/>
      <c r="J79" s="539"/>
      <c r="L79" s="539"/>
      <c r="N79" s="177"/>
      <c r="Y79" s="539"/>
      <c r="Z79" s="539"/>
      <c r="AA79" s="539"/>
      <c r="AB79" s="539"/>
      <c r="AC79" s="539"/>
      <c r="AD79" s="539"/>
      <c r="AE79" s="539"/>
      <c r="AF79" s="539"/>
      <c r="AG79" s="539"/>
      <c r="AH79" s="539"/>
      <c r="AI79" s="539"/>
      <c r="AJ79" s="539"/>
      <c r="AK79" s="539"/>
      <c r="AL79" s="539"/>
      <c r="AM79" s="539"/>
      <c r="AN79" s="539"/>
      <c r="AO79" s="539"/>
      <c r="AP79" s="539"/>
      <c r="AQ79" s="539"/>
      <c r="AR79" s="539"/>
      <c r="AS79" s="539"/>
      <c r="AT79" s="539"/>
      <c r="AU79" s="539"/>
      <c r="AV79" s="539"/>
      <c r="AW79" s="539"/>
      <c r="AX79" s="539"/>
      <c r="AY79" s="539"/>
      <c r="AZ79" s="539"/>
      <c r="BA79" s="539"/>
      <c r="BB79" s="539"/>
      <c r="BC79" s="539"/>
      <c r="BD79" s="539"/>
      <c r="BE79" s="539"/>
      <c r="BF79" s="539"/>
      <c r="BG79" s="539"/>
      <c r="BH79" s="539"/>
      <c r="BI79" s="539"/>
      <c r="BJ79" s="539"/>
      <c r="BK79" s="539"/>
      <c r="BL79" s="539"/>
      <c r="BM79" s="539"/>
      <c r="BN79" s="539"/>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539"/>
      <c r="CR79" s="539"/>
      <c r="CS79" s="539"/>
      <c r="CT79" s="539"/>
      <c r="CU79" s="539"/>
      <c r="CV79" s="539"/>
      <c r="CW79" s="539"/>
      <c r="CX79" s="539"/>
      <c r="CY79" s="539"/>
      <c r="CZ79" s="539"/>
      <c r="DA79" s="539"/>
      <c r="DB79" s="539"/>
      <c r="DC79" s="539"/>
      <c r="DD79" s="539"/>
      <c r="DE79" s="539"/>
      <c r="DF79" s="539"/>
      <c r="DG79" s="539"/>
      <c r="DH79" s="539"/>
      <c r="DI79" s="539"/>
      <c r="DJ79" s="539"/>
      <c r="DK79" s="539"/>
      <c r="DL79" s="539"/>
      <c r="DM79" s="539"/>
      <c r="DN79" s="539"/>
      <c r="DO79" s="539"/>
      <c r="DP79" s="539"/>
      <c r="DQ79" s="539"/>
      <c r="DR79" s="539"/>
    </row>
    <row r="80" spans="1:122" s="18" customFormat="1" ht="97.8" customHeight="1" x14ac:dyDescent="0.3">
      <c r="A80" s="100">
        <v>589</v>
      </c>
      <c r="B80" s="343" t="s">
        <v>807</v>
      </c>
      <c r="C80" s="343" t="s">
        <v>808</v>
      </c>
      <c r="D80" s="352" t="s">
        <v>812</v>
      </c>
      <c r="E80" s="341" t="e">
        <f>INDEX('PY1 Data(H)'!$A$1:$CZ$231,MATCH('Unit Data from Audit Worksheet'!$A80,'PY1 Data(H)'!$A$1:$A$231,0),MATCH('Unit Data from Audit Worksheet'!$D$2,'PY1 Data(H)'!$A$1:$CZ$1,0))</f>
        <v>#N/A</v>
      </c>
      <c r="F80" s="897">
        <v>0</v>
      </c>
      <c r="G80" s="372"/>
      <c r="H80" s="375"/>
      <c r="I80" s="656"/>
      <c r="J80" s="539"/>
      <c r="L80" s="539"/>
      <c r="N80" s="177"/>
      <c r="Y80" s="539"/>
      <c r="Z80" s="539"/>
      <c r="AA80" s="539"/>
      <c r="AB80" s="539"/>
      <c r="AC80" s="539"/>
      <c r="AD80" s="539"/>
      <c r="AE80" s="539"/>
      <c r="AF80" s="539"/>
      <c r="AG80" s="539"/>
      <c r="AH80" s="539"/>
      <c r="AI80" s="539"/>
      <c r="AJ80" s="539"/>
      <c r="AK80" s="539"/>
      <c r="AL80" s="539"/>
      <c r="AM80" s="539"/>
      <c r="AN80" s="539"/>
      <c r="AO80" s="539"/>
      <c r="AP80" s="539"/>
      <c r="AQ80" s="539"/>
      <c r="AR80" s="539"/>
      <c r="AS80" s="539"/>
      <c r="AT80" s="539"/>
      <c r="AU80" s="539"/>
      <c r="AV80" s="539"/>
      <c r="AW80" s="539"/>
      <c r="AX80" s="539"/>
      <c r="AY80" s="539"/>
      <c r="AZ80" s="539"/>
      <c r="BA80" s="539"/>
      <c r="BB80" s="539"/>
      <c r="BC80" s="539"/>
      <c r="BD80" s="539"/>
      <c r="BE80" s="539"/>
      <c r="BF80" s="539"/>
      <c r="BG80" s="539"/>
      <c r="BH80" s="539"/>
      <c r="BI80" s="539"/>
      <c r="BJ80" s="539"/>
      <c r="BK80" s="539"/>
      <c r="BL80" s="539"/>
      <c r="BM80" s="539"/>
      <c r="BN80" s="539"/>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539"/>
      <c r="CR80" s="539"/>
      <c r="CS80" s="539"/>
      <c r="CT80" s="539"/>
      <c r="CU80" s="539"/>
      <c r="CV80" s="539"/>
      <c r="CW80" s="539"/>
      <c r="CX80" s="539"/>
      <c r="CY80" s="539"/>
      <c r="CZ80" s="539"/>
      <c r="DA80" s="539"/>
      <c r="DB80" s="539"/>
      <c r="DC80" s="539"/>
      <c r="DD80" s="539"/>
      <c r="DE80" s="539"/>
      <c r="DF80" s="539"/>
      <c r="DG80" s="539"/>
      <c r="DH80" s="539"/>
      <c r="DI80" s="539"/>
      <c r="DJ80" s="539"/>
      <c r="DK80" s="539"/>
      <c r="DL80" s="539"/>
      <c r="DM80" s="539"/>
      <c r="DN80" s="539"/>
      <c r="DO80" s="539"/>
      <c r="DP80" s="539"/>
      <c r="DQ80" s="539"/>
      <c r="DR80" s="539"/>
    </row>
    <row r="81" spans="1:122" ht="82.5" customHeight="1" x14ac:dyDescent="0.3">
      <c r="A81" s="179">
        <v>647</v>
      </c>
      <c r="B81" s="807" t="s">
        <v>1649</v>
      </c>
      <c r="C81" s="429" t="s">
        <v>309</v>
      </c>
      <c r="D81" s="178" t="s">
        <v>310</v>
      </c>
      <c r="E81" s="341" t="e">
        <f>INDEX('PY1 Data(H)'!$A$1:$CZ$231,MATCH('Unit Data from Audit Worksheet'!$A81,'PY1 Data(H)'!$A$1:$A$231,0),MATCH('Unit Data from Audit Worksheet'!$D$2,'PY1 Data(H)'!$A$1:$CZ$1,0))</f>
        <v>#N/A</v>
      </c>
      <c r="F81" s="897">
        <v>0</v>
      </c>
      <c r="G81" s="372">
        <f>IF(F81&lt;0,"Error: Enter as positive.",)</f>
        <v>0</v>
      </c>
      <c r="H81" s="381"/>
      <c r="I81" s="72"/>
      <c r="J81"/>
    </row>
    <row r="82" spans="1:122" ht="25.5" customHeight="1" x14ac:dyDescent="0.3">
      <c r="A82" s="100"/>
      <c r="B82" s="455" t="s">
        <v>9</v>
      </c>
      <c r="C82" s="456"/>
      <c r="D82" s="440"/>
      <c r="E82" s="436"/>
      <c r="F82" s="767"/>
      <c r="G82" s="441"/>
      <c r="H82" s="17"/>
      <c r="I82" s="72"/>
      <c r="J82"/>
    </row>
    <row r="83" spans="1:122" ht="81" customHeight="1" x14ac:dyDescent="0.3">
      <c r="A83" s="100">
        <v>148</v>
      </c>
      <c r="B83" s="343" t="s">
        <v>813</v>
      </c>
      <c r="C83" s="343" t="s">
        <v>814</v>
      </c>
      <c r="D83" s="340" t="s">
        <v>815</v>
      </c>
      <c r="E83" s="341" t="e">
        <f>INDEX('PY1 Data(H)'!$A$1:$CZ$231,MATCH('Unit Data from Audit Worksheet'!$A83,'PY1 Data(H)'!$A$1:$A$231,0),MATCH('Unit Data from Audit Worksheet'!$D$2,'PY1 Data(H)'!$A$1:$CZ$1,0))</f>
        <v>#N/A</v>
      </c>
      <c r="F83" s="766">
        <v>0</v>
      </c>
      <c r="G83" s="661"/>
      <c r="H83" s="17"/>
      <c r="I83" s="72"/>
      <c r="J83" s="173"/>
      <c r="L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c r="CA83" s="173"/>
      <c r="CB83" s="173"/>
      <c r="CC83" s="173"/>
      <c r="CD83" s="173"/>
      <c r="CE83" s="173"/>
      <c r="CF83" s="173"/>
      <c r="CG83" s="173"/>
      <c r="CH83" s="173"/>
      <c r="CI83" s="173"/>
      <c r="CJ83" s="173"/>
      <c r="CK83" s="173"/>
      <c r="CL83" s="173"/>
      <c r="CM83" s="173"/>
      <c r="CN83" s="173"/>
      <c r="CO83" s="173"/>
      <c r="CP83" s="173"/>
      <c r="CQ83" s="173"/>
      <c r="CR83" s="173"/>
      <c r="CS83" s="173"/>
      <c r="CT83" s="173"/>
      <c r="CU83" s="173"/>
      <c r="CV83" s="173"/>
      <c r="CW83" s="173"/>
      <c r="CX83" s="173"/>
      <c r="CY83" s="173"/>
      <c r="CZ83" s="173"/>
      <c r="DA83" s="173"/>
      <c r="DB83" s="173"/>
      <c r="DC83" s="173"/>
      <c r="DD83" s="173"/>
      <c r="DE83" s="173"/>
      <c r="DF83" s="173"/>
      <c r="DG83" s="173"/>
      <c r="DH83" s="173"/>
      <c r="DI83" s="173"/>
      <c r="DJ83" s="173"/>
      <c r="DK83" s="173"/>
      <c r="DL83" s="173"/>
      <c r="DM83" s="173"/>
      <c r="DN83" s="173"/>
      <c r="DO83" s="173"/>
      <c r="DP83" s="173"/>
      <c r="DQ83" s="173"/>
      <c r="DR83" s="173"/>
    </row>
    <row r="84" spans="1:122" ht="78" customHeight="1" x14ac:dyDescent="0.3">
      <c r="A84" s="100">
        <v>171</v>
      </c>
      <c r="B84" s="4" t="s">
        <v>248</v>
      </c>
      <c r="C84" s="4" t="s">
        <v>247</v>
      </c>
      <c r="D84" s="21" t="s">
        <v>498</v>
      </c>
      <c r="E84" s="341" t="e">
        <f>INDEX('PY1 Data(H)'!$A$1:$CZ$231,MATCH('Unit Data from Audit Worksheet'!$A84,'PY1 Data(H)'!$A$1:$A$231,0),MATCH('Unit Data from Audit Worksheet'!$D$2,'PY1 Data(H)'!$A$1:$CZ$1,0))</f>
        <v>#N/A</v>
      </c>
      <c r="F84" s="899">
        <v>0</v>
      </c>
      <c r="G84" s="674">
        <f>IF(F84&lt;0,"Error: Enter as positive.",)</f>
        <v>0</v>
      </c>
      <c r="H84" s="17"/>
      <c r="I84" s="72"/>
      <c r="J84"/>
    </row>
    <row r="85" spans="1:122" ht="19.2" customHeight="1" x14ac:dyDescent="0.3">
      <c r="A85" s="100"/>
      <c r="B85" s="456" t="s">
        <v>499</v>
      </c>
      <c r="C85" s="456"/>
      <c r="D85" s="437"/>
      <c r="E85" s="437"/>
      <c r="F85" s="768"/>
      <c r="G85" s="453"/>
      <c r="H85" s="17"/>
      <c r="I85" s="72"/>
      <c r="J85"/>
    </row>
    <row r="86" spans="1:122" ht="19.2" customHeight="1" x14ac:dyDescent="0.3">
      <c r="A86" s="100"/>
      <c r="B86" s="456" t="s">
        <v>20</v>
      </c>
      <c r="C86" s="456"/>
      <c r="D86" s="450"/>
      <c r="E86" s="435"/>
      <c r="F86" s="769"/>
      <c r="G86" s="454"/>
      <c r="H86" s="17"/>
      <c r="I86" s="72"/>
      <c r="J86"/>
    </row>
    <row r="87" spans="1:122" ht="19.2" customHeight="1" x14ac:dyDescent="0.3">
      <c r="A87" s="100"/>
      <c r="B87" s="456" t="s">
        <v>18</v>
      </c>
      <c r="C87" s="456"/>
      <c r="D87" s="450"/>
      <c r="E87" s="435"/>
      <c r="F87" s="769"/>
      <c r="G87" s="454"/>
      <c r="H87" s="382"/>
      <c r="I87" s="72"/>
      <c r="J87"/>
    </row>
    <row r="88" spans="1:122" ht="104.4" customHeight="1" x14ac:dyDescent="0.3">
      <c r="A88" s="100">
        <v>596</v>
      </c>
      <c r="B88" s="343" t="s">
        <v>52</v>
      </c>
      <c r="C88" s="253"/>
      <c r="D88" s="340" t="s">
        <v>1328</v>
      </c>
      <c r="E88" s="341" t="e">
        <f>INDEX('PY1 Data(H)'!$A$1:$CZ$231,MATCH('Unit Data from Audit Worksheet'!$A88,'PY1 Data(H)'!$A$1:$A$231,0),MATCH('Unit Data from Audit Worksheet'!$D$2,'PY1 Data(H)'!$A$1:$CZ$1,0))</f>
        <v>#N/A</v>
      </c>
      <c r="F88" s="766"/>
      <c r="G88" s="801" t="s">
        <v>1642</v>
      </c>
      <c r="H88" s="382"/>
      <c r="I88" s="72"/>
      <c r="J88"/>
    </row>
    <row r="89" spans="1:122" ht="94.8" customHeight="1" x14ac:dyDescent="0.3">
      <c r="A89" s="100">
        <v>80</v>
      </c>
      <c r="B89" s="806" t="s">
        <v>1650</v>
      </c>
      <c r="C89" s="4" t="s">
        <v>500</v>
      </c>
      <c r="D89" s="21" t="s">
        <v>501</v>
      </c>
      <c r="E89" s="341" t="e">
        <f>INDEX('PY1 Data(H)'!$A$1:$CZ$231,MATCH('Unit Data from Audit Worksheet'!$A89,'PY1 Data(H)'!$A$1:$A$231,0),MATCH('Unit Data from Audit Worksheet'!$D$2,'PY1 Data(H)'!$A$1:$CZ$1,0))</f>
        <v>#N/A</v>
      </c>
      <c r="F89" s="899">
        <v>0</v>
      </c>
      <c r="G89" s="802" t="e">
        <f>INDEX('PY1 Data(H)'!$A$1:$CZ$234,MATCH('PY1 Data(H)'!$A219,'PY1 Data(H)'!$A$1:$A$234,0),MATCH('Unit Data from Audit Worksheet'!$D$2,'PY1 Data(H)'!$A$1:$CZ$1,0))</f>
        <v>#N/A</v>
      </c>
      <c r="H89" s="383"/>
      <c r="I89" s="72"/>
      <c r="J89"/>
    </row>
    <row r="90" spans="1:122" ht="63.75" customHeight="1" x14ac:dyDescent="0.3">
      <c r="A90" s="100">
        <v>81</v>
      </c>
      <c r="B90" s="4" t="s">
        <v>56</v>
      </c>
      <c r="C90" s="4" t="s">
        <v>500</v>
      </c>
      <c r="D90" s="21" t="s">
        <v>502</v>
      </c>
      <c r="E90" s="341" t="e">
        <f>INDEX('PY1 Data(H)'!$A$1:$CZ$231,MATCH('Unit Data from Audit Worksheet'!$A90,'PY1 Data(H)'!$A$1:$A$231,0),MATCH('Unit Data from Audit Worksheet'!$D$2,'PY1 Data(H)'!$A$1:$CZ$1,0))</f>
        <v>#N/A</v>
      </c>
      <c r="F90" s="766">
        <v>0</v>
      </c>
      <c r="G90" s="379"/>
      <c r="H90" s="17"/>
      <c r="I90" s="72"/>
      <c r="J90"/>
    </row>
    <row r="91" spans="1:122" ht="84" customHeight="1" x14ac:dyDescent="0.3">
      <c r="A91" s="100">
        <v>579</v>
      </c>
      <c r="B91" s="805" t="s">
        <v>1651</v>
      </c>
      <c r="C91" s="343" t="s">
        <v>500</v>
      </c>
      <c r="D91" s="428" t="s">
        <v>503</v>
      </c>
      <c r="E91" s="341" t="e">
        <f>INDEX('PY1 Data(H)'!$A$1:$CZ$231,MATCH('Unit Data from Audit Worksheet'!$A91,'PY1 Data(H)'!$A$1:$A$231,0),MATCH('Unit Data from Audit Worksheet'!$D$2,'PY1 Data(H)'!$A$1:$CZ$1,0))</f>
        <v>#N/A</v>
      </c>
      <c r="F91" s="766">
        <v>0</v>
      </c>
      <c r="G91" s="372"/>
      <c r="H91" s="17"/>
      <c r="I91" s="373"/>
      <c r="J91"/>
    </row>
    <row r="92" spans="1:122" ht="64.2" customHeight="1" x14ac:dyDescent="0.3">
      <c r="A92" s="100">
        <v>510</v>
      </c>
      <c r="B92" s="806" t="s">
        <v>1650</v>
      </c>
      <c r="C92" s="4" t="s">
        <v>500</v>
      </c>
      <c r="D92" s="25" t="s">
        <v>243</v>
      </c>
      <c r="E92" s="341" t="e">
        <f>INDEX('PY1 Data(H)'!$A$1:$CZ$231,MATCH('Unit Data from Audit Worksheet'!$A92,'PY1 Data(H)'!$A$1:$A$231,0),MATCH('Unit Data from Audit Worksheet'!$D$2,'PY1 Data(H)'!$A$1:$CZ$1,0))</f>
        <v>#N/A</v>
      </c>
      <c r="F92" s="766">
        <v>0</v>
      </c>
      <c r="G92" s="379"/>
      <c r="H92" s="17"/>
      <c r="I92" s="72"/>
      <c r="J92"/>
    </row>
    <row r="93" spans="1:122" ht="68.25" customHeight="1" x14ac:dyDescent="0.3">
      <c r="A93" s="179">
        <v>654</v>
      </c>
      <c r="B93" s="808" t="s">
        <v>1652</v>
      </c>
      <c r="C93" s="429" t="s">
        <v>500</v>
      </c>
      <c r="D93" s="201" t="s">
        <v>504</v>
      </c>
      <c r="E93" s="341" t="e">
        <f>INDEX('PY1 Data(H)'!$A$1:$CZ$231,MATCH('Unit Data from Audit Worksheet'!$A93,'PY1 Data(H)'!$A$1:$A$231,0),MATCH('Unit Data from Audit Worksheet'!$D$2,'PY1 Data(H)'!$A$1:$CZ$1,0))</f>
        <v>#N/A</v>
      </c>
      <c r="F93" s="766">
        <v>0</v>
      </c>
      <c r="G93" s="372">
        <f>IF((F89+F90+F92)&gt;F93,"Error: Please review components of current assets above.  Account numbers (80+81+510)&gt;654",)</f>
        <v>0</v>
      </c>
      <c r="H93" s="17"/>
      <c r="I93" s="72"/>
      <c r="J93"/>
    </row>
    <row r="94" spans="1:122" ht="75.75" customHeight="1" x14ac:dyDescent="0.3">
      <c r="A94" s="179">
        <v>655</v>
      </c>
      <c r="B94" s="808" t="s">
        <v>1652</v>
      </c>
      <c r="C94" s="429" t="s">
        <v>500</v>
      </c>
      <c r="D94" s="181" t="s">
        <v>366</v>
      </c>
      <c r="E94" s="341" t="e">
        <f>INDEX('PY1 Data(H)'!$A$1:$CZ$231,MATCH('Unit Data from Audit Worksheet'!$A94,'PY1 Data(H)'!$A$1:$A$231,0),MATCH('Unit Data from Audit Worksheet'!$D$2,'PY1 Data(H)'!$A$1:$CZ$1,0))</f>
        <v>#N/A</v>
      </c>
      <c r="F94" s="766">
        <v>0</v>
      </c>
      <c r="G94" s="372"/>
      <c r="H94" s="17"/>
      <c r="I94" s="72"/>
      <c r="J94"/>
    </row>
    <row r="95" spans="1:122" ht="48" customHeight="1" x14ac:dyDescent="0.3">
      <c r="A95" s="100">
        <v>381</v>
      </c>
      <c r="B95" s="4" t="s">
        <v>32</v>
      </c>
      <c r="C95" s="4" t="s">
        <v>500</v>
      </c>
      <c r="D95" s="98" t="s">
        <v>107</v>
      </c>
      <c r="E95" s="341" t="e">
        <f>INDEX('PY1 Data(H)'!$A$1:$CZ$231,MATCH('Unit Data from Audit Worksheet'!$A95,'PY1 Data(H)'!$A$1:$A$231,0),MATCH('Unit Data from Audit Worksheet'!$D$2,'PY1 Data(H)'!$A$1:$CZ$1,0))</f>
        <v>#N/A</v>
      </c>
      <c r="F95" s="766">
        <v>0</v>
      </c>
      <c r="G95" s="372">
        <f>IF(F93&gt;F95,"Error: Please review components of current assets above. Account numbers 654&gt;381",)</f>
        <v>0</v>
      </c>
      <c r="H95" s="17"/>
      <c r="I95" s="72"/>
      <c r="J95"/>
    </row>
    <row r="96" spans="1:122" ht="63" customHeight="1" x14ac:dyDescent="0.3">
      <c r="A96" s="100">
        <v>578</v>
      </c>
      <c r="B96" s="806" t="s">
        <v>1651</v>
      </c>
      <c r="C96" s="343" t="s">
        <v>500</v>
      </c>
      <c r="D96" s="428" t="s">
        <v>505</v>
      </c>
      <c r="E96" s="341" t="e">
        <f>INDEX('PY1 Data(H)'!$A$1:$CZ$231,MATCH('Unit Data from Audit Worksheet'!$A96,'PY1 Data(H)'!$A$1:$A$231,0),MATCH('Unit Data from Audit Worksheet'!$D$2,'PY1 Data(H)'!$A$1:$CZ$1,0))</f>
        <v>#N/A</v>
      </c>
      <c r="F96" s="766">
        <v>0</v>
      </c>
      <c r="G96" s="372"/>
      <c r="H96" s="373"/>
      <c r="I96" s="374"/>
      <c r="J96"/>
    </row>
    <row r="97" spans="1:122" ht="120.6" customHeight="1" x14ac:dyDescent="0.3">
      <c r="A97" s="180">
        <v>633</v>
      </c>
      <c r="B97" s="808" t="s">
        <v>1653</v>
      </c>
      <c r="C97" s="429" t="s">
        <v>311</v>
      </c>
      <c r="D97" s="201" t="s">
        <v>550</v>
      </c>
      <c r="E97" s="341" t="e">
        <f>INDEX('PY1 Data(H)'!$A$1:$CZ$231,MATCH('Unit Data from Audit Worksheet'!$A97,'PY1 Data(H)'!$A$1:$A$231,0),MATCH('Unit Data from Audit Worksheet'!$D$2,'PY1 Data(H)'!$A$1:$CZ$1,0))</f>
        <v>#N/A</v>
      </c>
      <c r="F97" s="766">
        <v>0</v>
      </c>
      <c r="G97" s="384" t="str">
        <f>IF(F97&gt;=(F98+F99+F100+F101+F102+F103),"","Account 633 is less than the total sum of accounts 634 through 638 + 383")</f>
        <v/>
      </c>
      <c r="H97" s="388"/>
      <c r="I97" s="377"/>
      <c r="J97"/>
    </row>
    <row r="98" spans="1:122" ht="109.5" customHeight="1" x14ac:dyDescent="0.3">
      <c r="A98" s="179">
        <v>634</v>
      </c>
      <c r="B98" s="807" t="s">
        <v>1654</v>
      </c>
      <c r="C98" s="429" t="s">
        <v>311</v>
      </c>
      <c r="D98" s="201" t="s">
        <v>552</v>
      </c>
      <c r="E98" s="341" t="e">
        <f>INDEX('PY1 Data(H)'!$A$1:$CZ$231,MATCH('Unit Data from Audit Worksheet'!$A98,'PY1 Data(H)'!$A$1:$A$231,0),MATCH('Unit Data from Audit Worksheet'!$D$2,'PY1 Data(H)'!$A$1:$CZ$1,0))</f>
        <v>#N/A</v>
      </c>
      <c r="F98" s="766">
        <v>0</v>
      </c>
      <c r="G98" s="385">
        <f>IF(F98&gt;F97,"Please review account numbers 634&gt;633",)</f>
        <v>0</v>
      </c>
      <c r="H98" s="377"/>
      <c r="I98" s="377"/>
      <c r="J98"/>
    </row>
    <row r="99" spans="1:122" ht="130.5" customHeight="1" x14ac:dyDescent="0.3">
      <c r="A99" s="179">
        <v>635</v>
      </c>
      <c r="B99" s="807" t="s">
        <v>1654</v>
      </c>
      <c r="C99" s="429" t="s">
        <v>311</v>
      </c>
      <c r="D99" s="201" t="s">
        <v>551</v>
      </c>
      <c r="E99" s="341" t="e">
        <f>INDEX('PY1 Data(H)'!$A$1:$CZ$231,MATCH('Unit Data from Audit Worksheet'!$A99,'PY1 Data(H)'!$A$1:$A$231,0),MATCH('Unit Data from Audit Worksheet'!$D$2,'PY1 Data(H)'!$A$1:$CZ$1,0))</f>
        <v>#N/A</v>
      </c>
      <c r="F99" s="766">
        <v>0</v>
      </c>
      <c r="G99" s="385">
        <f>IF(F99&gt;F97,"Please review account numbers 635&gt;633",)</f>
        <v>0</v>
      </c>
      <c r="H99" s="377"/>
      <c r="I99" s="377"/>
      <c r="J99"/>
    </row>
    <row r="100" spans="1:122" ht="106.5" customHeight="1" x14ac:dyDescent="0.3">
      <c r="A100" s="179">
        <v>636</v>
      </c>
      <c r="B100" s="807" t="s">
        <v>1654</v>
      </c>
      <c r="C100" s="429" t="s">
        <v>311</v>
      </c>
      <c r="D100" s="201" t="s">
        <v>556</v>
      </c>
      <c r="E100" s="341" t="e">
        <f>INDEX('PY1 Data(H)'!$A$1:$CZ$231,MATCH('Unit Data from Audit Worksheet'!$A100,'PY1 Data(H)'!$A$1:$A$231,0),MATCH('Unit Data from Audit Worksheet'!$D$2,'PY1 Data(H)'!$A$1:$CZ$1,0))</f>
        <v>#N/A</v>
      </c>
      <c r="F100" s="766">
        <v>0</v>
      </c>
      <c r="G100" s="385">
        <f>IF(F100&gt;F97,"Please review account numbers 636&gt;633",)</f>
        <v>0</v>
      </c>
      <c r="H100" s="377"/>
      <c r="I100" s="377"/>
      <c r="J100"/>
    </row>
    <row r="101" spans="1:122" ht="80.25" customHeight="1" x14ac:dyDescent="0.3">
      <c r="A101" s="179">
        <v>637</v>
      </c>
      <c r="B101" s="807" t="s">
        <v>1654</v>
      </c>
      <c r="C101" s="429" t="s">
        <v>311</v>
      </c>
      <c r="D101" s="201" t="s">
        <v>555</v>
      </c>
      <c r="E101" s="341" t="e">
        <f>INDEX('PY1 Data(H)'!$A$1:$CZ$231,MATCH('Unit Data from Audit Worksheet'!$A101,'PY1 Data(H)'!$A$1:$A$231,0),MATCH('Unit Data from Audit Worksheet'!$D$2,'PY1 Data(H)'!$A$1:$CZ$1,0))</f>
        <v>#N/A</v>
      </c>
      <c r="F101" s="766">
        <v>0</v>
      </c>
      <c r="G101" s="385">
        <f>IF(F101&gt;F97,"Please review account numbers 637&gt;633",)</f>
        <v>0</v>
      </c>
      <c r="H101" s="377"/>
      <c r="I101" s="377"/>
      <c r="J101"/>
    </row>
    <row r="102" spans="1:122" ht="110.25" customHeight="1" x14ac:dyDescent="0.3">
      <c r="A102" s="179">
        <v>638</v>
      </c>
      <c r="B102" s="807" t="s">
        <v>1654</v>
      </c>
      <c r="C102" s="429" t="s">
        <v>311</v>
      </c>
      <c r="D102" s="201" t="s">
        <v>554</v>
      </c>
      <c r="E102" s="341" t="e">
        <f>INDEX('PY1 Data(H)'!$A$1:$CZ$231,MATCH('Unit Data from Audit Worksheet'!$A102,'PY1 Data(H)'!$A$1:$A$231,0),MATCH('Unit Data from Audit Worksheet'!$D$2,'PY1 Data(H)'!$A$1:$CZ$1,0))</f>
        <v>#N/A</v>
      </c>
      <c r="F102" s="766">
        <v>0</v>
      </c>
      <c r="G102" s="385">
        <f>IF(F102&gt;F97,"Please review account numbers 638&gt;633",)</f>
        <v>0</v>
      </c>
      <c r="H102" s="377"/>
      <c r="I102" s="377"/>
      <c r="J102"/>
    </row>
    <row r="103" spans="1:122" ht="93.75" customHeight="1" x14ac:dyDescent="0.3">
      <c r="A103" s="100">
        <v>383</v>
      </c>
      <c r="B103" s="4" t="s">
        <v>56</v>
      </c>
      <c r="C103" s="4" t="s">
        <v>500</v>
      </c>
      <c r="D103" s="25" t="s">
        <v>553</v>
      </c>
      <c r="E103" s="341" t="e">
        <f>INDEX('PY1 Data(H)'!$A$1:$CZ$231,MATCH('Unit Data from Audit Worksheet'!$A103,'PY1 Data(H)'!$A$1:$A$231,0),MATCH('Unit Data from Audit Worksheet'!$D$2,'PY1 Data(H)'!$A$1:$CZ$1,0))</f>
        <v>#N/A</v>
      </c>
      <c r="F103" s="766">
        <v>0</v>
      </c>
      <c r="G103" s="386">
        <f>IF(F103&gt;F97,"Error: Please review components of current liabilities above. Account number 383&gt;633",)</f>
        <v>0</v>
      </c>
      <c r="H103" s="387"/>
      <c r="I103" s="72"/>
      <c r="J103"/>
    </row>
    <row r="104" spans="1:122" ht="61.5" customHeight="1" x14ac:dyDescent="0.3">
      <c r="A104" s="100">
        <v>349</v>
      </c>
      <c r="B104" s="4" t="s">
        <v>56</v>
      </c>
      <c r="C104" s="4" t="s">
        <v>500</v>
      </c>
      <c r="D104" s="99" t="s">
        <v>130</v>
      </c>
      <c r="E104" s="341" t="e">
        <f>INDEX('PY1 Data(H)'!$A$1:$CZ$231,MATCH('Unit Data from Audit Worksheet'!$A104,'PY1 Data(H)'!$A$1:$A$231,0),MATCH('Unit Data from Audit Worksheet'!$D$2,'PY1 Data(H)'!$A$1:$CZ$1,0))</f>
        <v>#N/A</v>
      </c>
      <c r="F104" s="766">
        <v>0</v>
      </c>
      <c r="G104" s="372" t="str">
        <f>IF(F97&gt;F104,"Error: Please review accts 633&gt;349","")</f>
        <v/>
      </c>
      <c r="H104" s="17"/>
      <c r="I104" s="72"/>
      <c r="J104"/>
    </row>
    <row r="105" spans="1:122" ht="105" customHeight="1" x14ac:dyDescent="0.3">
      <c r="A105" s="100">
        <v>375</v>
      </c>
      <c r="B105" s="4" t="s">
        <v>56</v>
      </c>
      <c r="C105" s="4" t="s">
        <v>500</v>
      </c>
      <c r="D105" s="352" t="s">
        <v>506</v>
      </c>
      <c r="E105" s="341" t="e">
        <f>INDEX('PY1 Data(H)'!$A$1:$CZ$231,MATCH('Unit Data from Audit Worksheet'!$A105,'PY1 Data(H)'!$A$1:$A$231,0),MATCH('Unit Data from Audit Worksheet'!$D$2,'PY1 Data(H)'!$A$1:$CZ$1,0))</f>
        <v>#N/A</v>
      </c>
      <c r="F105" s="766">
        <v>0</v>
      </c>
      <c r="G105" s="379"/>
      <c r="H105" s="17"/>
      <c r="I105" s="72"/>
      <c r="J105"/>
    </row>
    <row r="106" spans="1:122" ht="67.5" customHeight="1" x14ac:dyDescent="0.3">
      <c r="A106" s="100">
        <v>83</v>
      </c>
      <c r="B106" s="4" t="s">
        <v>55</v>
      </c>
      <c r="C106" s="4" t="s">
        <v>500</v>
      </c>
      <c r="D106" s="99" t="s">
        <v>131</v>
      </c>
      <c r="E106" s="341" t="e">
        <f>INDEX('PY1 Data(H)'!$A$1:$CZ$231,MATCH('Unit Data from Audit Worksheet'!$A106,'PY1 Data(H)'!$A$1:$A$231,0),MATCH('Unit Data from Audit Worksheet'!$D$2,'PY1 Data(H)'!$A$1:$CZ$1,0))</f>
        <v>#N/A</v>
      </c>
      <c r="F106" s="766">
        <v>0</v>
      </c>
      <c r="G106" s="372">
        <f>IF(F95-F104-F106=0,,"Error: Total assets less total liabilities do not equal total net assets.  Account numbers 381-349-83=0  The amount of the formula is in the cell to the right")</f>
        <v>0</v>
      </c>
      <c r="H106" s="375">
        <f>F95-F104-F106</f>
        <v>0</v>
      </c>
      <c r="I106" s="72"/>
      <c r="J106"/>
    </row>
    <row r="107" spans="1:122" ht="26.25" customHeight="1" x14ac:dyDescent="0.3">
      <c r="A107" s="100"/>
      <c r="B107" s="447" t="s">
        <v>151</v>
      </c>
      <c r="C107" s="448"/>
      <c r="D107" s="457"/>
      <c r="E107" s="443"/>
      <c r="F107" s="770"/>
      <c r="G107" s="446"/>
      <c r="H107" s="17"/>
      <c r="I107" s="72"/>
      <c r="J107"/>
    </row>
    <row r="108" spans="1:122" s="18" customFormat="1" ht="99.75" customHeight="1" x14ac:dyDescent="0.3">
      <c r="A108" s="100"/>
      <c r="B108" s="945" t="s">
        <v>565</v>
      </c>
      <c r="C108" s="945"/>
      <c r="D108" s="945"/>
      <c r="E108" s="437"/>
      <c r="F108" s="771"/>
      <c r="G108" s="453"/>
      <c r="H108" s="17"/>
      <c r="I108" s="72"/>
      <c r="J108"/>
      <c r="L108"/>
      <c r="N108" s="176"/>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row>
    <row r="109" spans="1:122" ht="87" customHeight="1" x14ac:dyDescent="0.3">
      <c r="A109" s="100">
        <v>88</v>
      </c>
      <c r="B109" s="4" t="s">
        <v>55</v>
      </c>
      <c r="C109" s="4" t="s">
        <v>507</v>
      </c>
      <c r="D109" s="21" t="s">
        <v>508</v>
      </c>
      <c r="E109" s="341" t="e">
        <f>INDEX('PY1 Data(H)'!$A$1:$CZ$231,MATCH('Unit Data from Audit Worksheet'!$A109,'PY1 Data(H)'!$A$1:$A$231,0),MATCH('Unit Data from Audit Worksheet'!$D$2,'PY1 Data(H)'!$A$1:$CZ$1,0))</f>
        <v>#N/A</v>
      </c>
      <c r="F109" s="897">
        <v>0</v>
      </c>
      <c r="G109" s="379"/>
      <c r="H109" s="17"/>
      <c r="I109" s="72"/>
      <c r="J109"/>
    </row>
    <row r="110" spans="1:122" ht="94.5" customHeight="1" x14ac:dyDescent="0.3">
      <c r="A110" s="100">
        <v>84</v>
      </c>
      <c r="B110" s="806" t="s">
        <v>1650</v>
      </c>
      <c r="C110" s="4" t="s">
        <v>507</v>
      </c>
      <c r="D110" s="25" t="s">
        <v>132</v>
      </c>
      <c r="E110" s="341" t="e">
        <f>INDEX('PY1 Data(H)'!$A$1:$CZ$231,MATCH('Unit Data from Audit Worksheet'!$A110,'PY1 Data(H)'!$A$1:$A$231,0),MATCH('Unit Data from Audit Worksheet'!$D$2,'PY1 Data(H)'!$A$1:$CZ$1,0))</f>
        <v>#N/A</v>
      </c>
      <c r="F110" s="897">
        <v>0</v>
      </c>
      <c r="G110" s="372">
        <f>IF(F110&gt;=F109,,"Error: Charges for services exceed total operating revenues. Account numbers 84&gt;=88")</f>
        <v>0</v>
      </c>
      <c r="H110" s="17"/>
      <c r="I110" s="72"/>
      <c r="J110"/>
    </row>
    <row r="111" spans="1:122" ht="90" customHeight="1" x14ac:dyDescent="0.3">
      <c r="A111" s="100">
        <v>49</v>
      </c>
      <c r="B111" s="806" t="s">
        <v>1650</v>
      </c>
      <c r="C111" s="4" t="s">
        <v>507</v>
      </c>
      <c r="D111" s="25" t="s">
        <v>133</v>
      </c>
      <c r="E111" s="341" t="e">
        <f>INDEX('PY1 Data(H)'!$A$1:$CZ$231,MATCH('Unit Data from Audit Worksheet'!$A111,'PY1 Data(H)'!$A$1:$A$231,0),MATCH('Unit Data from Audit Worksheet'!$D$2,'PY1 Data(H)'!$A$1:$CZ$1,0))</f>
        <v>#N/A</v>
      </c>
      <c r="F111" s="897">
        <v>0</v>
      </c>
      <c r="G111" s="372">
        <f>IF(F111&lt;0,"Error: Enter as positive.",)</f>
        <v>0</v>
      </c>
      <c r="H111" s="17"/>
      <c r="I111" s="72"/>
      <c r="J111"/>
    </row>
    <row r="112" spans="1:122" ht="106.5" customHeight="1" x14ac:dyDescent="0.3">
      <c r="A112" s="100">
        <v>85</v>
      </c>
      <c r="B112" s="806" t="s">
        <v>1650</v>
      </c>
      <c r="C112" s="4" t="s">
        <v>507</v>
      </c>
      <c r="D112" s="25" t="s">
        <v>134</v>
      </c>
      <c r="E112" s="341" t="e">
        <f>INDEX('PY1 Data(H)'!$A$1:$CZ$231,MATCH('Unit Data from Audit Worksheet'!$A112,'PY1 Data(H)'!$A$1:$A$231,0),MATCH('Unit Data from Audit Worksheet'!$D$2,'PY1 Data(H)'!$A$1:$CZ$1,0))</f>
        <v>#N/A</v>
      </c>
      <c r="F112" s="897">
        <v>0</v>
      </c>
      <c r="G112" s="372">
        <f>IF(F112&lt;0,"Error: Enter as positive.",)</f>
        <v>0</v>
      </c>
      <c r="H112" s="17"/>
      <c r="I112" s="72"/>
      <c r="J112"/>
    </row>
    <row r="113" spans="1:122" ht="88.5" customHeight="1" x14ac:dyDescent="0.3">
      <c r="A113" s="100">
        <v>89</v>
      </c>
      <c r="B113" s="806" t="s">
        <v>1650</v>
      </c>
      <c r="C113" s="4" t="s">
        <v>507</v>
      </c>
      <c r="D113" s="25" t="s">
        <v>135</v>
      </c>
      <c r="E113" s="341" t="e">
        <f>INDEX('PY1 Data(H)'!$A$1:$CZ$231,MATCH('Unit Data from Audit Worksheet'!$A113,'PY1 Data(H)'!$A$1:$A$231,0),MATCH('Unit Data from Audit Worksheet'!$D$2,'PY1 Data(H)'!$A$1:$CZ$1,0))</f>
        <v>#N/A</v>
      </c>
      <c r="F113" s="897">
        <v>0</v>
      </c>
      <c r="G113" s="372">
        <f>IF(F113&lt;0,"Error: Enter as positive.",)</f>
        <v>0</v>
      </c>
      <c r="H113" s="17"/>
      <c r="I113" s="72"/>
      <c r="J113"/>
    </row>
    <row r="114" spans="1:122" ht="100.5" customHeight="1" x14ac:dyDescent="0.3">
      <c r="A114" s="100">
        <v>350</v>
      </c>
      <c r="B114" s="4" t="s">
        <v>51</v>
      </c>
      <c r="C114" s="4" t="s">
        <v>507</v>
      </c>
      <c r="D114" s="21" t="s">
        <v>509</v>
      </c>
      <c r="E114" s="341" t="e">
        <f>INDEX('PY1 Data(H)'!$A$1:$CZ$231,MATCH('Unit Data from Audit Worksheet'!$A114,'PY1 Data(H)'!$A$1:$A$231,0),MATCH('Unit Data from Audit Worksheet'!$D$2,'PY1 Data(H)'!$A$1:$CZ$1,0))</f>
        <v>#N/A</v>
      </c>
      <c r="F114" s="897">
        <v>0</v>
      </c>
      <c r="G114" s="379"/>
      <c r="H114" s="17"/>
      <c r="I114" s="72"/>
      <c r="J114"/>
    </row>
    <row r="115" spans="1:122" ht="66" customHeight="1" x14ac:dyDescent="0.3">
      <c r="A115" s="100">
        <v>351</v>
      </c>
      <c r="B115" s="806" t="s">
        <v>1650</v>
      </c>
      <c r="C115" s="4" t="s">
        <v>507</v>
      </c>
      <c r="D115" s="21" t="s">
        <v>510</v>
      </c>
      <c r="E115" s="341" t="e">
        <f>INDEX('PY1 Data(H)'!$A$1:$CZ$231,MATCH('Unit Data from Audit Worksheet'!$A115,'PY1 Data(H)'!$A$1:$A$231,0),MATCH('Unit Data from Audit Worksheet'!$D$2,'PY1 Data(H)'!$A$1:$CZ$1,0))</f>
        <v>#N/A</v>
      </c>
      <c r="F115" s="897">
        <v>0</v>
      </c>
      <c r="G115" s="372">
        <f t="shared" ref="G115:G120" si="2">IF(F115&lt;0,"Error: Enter as positive.",)</f>
        <v>0</v>
      </c>
      <c r="H115" s="17"/>
      <c r="I115" s="72"/>
      <c r="J115"/>
    </row>
    <row r="116" spans="1:122" ht="93.75" customHeight="1" x14ac:dyDescent="0.3">
      <c r="A116" s="100">
        <v>191</v>
      </c>
      <c r="B116" s="4" t="s">
        <v>52</v>
      </c>
      <c r="C116" s="4" t="s">
        <v>507</v>
      </c>
      <c r="D116" s="21" t="s">
        <v>511</v>
      </c>
      <c r="E116" s="341" t="e">
        <f>INDEX('PY1 Data(H)'!$A$1:$CZ$231,MATCH('Unit Data from Audit Worksheet'!$A116,'PY1 Data(H)'!$A$1:$A$231,0),MATCH('Unit Data from Audit Worksheet'!$D$2,'PY1 Data(H)'!$A$1:$CZ$1,0))</f>
        <v>#N/A</v>
      </c>
      <c r="F116" s="897">
        <v>0</v>
      </c>
      <c r="G116" s="372"/>
      <c r="H116" s="17"/>
      <c r="I116" s="72"/>
      <c r="J116"/>
    </row>
    <row r="117" spans="1:122" ht="93.75" customHeight="1" x14ac:dyDescent="0.3">
      <c r="A117" s="100">
        <v>1053</v>
      </c>
      <c r="B117" s="796" t="s">
        <v>401</v>
      </c>
      <c r="C117" s="797" t="s">
        <v>778</v>
      </c>
      <c r="D117" s="799" t="s">
        <v>1271</v>
      </c>
      <c r="E117" s="341" t="e">
        <f>INDEX('PY1 Data(H)'!$A$1:$CZ$231,MATCH('Unit Data from Audit Worksheet'!$A117,'PY1 Data(H)'!$A$1:$A$231,0),MATCH('Unit Data from Audit Worksheet'!$D$2,'PY1 Data(H)'!$A$1:$CZ$1,0))</f>
        <v>#N/A</v>
      </c>
      <c r="F117" s="897">
        <v>0</v>
      </c>
      <c r="G117" s="372"/>
      <c r="H117" s="17"/>
      <c r="I117" s="72"/>
      <c r="J117" s="173"/>
      <c r="L117" s="173"/>
      <c r="Y117" s="173"/>
      <c r="Z117" s="173"/>
      <c r="AA117" s="173"/>
      <c r="AB117" s="173"/>
      <c r="AC117" s="173"/>
      <c r="AD117" s="173"/>
      <c r="AE117" s="173"/>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BY117" s="173"/>
      <c r="BZ117" s="173"/>
      <c r="CA117" s="173"/>
      <c r="CB117" s="173"/>
      <c r="CC117" s="173"/>
      <c r="CD117" s="173"/>
      <c r="CE117" s="173"/>
      <c r="CF117" s="173"/>
      <c r="CG117" s="173"/>
      <c r="CH117" s="173"/>
      <c r="CI117" s="173"/>
      <c r="CJ117" s="173"/>
      <c r="CK117" s="173"/>
      <c r="CL117" s="173"/>
      <c r="CM117" s="173"/>
      <c r="CN117" s="173"/>
      <c r="CO117" s="173"/>
      <c r="CP117" s="173"/>
      <c r="CQ117" s="173"/>
      <c r="CR117" s="173"/>
      <c r="CS117" s="173"/>
      <c r="CT117" s="173"/>
      <c r="CU117" s="173"/>
      <c r="CV117" s="173"/>
      <c r="CW117" s="173"/>
      <c r="CX117" s="173"/>
      <c r="CY117" s="173"/>
      <c r="CZ117" s="173"/>
      <c r="DA117" s="173"/>
      <c r="DB117" s="173"/>
      <c r="DC117" s="173"/>
      <c r="DD117" s="173"/>
      <c r="DE117" s="173"/>
      <c r="DF117" s="173"/>
      <c r="DG117" s="173"/>
      <c r="DH117" s="173"/>
      <c r="DI117" s="173"/>
      <c r="DJ117" s="173"/>
      <c r="DK117" s="173"/>
      <c r="DL117" s="173"/>
      <c r="DM117" s="173"/>
      <c r="DN117" s="173"/>
      <c r="DO117" s="173"/>
      <c r="DP117" s="173"/>
      <c r="DQ117" s="173"/>
      <c r="DR117" s="173"/>
    </row>
    <row r="118" spans="1:122" ht="98.25" customHeight="1" x14ac:dyDescent="0.3">
      <c r="A118" s="100">
        <v>352</v>
      </c>
      <c r="B118" s="4" t="s">
        <v>60</v>
      </c>
      <c r="C118" s="4" t="s">
        <v>507</v>
      </c>
      <c r="D118" s="25" t="s">
        <v>447</v>
      </c>
      <c r="E118" s="341" t="e">
        <f>INDEX('PY1 Data(H)'!$A$1:$CZ$231,MATCH('Unit Data from Audit Worksheet'!$A118,'PY1 Data(H)'!$A$1:$A$231,0),MATCH('Unit Data from Audit Worksheet'!$D$2,'PY1 Data(H)'!$A$1:$CZ$1,0))</f>
        <v>#N/A</v>
      </c>
      <c r="F118" s="897">
        <v>0</v>
      </c>
      <c r="G118" s="372">
        <f t="shared" si="2"/>
        <v>0</v>
      </c>
      <c r="H118" s="353"/>
      <c r="I118" s="17"/>
      <c r="J118"/>
    </row>
    <row r="119" spans="1:122" ht="91.5" customHeight="1" x14ac:dyDescent="0.3">
      <c r="A119" s="100">
        <v>986</v>
      </c>
      <c r="B119" s="806" t="s">
        <v>1655</v>
      </c>
      <c r="C119" s="343" t="s">
        <v>507</v>
      </c>
      <c r="D119" s="25" t="s">
        <v>407</v>
      </c>
      <c r="E119" s="341" t="e">
        <f>INDEX('PY1 Data(H)'!$A$1:$CZ$231,MATCH('Unit Data from Audit Worksheet'!$A119,'PY1 Data(H)'!$A$1:$A$231,0),MATCH('Unit Data from Audit Worksheet'!$D$2,'PY1 Data(H)'!$A$1:$CZ$1,0))</f>
        <v>#N/A</v>
      </c>
      <c r="F119" s="897">
        <v>0</v>
      </c>
      <c r="G119" s="372">
        <f t="shared" si="2"/>
        <v>0</v>
      </c>
      <c r="H119" s="17"/>
      <c r="I119" s="72"/>
      <c r="J119"/>
    </row>
    <row r="120" spans="1:122" ht="90" customHeight="1" x14ac:dyDescent="0.3">
      <c r="A120" s="100">
        <v>353</v>
      </c>
      <c r="B120" s="4" t="s">
        <v>60</v>
      </c>
      <c r="C120" s="4" t="s">
        <v>507</v>
      </c>
      <c r="D120" s="25" t="s">
        <v>120</v>
      </c>
      <c r="E120" s="341" t="e">
        <f>INDEX('PY1 Data(H)'!$A$1:$CZ$231,MATCH('Unit Data from Audit Worksheet'!$A120,'PY1 Data(H)'!$A$1:$A$231,0),MATCH('Unit Data from Audit Worksheet'!$D$2,'PY1 Data(H)'!$A$1:$CZ$1,0))</f>
        <v>#N/A</v>
      </c>
      <c r="F120" s="897">
        <v>0</v>
      </c>
      <c r="G120" s="372">
        <f t="shared" si="2"/>
        <v>0</v>
      </c>
      <c r="H120" s="17"/>
      <c r="I120" s="72"/>
      <c r="J120"/>
    </row>
    <row r="121" spans="1:122" ht="138" customHeight="1" x14ac:dyDescent="0.3">
      <c r="A121" s="100">
        <v>50</v>
      </c>
      <c r="B121" s="4" t="s">
        <v>57</v>
      </c>
      <c r="C121" s="4" t="s">
        <v>507</v>
      </c>
      <c r="D121" s="352" t="s">
        <v>512</v>
      </c>
      <c r="E121" s="341" t="e">
        <f>INDEX('PY1 Data(H)'!$A$1:$CZ$231,MATCH('Unit Data from Audit Worksheet'!$A121,'PY1 Data(H)'!$A$1:$A$231,0),MATCH('Unit Data from Audit Worksheet'!$D$2,'PY1 Data(H)'!$A$1:$CZ$1,0))</f>
        <v>#N/A</v>
      </c>
      <c r="F121" s="897">
        <v>0</v>
      </c>
      <c r="G121" s="372">
        <f>IF(H121=0,,"Error: Total revenues less total expenses do not equal total change in net position. Account number 84-85+350-351+191+352-353-50=0  The amount of the formula is in the cell to the right")</f>
        <v>0</v>
      </c>
      <c r="H121" s="375">
        <f>F110-F112+F114-F115+F116+F118-F120-F121</f>
        <v>0</v>
      </c>
      <c r="I121" s="72"/>
      <c r="J121"/>
    </row>
    <row r="122" spans="1:122" ht="138" customHeight="1" x14ac:dyDescent="0.3">
      <c r="A122" s="100">
        <v>377</v>
      </c>
      <c r="B122" s="4" t="s">
        <v>60</v>
      </c>
      <c r="C122" s="4" t="s">
        <v>507</v>
      </c>
      <c r="D122" s="352" t="s">
        <v>513</v>
      </c>
      <c r="E122" s="341" t="e">
        <f>INDEX('PY1 Data(H)'!$A$1:$CZ$231,MATCH('Unit Data from Audit Worksheet'!$A122,'PY1 Data(H)'!$A$1:$A$231,0),MATCH('Unit Data from Audit Worksheet'!$D$2,'PY1 Data(H)'!$A$1:$CZ$1,0))</f>
        <v>#N/A</v>
      </c>
      <c r="F122" s="897">
        <v>0</v>
      </c>
      <c r="G122" s="674" t="e">
        <f>IF(F106-F121-F122=E106,,"Error: Beginning Balance does not agree with our records.  Acct #s (83-50-377)=prior year 83 The amount of the formula is in the cell to the right")</f>
        <v>#N/A</v>
      </c>
      <c r="H122" s="804" t="e">
        <f>+F106-F121-F122-E106</f>
        <v>#N/A</v>
      </c>
      <c r="I122" s="893" t="e">
        <f>IF(H122=0," ","If the out of balance is because prior years data is not populated in cell E106, disregard the error message.  Do not include prior year's balance in cell F122.")</f>
        <v>#N/A</v>
      </c>
      <c r="J122"/>
    </row>
    <row r="123" spans="1:122" ht="97.5" customHeight="1" x14ac:dyDescent="0.3">
      <c r="A123" s="100">
        <v>537</v>
      </c>
      <c r="B123" s="343" t="s">
        <v>53</v>
      </c>
      <c r="C123" s="343" t="s">
        <v>507</v>
      </c>
      <c r="D123" s="340" t="s">
        <v>1265</v>
      </c>
      <c r="E123" s="341" t="e">
        <f>INDEX('PY1 Data(H)'!$A$1:$CZ$231,MATCH('Unit Data from Audit Worksheet'!$A123,'PY1 Data(H)'!$A$1:$A$231,0),MATCH('Unit Data from Audit Worksheet'!$D$2,'PY1 Data(H)'!$A$1:$CZ$1,0))</f>
        <v>#N/A</v>
      </c>
      <c r="F123" s="897"/>
      <c r="G123" s="372"/>
      <c r="H123" s="373"/>
      <c r="I123" s="374"/>
      <c r="J123"/>
    </row>
    <row r="124" spans="1:122" ht="96.75" customHeight="1" x14ac:dyDescent="0.3">
      <c r="A124" s="100">
        <v>538</v>
      </c>
      <c r="B124" s="343" t="s">
        <v>53</v>
      </c>
      <c r="C124" s="343" t="s">
        <v>507</v>
      </c>
      <c r="D124" s="340" t="s">
        <v>1335</v>
      </c>
      <c r="E124" s="341" t="e">
        <f>INDEX('PY1 Data(H)'!$A$1:$CZ$231,MATCH('Unit Data from Audit Worksheet'!$A124,'PY1 Data(H)'!$A$1:$A$231,0),MATCH('Unit Data from Audit Worksheet'!$D$2,'PY1 Data(H)'!$A$1:$CZ$1,0))</f>
        <v>#N/A</v>
      </c>
      <c r="F124" s="897"/>
      <c r="G124" s="372"/>
      <c r="H124" s="373"/>
      <c r="I124" s="374"/>
      <c r="J124"/>
    </row>
    <row r="125" spans="1:122" ht="30.75" customHeight="1" x14ac:dyDescent="0.3">
      <c r="A125" s="100"/>
      <c r="B125" s="455" t="s">
        <v>355</v>
      </c>
      <c r="C125" s="455"/>
      <c r="D125" s="458"/>
      <c r="E125" s="443"/>
      <c r="F125" s="776"/>
      <c r="G125" s="444"/>
      <c r="H125" s="17"/>
      <c r="I125" s="72"/>
      <c r="J125"/>
    </row>
    <row r="126" spans="1:122" ht="19.2" customHeight="1" x14ac:dyDescent="0.3">
      <c r="A126" s="100"/>
      <c r="B126" s="459" t="s">
        <v>514</v>
      </c>
      <c r="C126" s="456"/>
      <c r="D126" s="437"/>
      <c r="E126" s="437"/>
      <c r="F126" s="772"/>
      <c r="G126" s="453"/>
      <c r="H126" s="17"/>
      <c r="I126" s="72"/>
      <c r="J126"/>
    </row>
    <row r="127" spans="1:122" ht="19.2" customHeight="1" x14ac:dyDescent="0.3">
      <c r="A127" s="100"/>
      <c r="B127" s="456" t="s">
        <v>515</v>
      </c>
      <c r="C127" s="456"/>
      <c r="D127" s="450"/>
      <c r="E127" s="435"/>
      <c r="F127" s="773"/>
      <c r="G127" s="454"/>
      <c r="H127" s="17"/>
      <c r="I127" s="72"/>
      <c r="J127"/>
    </row>
    <row r="128" spans="1:122" ht="19.2" customHeight="1" x14ac:dyDescent="0.3">
      <c r="A128" s="100"/>
      <c r="B128" s="456" t="s">
        <v>19</v>
      </c>
      <c r="C128" s="456"/>
      <c r="D128" s="450"/>
      <c r="E128" s="435"/>
      <c r="F128" s="773"/>
      <c r="G128" s="454"/>
      <c r="H128" s="17"/>
      <c r="I128" s="72"/>
      <c r="J128"/>
    </row>
    <row r="129" spans="1:122" ht="65.400000000000006" customHeight="1" x14ac:dyDescent="0.3">
      <c r="A129" s="100">
        <v>51</v>
      </c>
      <c r="B129" s="4" t="s">
        <v>239</v>
      </c>
      <c r="C129" s="724" t="s">
        <v>516</v>
      </c>
      <c r="D129" s="21" t="s">
        <v>517</v>
      </c>
      <c r="E129" s="341" t="e">
        <f>INDEX('PY1 Data(H)'!$A$1:$CZ$231,MATCH('Unit Data from Audit Worksheet'!$A129,'PY1 Data(H)'!$A$1:$A$231,0),MATCH('Unit Data from Audit Worksheet'!$D$2,'PY1 Data(H)'!$A$1:$CZ$1,0))</f>
        <v>#N/A</v>
      </c>
      <c r="F129" s="897">
        <v>0</v>
      </c>
      <c r="G129" s="379"/>
      <c r="H129" s="17"/>
      <c r="I129" s="72"/>
      <c r="J129"/>
    </row>
    <row r="130" spans="1:122" ht="65.400000000000006" customHeight="1" x14ac:dyDescent="0.3">
      <c r="A130" s="100">
        <v>332</v>
      </c>
      <c r="B130" s="4" t="s">
        <v>32</v>
      </c>
      <c r="C130" s="724" t="s">
        <v>516</v>
      </c>
      <c r="D130" s="21" t="s">
        <v>518</v>
      </c>
      <c r="E130" s="341" t="e">
        <f>INDEX('PY1 Data(H)'!$A$1:$CZ$231,MATCH('Unit Data from Audit Worksheet'!$A130,'PY1 Data(H)'!$A$1:$A$231,0),MATCH('Unit Data from Audit Worksheet'!$D$2,'PY1 Data(H)'!$A$1:$CZ$1,0))</f>
        <v>#N/A</v>
      </c>
      <c r="F130" s="897">
        <v>0</v>
      </c>
      <c r="G130" s="372">
        <f>IF(F130&lt;0,"Error: Enter as positive.",)</f>
        <v>0</v>
      </c>
      <c r="H130" s="17"/>
      <c r="I130" s="72"/>
      <c r="J130"/>
    </row>
    <row r="131" spans="1:122" ht="72" customHeight="1" x14ac:dyDescent="0.3">
      <c r="A131" s="100">
        <v>331</v>
      </c>
      <c r="B131" s="806" t="s">
        <v>1650</v>
      </c>
      <c r="C131" s="724" t="s">
        <v>516</v>
      </c>
      <c r="D131" s="21" t="s">
        <v>519</v>
      </c>
      <c r="E131" s="341" t="e">
        <f>INDEX('PY1 Data(H)'!$A$1:$CZ$231,MATCH('Unit Data from Audit Worksheet'!$A131,'PY1 Data(H)'!$A$1:$A$231,0),MATCH('Unit Data from Audit Worksheet'!$D$2,'PY1 Data(H)'!$A$1:$CZ$1,0))</f>
        <v>#N/A</v>
      </c>
      <c r="F131" s="897">
        <v>0</v>
      </c>
      <c r="G131" s="372">
        <f>IF(F131&lt;0,"Error: Enter as positive.",)</f>
        <v>0</v>
      </c>
      <c r="H131" s="17"/>
      <c r="I131" s="72"/>
      <c r="J131"/>
    </row>
    <row r="132" spans="1:122" ht="31.2" customHeight="1" x14ac:dyDescent="0.3">
      <c r="A132" s="100"/>
      <c r="B132" s="455" t="s">
        <v>780</v>
      </c>
      <c r="C132" s="455"/>
      <c r="D132" s="455"/>
      <c r="E132" s="455"/>
      <c r="F132" s="774"/>
      <c r="G132" s="455"/>
      <c r="H132" s="17"/>
      <c r="I132" s="72"/>
      <c r="J132" s="173"/>
      <c r="L132" s="173"/>
      <c r="Y132" s="173"/>
      <c r="Z132" s="173"/>
      <c r="AA132" s="173"/>
      <c r="AB132" s="173"/>
      <c r="AC132" s="173"/>
      <c r="AD132" s="173"/>
      <c r="AE132" s="173"/>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c r="BJ132" s="173"/>
      <c r="BK132" s="173"/>
      <c r="BL132" s="173"/>
      <c r="BM132" s="173"/>
      <c r="BN132" s="173"/>
      <c r="BO132" s="173"/>
      <c r="BP132" s="173"/>
      <c r="BQ132" s="173"/>
      <c r="BR132" s="173"/>
      <c r="BS132" s="173"/>
      <c r="BT132" s="173"/>
      <c r="BU132" s="173"/>
      <c r="BV132" s="173"/>
      <c r="BW132" s="173"/>
      <c r="BX132" s="173"/>
      <c r="BY132" s="173"/>
      <c r="BZ132" s="173"/>
      <c r="CA132" s="173"/>
      <c r="CB132" s="173"/>
      <c r="CC132" s="173"/>
      <c r="CD132" s="173"/>
      <c r="CE132" s="173"/>
      <c r="CF132" s="173"/>
      <c r="CG132" s="173"/>
      <c r="CH132" s="173"/>
      <c r="CI132" s="173"/>
      <c r="CJ132" s="173"/>
      <c r="CK132" s="173"/>
      <c r="CL132" s="173"/>
      <c r="CM132" s="173"/>
      <c r="CN132" s="173"/>
      <c r="CO132" s="173"/>
      <c r="CP132" s="173"/>
      <c r="CQ132" s="173"/>
      <c r="CR132" s="173"/>
      <c r="CS132" s="173"/>
      <c r="CT132" s="173"/>
      <c r="CU132" s="173"/>
      <c r="CV132" s="173"/>
      <c r="CW132" s="173"/>
      <c r="CX132" s="173"/>
      <c r="CY132" s="173"/>
      <c r="CZ132" s="173"/>
      <c r="DA132" s="173"/>
      <c r="DB132" s="173"/>
      <c r="DC132" s="173"/>
      <c r="DD132" s="173"/>
      <c r="DE132" s="173"/>
      <c r="DF132" s="173"/>
      <c r="DG132" s="173"/>
      <c r="DH132" s="173"/>
      <c r="DI132" s="173"/>
      <c r="DJ132" s="173"/>
      <c r="DK132" s="173"/>
      <c r="DL132" s="173"/>
      <c r="DM132" s="173"/>
      <c r="DN132" s="173"/>
      <c r="DO132" s="173"/>
      <c r="DP132" s="173"/>
      <c r="DQ132" s="173"/>
      <c r="DR132" s="173"/>
    </row>
    <row r="133" spans="1:122" ht="71.25" customHeight="1" x14ac:dyDescent="0.3">
      <c r="A133" s="796">
        <v>1060</v>
      </c>
      <c r="B133" s="343" t="s">
        <v>790</v>
      </c>
      <c r="C133" s="382"/>
      <c r="D133" s="798" t="s">
        <v>801</v>
      </c>
      <c r="E133" s="341" t="e">
        <f>INDEX('PY1 Data(H)'!$A$1:$CZ$231,MATCH('Unit Data from Audit Worksheet'!$A133,'PY1 Data(H)'!$A$1:$A$231,0),MATCH('Unit Data from Audit Worksheet'!$D$2,'PY1 Data(H)'!$A$1:$CZ$1,0))</f>
        <v>#N/A</v>
      </c>
      <c r="F133" s="766">
        <v>0</v>
      </c>
      <c r="G133" s="372"/>
      <c r="H133" s="17"/>
      <c r="I133" s="72"/>
      <c r="J133" s="173"/>
      <c r="L133" s="173"/>
      <c r="Y133" s="173"/>
      <c r="Z133" s="173"/>
      <c r="AA133" s="173"/>
      <c r="AB133" s="173"/>
      <c r="AC133" s="173"/>
      <c r="AD133" s="173"/>
      <c r="AE133" s="173"/>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BJ133" s="173"/>
      <c r="BK133" s="173"/>
      <c r="BL133" s="173"/>
      <c r="BM133" s="173"/>
      <c r="BN133" s="173"/>
      <c r="BO133" s="173"/>
      <c r="BP133" s="173"/>
      <c r="BQ133" s="173"/>
      <c r="BR133" s="173"/>
      <c r="BS133" s="173"/>
      <c r="BT133" s="173"/>
      <c r="BU133" s="173"/>
      <c r="BV133" s="173"/>
      <c r="BW133" s="173"/>
      <c r="BX133" s="173"/>
      <c r="BY133" s="173"/>
      <c r="BZ133" s="173"/>
      <c r="CA133" s="173"/>
      <c r="CB133" s="173"/>
      <c r="CC133" s="173"/>
      <c r="CD133" s="173"/>
      <c r="CE133" s="173"/>
      <c r="CF133" s="173"/>
      <c r="CG133" s="173"/>
      <c r="CH133" s="173"/>
      <c r="CI133" s="173"/>
      <c r="CJ133" s="173"/>
      <c r="CK133" s="173"/>
      <c r="CL133" s="173"/>
      <c r="CM133" s="173"/>
      <c r="CN133" s="173"/>
      <c r="CO133" s="173"/>
      <c r="CP133" s="173"/>
      <c r="CQ133" s="173"/>
      <c r="CR133" s="173"/>
      <c r="CS133" s="173"/>
      <c r="CT133" s="173"/>
      <c r="CU133" s="173"/>
      <c r="CV133" s="173"/>
      <c r="CW133" s="173"/>
      <c r="CX133" s="173"/>
      <c r="CY133" s="173"/>
      <c r="CZ133" s="173"/>
      <c r="DA133" s="173"/>
      <c r="DB133" s="173"/>
      <c r="DC133" s="173"/>
      <c r="DD133" s="173"/>
      <c r="DE133" s="173"/>
      <c r="DF133" s="173"/>
      <c r="DG133" s="173"/>
      <c r="DH133" s="173"/>
      <c r="DI133" s="173"/>
      <c r="DJ133" s="173"/>
      <c r="DK133" s="173"/>
      <c r="DL133" s="173"/>
      <c r="DM133" s="173"/>
      <c r="DN133" s="173"/>
      <c r="DO133" s="173"/>
      <c r="DP133" s="173"/>
      <c r="DQ133" s="173"/>
      <c r="DR133" s="173"/>
    </row>
    <row r="134" spans="1:122" ht="71.25" customHeight="1" x14ac:dyDescent="0.3">
      <c r="A134" s="796">
        <v>1061</v>
      </c>
      <c r="B134" s="343" t="s">
        <v>790</v>
      </c>
      <c r="C134" s="382"/>
      <c r="D134" s="798" t="s">
        <v>802</v>
      </c>
      <c r="E134" s="341" t="e">
        <f>INDEX('PY1 Data(H)'!$A$1:$CZ$231,MATCH('Unit Data from Audit Worksheet'!$A134,'PY1 Data(H)'!$A$1:$A$231,0),MATCH('Unit Data from Audit Worksheet'!$D$2,'PY1 Data(H)'!$A$1:$CZ$1,0))</f>
        <v>#N/A</v>
      </c>
      <c r="F134" s="766">
        <v>0</v>
      </c>
      <c r="G134" s="372"/>
      <c r="H134" s="17"/>
      <c r="I134" s="72"/>
      <c r="J134" s="173"/>
      <c r="L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c r="BJ134" s="173"/>
      <c r="BK134" s="173"/>
      <c r="BL134" s="173"/>
      <c r="BM134" s="173"/>
      <c r="BN134" s="173"/>
      <c r="BO134" s="173"/>
      <c r="BP134" s="173"/>
      <c r="BQ134" s="173"/>
      <c r="BR134" s="173"/>
      <c r="BS134" s="173"/>
      <c r="BT134" s="173"/>
      <c r="BU134" s="173"/>
      <c r="BV134" s="173"/>
      <c r="BW134" s="173"/>
      <c r="BX134" s="173"/>
      <c r="BY134" s="173"/>
      <c r="BZ134" s="173"/>
      <c r="CA134" s="173"/>
      <c r="CB134" s="173"/>
      <c r="CC134" s="173"/>
      <c r="CD134" s="173"/>
      <c r="CE134" s="173"/>
      <c r="CF134" s="173"/>
      <c r="CG134" s="173"/>
      <c r="CH134" s="173"/>
      <c r="CI134" s="173"/>
      <c r="CJ134" s="173"/>
      <c r="CK134" s="173"/>
      <c r="CL134" s="173"/>
      <c r="CM134" s="173"/>
      <c r="CN134" s="173"/>
      <c r="CO134" s="173"/>
      <c r="CP134" s="173"/>
      <c r="CQ134" s="173"/>
      <c r="CR134" s="173"/>
      <c r="CS134" s="173"/>
      <c r="CT134" s="173"/>
      <c r="CU134" s="173"/>
      <c r="CV134" s="173"/>
      <c r="CW134" s="173"/>
      <c r="CX134" s="173"/>
      <c r="CY134" s="173"/>
      <c r="CZ134" s="173"/>
      <c r="DA134" s="173"/>
      <c r="DB134" s="173"/>
      <c r="DC134" s="173"/>
      <c r="DD134" s="173"/>
      <c r="DE134" s="173"/>
      <c r="DF134" s="173"/>
      <c r="DG134" s="173"/>
      <c r="DH134" s="173"/>
      <c r="DI134" s="173"/>
      <c r="DJ134" s="173"/>
      <c r="DK134" s="173"/>
      <c r="DL134" s="173"/>
      <c r="DM134" s="173"/>
      <c r="DN134" s="173"/>
      <c r="DO134" s="173"/>
      <c r="DP134" s="173"/>
      <c r="DQ134" s="173"/>
      <c r="DR134" s="173"/>
    </row>
    <row r="135" spans="1:122" ht="79.8" customHeight="1" x14ac:dyDescent="0.3">
      <c r="A135" s="796">
        <v>1062</v>
      </c>
      <c r="B135" s="343" t="s">
        <v>790</v>
      </c>
      <c r="C135" s="382"/>
      <c r="D135" s="662" t="s">
        <v>1706</v>
      </c>
      <c r="E135" s="341" t="e">
        <f>INDEX('PY1 Data(H)'!$A$1:$CZ$231,MATCH('Unit Data from Audit Worksheet'!$A135,'PY1 Data(H)'!$A$1:$A$231,0),MATCH('Unit Data from Audit Worksheet'!$D$2,'PY1 Data(H)'!$A$1:$CZ$1,0))</f>
        <v>#N/A</v>
      </c>
      <c r="F135" s="775"/>
      <c r="G135" s="372"/>
      <c r="H135" s="17"/>
      <c r="I135" s="72"/>
      <c r="J135" s="173"/>
      <c r="L135" s="173"/>
      <c r="Y135" s="173"/>
      <c r="Z135" s="173"/>
      <c r="AA135" s="173"/>
      <c r="AB135" s="173"/>
      <c r="AC135" s="173"/>
      <c r="AD135" s="173"/>
      <c r="AE135" s="173"/>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c r="BJ135" s="173"/>
      <c r="BK135" s="173"/>
      <c r="BL135" s="173"/>
      <c r="BM135" s="173"/>
      <c r="BN135" s="173"/>
      <c r="BO135" s="173"/>
      <c r="BP135" s="173"/>
      <c r="BQ135" s="173"/>
      <c r="BR135" s="173"/>
      <c r="BS135" s="173"/>
      <c r="BT135" s="173"/>
      <c r="BU135" s="173"/>
      <c r="BV135" s="173"/>
      <c r="BW135" s="173"/>
      <c r="BX135" s="173"/>
      <c r="BY135" s="173"/>
      <c r="BZ135" s="173"/>
      <c r="CA135" s="173"/>
      <c r="CB135" s="173"/>
      <c r="CC135" s="173"/>
      <c r="CD135" s="173"/>
      <c r="CE135" s="173"/>
      <c r="CF135" s="173"/>
      <c r="CG135" s="173"/>
      <c r="CH135" s="173"/>
      <c r="CI135" s="173"/>
      <c r="CJ135" s="173"/>
      <c r="CK135" s="173"/>
      <c r="CL135" s="173"/>
      <c r="CM135" s="173"/>
      <c r="CN135" s="173"/>
      <c r="CO135" s="173"/>
      <c r="CP135" s="173"/>
      <c r="CQ135" s="173"/>
      <c r="CR135" s="173"/>
      <c r="CS135" s="173"/>
      <c r="CT135" s="173"/>
      <c r="CU135" s="173"/>
      <c r="CV135" s="173"/>
      <c r="CW135" s="173"/>
      <c r="CX135" s="173"/>
      <c r="CY135" s="173"/>
      <c r="CZ135" s="173"/>
      <c r="DA135" s="173"/>
      <c r="DB135" s="173"/>
      <c r="DC135" s="173"/>
      <c r="DD135" s="173"/>
      <c r="DE135" s="173"/>
      <c r="DF135" s="173"/>
      <c r="DG135" s="173"/>
      <c r="DH135" s="173"/>
      <c r="DI135" s="173"/>
      <c r="DJ135" s="173"/>
      <c r="DK135" s="173"/>
      <c r="DL135" s="173"/>
      <c r="DM135" s="173"/>
      <c r="DN135" s="173"/>
      <c r="DO135" s="173"/>
      <c r="DP135" s="173"/>
      <c r="DQ135" s="173"/>
      <c r="DR135" s="173"/>
    </row>
    <row r="136" spans="1:122" ht="89.4" customHeight="1" x14ac:dyDescent="0.3">
      <c r="A136" s="796">
        <v>1063</v>
      </c>
      <c r="B136" s="343" t="s">
        <v>790</v>
      </c>
      <c r="C136" s="382"/>
      <c r="D136" s="662" t="s">
        <v>1707</v>
      </c>
      <c r="E136" s="341" t="e">
        <f>INDEX('PY1 Data(H)'!$A$1:$CZ$231,MATCH('Unit Data from Audit Worksheet'!$A136,'PY1 Data(H)'!$A$1:$A$231,0),MATCH('Unit Data from Audit Worksheet'!$D$2,'PY1 Data(H)'!$A$1:$CZ$1,0))</f>
        <v>#N/A</v>
      </c>
      <c r="F136" s="775"/>
      <c r="G136" s="372"/>
      <c r="H136" s="17"/>
      <c r="I136" s="72"/>
      <c r="J136" s="173"/>
      <c r="L136" s="173"/>
      <c r="Y136" s="173"/>
      <c r="Z136" s="173"/>
      <c r="AA136" s="173"/>
      <c r="AB136" s="173"/>
      <c r="AC136" s="173"/>
      <c r="AD136" s="173"/>
      <c r="AE136" s="173"/>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BJ136" s="173"/>
      <c r="BK136" s="173"/>
      <c r="BL136" s="173"/>
      <c r="BM136" s="173"/>
      <c r="BN136" s="173"/>
      <c r="BO136" s="173"/>
      <c r="BP136" s="173"/>
      <c r="BQ136" s="173"/>
      <c r="BR136" s="173"/>
      <c r="BS136" s="173"/>
      <c r="BT136" s="173"/>
      <c r="BU136" s="173"/>
      <c r="BV136" s="173"/>
      <c r="BW136" s="173"/>
      <c r="BX136" s="173"/>
      <c r="BY136" s="173"/>
      <c r="BZ136" s="173"/>
      <c r="CA136" s="173"/>
      <c r="CB136" s="173"/>
      <c r="CC136" s="173"/>
      <c r="CD136" s="173"/>
      <c r="CE136" s="173"/>
      <c r="CF136" s="173"/>
      <c r="CG136" s="173"/>
      <c r="CH136" s="173"/>
      <c r="CI136" s="173"/>
      <c r="CJ136" s="173"/>
      <c r="CK136" s="173"/>
      <c r="CL136" s="173"/>
      <c r="CM136" s="173"/>
      <c r="CN136" s="173"/>
      <c r="CO136" s="173"/>
      <c r="CP136" s="173"/>
      <c r="CQ136" s="173"/>
      <c r="CR136" s="173"/>
      <c r="CS136" s="173"/>
      <c r="CT136" s="173"/>
      <c r="CU136" s="173"/>
      <c r="CV136" s="173"/>
      <c r="CW136" s="173"/>
      <c r="CX136" s="173"/>
      <c r="CY136" s="173"/>
      <c r="CZ136" s="173"/>
      <c r="DA136" s="173"/>
      <c r="DB136" s="173"/>
      <c r="DC136" s="173"/>
      <c r="DD136" s="173"/>
      <c r="DE136" s="173"/>
      <c r="DF136" s="173"/>
      <c r="DG136" s="173"/>
      <c r="DH136" s="173"/>
      <c r="DI136" s="173"/>
      <c r="DJ136" s="173"/>
      <c r="DK136" s="173"/>
      <c r="DL136" s="173"/>
      <c r="DM136" s="173"/>
      <c r="DN136" s="173"/>
      <c r="DO136" s="173"/>
      <c r="DP136" s="173"/>
      <c r="DQ136" s="173"/>
      <c r="DR136" s="173"/>
    </row>
    <row r="137" spans="1:122" x14ac:dyDescent="0.3">
      <c r="A137" s="100"/>
      <c r="B137" s="455" t="s">
        <v>63</v>
      </c>
      <c r="C137" s="456"/>
      <c r="D137" s="437"/>
      <c r="E137" s="437"/>
      <c r="F137" s="776"/>
      <c r="G137" s="452"/>
      <c r="H137" s="17"/>
      <c r="I137" s="72"/>
      <c r="J137"/>
    </row>
    <row r="138" spans="1:122" ht="106.5" customHeight="1" x14ac:dyDescent="0.3">
      <c r="A138" s="100">
        <v>512</v>
      </c>
      <c r="B138" s="253"/>
      <c r="C138" s="724" t="s">
        <v>136</v>
      </c>
      <c r="D138" s="21" t="s">
        <v>520</v>
      </c>
      <c r="E138" s="341" t="e">
        <f>INDEX('PY1 Data(H)'!$A$1:$CZ$231,MATCH('Unit Data from Audit Worksheet'!$A138,'PY1 Data(H)'!$A$1:$A$231,0),MATCH('Unit Data from Audit Worksheet'!$D$2,'PY1 Data(H)'!$A$1:$CZ$1,0))</f>
        <v>#N/A</v>
      </c>
      <c r="F138" s="766">
        <v>0</v>
      </c>
      <c r="G138" s="372">
        <f>IF(F138&lt;0,"Error: Enter as positive.",)</f>
        <v>0</v>
      </c>
      <c r="H138" s="17"/>
      <c r="I138" s="72"/>
      <c r="J138"/>
    </row>
    <row r="139" spans="1:122" x14ac:dyDescent="0.3">
      <c r="A139" s="100"/>
      <c r="B139" s="455" t="s">
        <v>346</v>
      </c>
      <c r="C139" s="456"/>
      <c r="D139" s="458"/>
      <c r="E139" s="460"/>
      <c r="F139" s="776"/>
      <c r="G139" s="452"/>
      <c r="H139" s="373"/>
      <c r="I139" s="374"/>
      <c r="J139"/>
    </row>
    <row r="140" spans="1:122" ht="59.25" customHeight="1" x14ac:dyDescent="0.3">
      <c r="A140" s="179">
        <v>656</v>
      </c>
      <c r="B140" s="672"/>
      <c r="C140" s="672"/>
      <c r="D140" s="389" t="s">
        <v>1325</v>
      </c>
      <c r="E140" s="341" t="e">
        <f>INDEX('PY1 Data(H)'!$A$1:$CZ$231,MATCH('Unit Data from Audit Worksheet'!$A140,'PY1 Data(H)'!$A$1:$A$231,0),MATCH('Unit Data from Audit Worksheet'!$D$2,'PY1 Data(H)'!$A$1:$CZ$1,0))</f>
        <v>#N/A</v>
      </c>
      <c r="F140" s="766"/>
      <c r="G140" s="372"/>
      <c r="H140" s="17"/>
      <c r="I140" s="72"/>
      <c r="J140"/>
    </row>
    <row r="141" spans="1:122" x14ac:dyDescent="0.3">
      <c r="A141" s="100"/>
      <c r="B141" s="455" t="s">
        <v>242</v>
      </c>
      <c r="C141" s="456"/>
      <c r="D141" s="458"/>
      <c r="E141" s="460"/>
      <c r="F141" s="776"/>
      <c r="G141" s="452"/>
      <c r="H141" s="373"/>
      <c r="I141" s="374"/>
      <c r="J141"/>
    </row>
    <row r="142" spans="1:122" ht="121.5" customHeight="1" x14ac:dyDescent="0.3">
      <c r="A142" s="100">
        <v>535</v>
      </c>
      <c r="B142" s="343" t="s">
        <v>50</v>
      </c>
      <c r="C142" s="343" t="s">
        <v>137</v>
      </c>
      <c r="D142" s="21" t="s">
        <v>521</v>
      </c>
      <c r="E142" s="341" t="e">
        <f>INDEX('PY1 Data(H)'!$A$1:$CZ$231,MATCH('Unit Data from Audit Worksheet'!$A142,'PY1 Data(H)'!$A$1:$A$231,0),MATCH('Unit Data from Audit Worksheet'!$D$2,'PY1 Data(H)'!$A$1:$CZ$1,0))</f>
        <v>#N/A</v>
      </c>
      <c r="F142" s="766">
        <v>0</v>
      </c>
      <c r="G142" s="674" t="str">
        <f>IF(F142&lt;1,"Reminder: Please make sure you have entered all cash and investments from bond/Debt proceeds, if applicable.",)</f>
        <v>Reminder: Please make sure you have entered all cash and investments from bond/Debt proceeds, if applicable.</v>
      </c>
      <c r="H142" s="373"/>
      <c r="I142" s="374"/>
      <c r="J142"/>
    </row>
    <row r="143" spans="1:122" x14ac:dyDescent="0.3">
      <c r="A143" s="100"/>
      <c r="B143" s="455" t="s">
        <v>25</v>
      </c>
      <c r="C143" s="456"/>
      <c r="D143" s="438"/>
      <c r="E143" s="438"/>
      <c r="F143" s="772"/>
      <c r="G143" s="453"/>
      <c r="H143" s="17"/>
      <c r="I143" s="72"/>
      <c r="J143"/>
    </row>
    <row r="144" spans="1:122" x14ac:dyDescent="0.3">
      <c r="A144" s="100"/>
      <c r="B144" s="671"/>
      <c r="C144" s="671"/>
      <c r="D144" s="390" t="s">
        <v>2</v>
      </c>
      <c r="E144" s="1"/>
      <c r="F144" s="777"/>
      <c r="G144" s="379"/>
      <c r="H144" s="17"/>
      <c r="I144" s="72"/>
      <c r="J144"/>
    </row>
    <row r="145" spans="1:10" ht="36" customHeight="1" x14ac:dyDescent="0.3">
      <c r="A145" s="100"/>
      <c r="B145" s="671"/>
      <c r="C145" s="671"/>
      <c r="D145" s="342" t="s">
        <v>522</v>
      </c>
      <c r="E145" s="341"/>
      <c r="F145" s="777"/>
      <c r="G145" s="379"/>
      <c r="H145" s="17"/>
      <c r="I145" s="72"/>
      <c r="J145"/>
    </row>
    <row r="146" spans="1:10" ht="54" customHeight="1" x14ac:dyDescent="0.3">
      <c r="A146" s="100">
        <v>334</v>
      </c>
      <c r="B146" s="4" t="s">
        <v>51</v>
      </c>
      <c r="C146" s="4" t="s">
        <v>144</v>
      </c>
      <c r="D146" s="21" t="s">
        <v>523</v>
      </c>
      <c r="E146" s="341" t="e">
        <f>INDEX('PY1 Data(H)'!$A$1:$CZ$231,MATCH('Unit Data from Audit Worksheet'!$A146,'PY1 Data(H)'!$A$1:$A$231,0),MATCH('Unit Data from Audit Worksheet'!$D$2,'PY1 Data(H)'!$A$1:$CZ$1,0))</f>
        <v>#N/A</v>
      </c>
      <c r="F146" s="897">
        <v>0</v>
      </c>
      <c r="G146" s="379"/>
      <c r="H146" s="17"/>
      <c r="I146" s="72"/>
      <c r="J146"/>
    </row>
    <row r="147" spans="1:10" ht="57" customHeight="1" x14ac:dyDescent="0.3">
      <c r="A147" s="100">
        <v>373</v>
      </c>
      <c r="B147" s="4" t="s">
        <v>51</v>
      </c>
      <c r="C147" s="4" t="s">
        <v>144</v>
      </c>
      <c r="D147" s="25" t="s">
        <v>143</v>
      </c>
      <c r="E147" s="341" t="e">
        <f>INDEX('PY1 Data(H)'!$A$1:$CZ$231,MATCH('Unit Data from Audit Worksheet'!$A147,'PY1 Data(H)'!$A$1:$A$231,0),MATCH('Unit Data from Audit Worksheet'!$D$2,'PY1 Data(H)'!$A$1:$CZ$1,0))</f>
        <v>#N/A</v>
      </c>
      <c r="F147" s="897">
        <v>0</v>
      </c>
      <c r="G147" s="372">
        <f>IF(F147&lt;0,"Error: Enter as positive.",)</f>
        <v>0</v>
      </c>
      <c r="H147" s="17"/>
      <c r="I147" s="72"/>
      <c r="J147"/>
    </row>
    <row r="148" spans="1:10" ht="92.25" customHeight="1" x14ac:dyDescent="0.3">
      <c r="A148" s="100">
        <v>987</v>
      </c>
      <c r="B148" s="809" t="s">
        <v>1656</v>
      </c>
      <c r="C148" s="343"/>
      <c r="D148" s="21" t="s">
        <v>437</v>
      </c>
      <c r="E148" s="341" t="e">
        <f>INDEX('PY1 Data(H)'!$A$1:$CZ$231,MATCH('Unit Data from Audit Worksheet'!$A148,'PY1 Data(H)'!$A$1:$A$231,0),MATCH('Unit Data from Audit Worksheet'!$D$2,'PY1 Data(H)'!$A$1:$CZ$1,0))</f>
        <v>#N/A</v>
      </c>
      <c r="F148" s="897">
        <v>0</v>
      </c>
      <c r="G148" s="391" t="str">
        <f>IF(F148="","If this question is not applicable please place a zero in the cell to the left","")</f>
        <v/>
      </c>
      <c r="H148" s="353"/>
      <c r="I148" s="72"/>
      <c r="J148"/>
    </row>
    <row r="149" spans="1:10" ht="66.75" customHeight="1" x14ac:dyDescent="0.3">
      <c r="A149" s="100">
        <v>988</v>
      </c>
      <c r="B149" s="809" t="s">
        <v>1656</v>
      </c>
      <c r="C149" s="343"/>
      <c r="D149" s="21" t="s">
        <v>436</v>
      </c>
      <c r="E149" s="341" t="e">
        <f>INDEX('PY1 Data(H)'!$A$1:$CZ$231,MATCH('Unit Data from Audit Worksheet'!$A149,'PY1 Data(H)'!$A$1:$A$231,0),MATCH('Unit Data from Audit Worksheet'!$D$2,'PY1 Data(H)'!$A$1:$CZ$1,0))</f>
        <v>#N/A</v>
      </c>
      <c r="F149" s="897"/>
      <c r="G149" s="372"/>
      <c r="H149" s="17"/>
      <c r="I149" s="72"/>
      <c r="J149"/>
    </row>
    <row r="150" spans="1:10" ht="81" customHeight="1" x14ac:dyDescent="0.3">
      <c r="A150" s="100">
        <v>989</v>
      </c>
      <c r="B150" s="809" t="s">
        <v>1656</v>
      </c>
      <c r="C150" s="343"/>
      <c r="D150" s="21" t="s">
        <v>557</v>
      </c>
      <c r="E150" s="341" t="e">
        <f>INDEX('PY1 Data(H)'!$A$1:$CZ$231,MATCH('Unit Data from Audit Worksheet'!$A150,'PY1 Data(H)'!$A$1:$A$231,0),MATCH('Unit Data from Audit Worksheet'!$D$2,'PY1 Data(H)'!$A$1:$CZ$1,0))</f>
        <v>#N/A</v>
      </c>
      <c r="F150" s="897"/>
      <c r="G150" s="372"/>
      <c r="H150" s="17"/>
      <c r="I150" s="72"/>
      <c r="J150"/>
    </row>
    <row r="151" spans="1:10" x14ac:dyDescent="0.3">
      <c r="A151" s="100"/>
      <c r="B151" s="456"/>
      <c r="C151" s="456"/>
      <c r="D151" s="461"/>
      <c r="E151" s="462"/>
      <c r="F151" s="778"/>
      <c r="G151" s="463"/>
      <c r="H151" s="17"/>
      <c r="I151" s="72"/>
      <c r="J151"/>
    </row>
    <row r="152" spans="1:10" ht="108" customHeight="1" x14ac:dyDescent="0.3">
      <c r="A152" s="100"/>
      <c r="B152" s="671"/>
      <c r="C152" s="671"/>
      <c r="D152" s="392" t="s">
        <v>524</v>
      </c>
      <c r="E152" s="1"/>
      <c r="F152" s="777"/>
      <c r="G152" s="379"/>
      <c r="H152" s="17"/>
      <c r="I152" s="72"/>
      <c r="J152"/>
    </row>
    <row r="153" spans="1:10" ht="48.75" customHeight="1" x14ac:dyDescent="0.3">
      <c r="A153" s="100"/>
      <c r="B153" s="671"/>
      <c r="C153" s="671"/>
      <c r="D153" s="21" t="s">
        <v>525</v>
      </c>
      <c r="E153" s="1"/>
      <c r="F153" s="777"/>
      <c r="G153" s="379"/>
      <c r="H153" s="17"/>
      <c r="I153" s="72"/>
      <c r="J153"/>
    </row>
    <row r="154" spans="1:10" ht="51.75" customHeight="1" x14ac:dyDescent="0.3">
      <c r="A154" s="100">
        <v>327</v>
      </c>
      <c r="B154" s="343" t="s">
        <v>32</v>
      </c>
      <c r="C154" s="343" t="s">
        <v>145</v>
      </c>
      <c r="D154" s="393" t="s">
        <v>526</v>
      </c>
      <c r="E154" s="341" t="e">
        <f>INDEX('PY1 Data(H)'!$A$1:$CZ$231,MATCH('Unit Data from Audit Worksheet'!$A154,'PY1 Data(H)'!$A$1:$A$231,0),MATCH('Unit Data from Audit Worksheet'!$D$2,'PY1 Data(H)'!$A$1:$CZ$1,0))</f>
        <v>#N/A</v>
      </c>
      <c r="F154" s="897">
        <v>0</v>
      </c>
      <c r="G154" s="379"/>
      <c r="H154" s="17"/>
      <c r="I154" s="374"/>
      <c r="J154"/>
    </row>
    <row r="155" spans="1:10" ht="51.75" customHeight="1" x14ac:dyDescent="0.3">
      <c r="A155" s="100">
        <v>328</v>
      </c>
      <c r="B155" s="343" t="s">
        <v>32</v>
      </c>
      <c r="C155" s="343" t="s">
        <v>145</v>
      </c>
      <c r="D155" s="26" t="s">
        <v>6</v>
      </c>
      <c r="E155" s="341" t="e">
        <f>INDEX('PY1 Data(H)'!$A$1:$CZ$231,MATCH('Unit Data from Audit Worksheet'!$A155,'PY1 Data(H)'!$A$1:$A$231,0),MATCH('Unit Data from Audit Worksheet'!$D$2,'PY1 Data(H)'!$A$1:$CZ$1,0))</f>
        <v>#N/A</v>
      </c>
      <c r="F155" s="897">
        <v>0</v>
      </c>
      <c r="G155" s="379"/>
      <c r="H155" s="17"/>
      <c r="I155" s="374"/>
      <c r="J155"/>
    </row>
    <row r="156" spans="1:10" ht="42" customHeight="1" x14ac:dyDescent="0.3">
      <c r="A156" s="100"/>
      <c r="B156" s="671"/>
      <c r="C156" s="671"/>
      <c r="D156" s="27" t="s">
        <v>527</v>
      </c>
      <c r="E156" s="93" t="e">
        <f>E154+E155</f>
        <v>#N/A</v>
      </c>
      <c r="F156" s="900">
        <f>SUM(F154:F155)</f>
        <v>0</v>
      </c>
      <c r="G156" s="379"/>
      <c r="H156" s="17"/>
      <c r="I156" s="72"/>
      <c r="J156"/>
    </row>
    <row r="157" spans="1:10" x14ac:dyDescent="0.3">
      <c r="A157" s="100"/>
      <c r="B157" s="671"/>
      <c r="C157" s="671"/>
      <c r="D157" s="21" t="s">
        <v>528</v>
      </c>
      <c r="E157" s="1"/>
      <c r="F157" s="777"/>
      <c r="G157" s="379"/>
      <c r="H157" s="17"/>
      <c r="I157" s="72"/>
      <c r="J157"/>
    </row>
    <row r="158" spans="1:10" ht="24" customHeight="1" x14ac:dyDescent="0.3">
      <c r="A158" s="100"/>
      <c r="B158" s="671"/>
      <c r="C158" s="671"/>
      <c r="D158" s="24" t="s">
        <v>7</v>
      </c>
      <c r="F158" s="901"/>
      <c r="G158" s="379"/>
      <c r="H158" s="17"/>
      <c r="I158" s="72"/>
      <c r="J158"/>
    </row>
    <row r="159" spans="1:10" ht="58.2" customHeight="1" x14ac:dyDescent="0.3">
      <c r="A159" s="100">
        <v>515</v>
      </c>
      <c r="B159" s="806" t="s">
        <v>1650</v>
      </c>
      <c r="C159" s="343" t="s">
        <v>146</v>
      </c>
      <c r="D159" s="28" t="s">
        <v>3</v>
      </c>
      <c r="E159" s="341" t="e">
        <f>INDEX('PY1 Data(H)'!$A$1:$CZ$231,MATCH('Unit Data from Audit Worksheet'!$A159,'PY1 Data(H)'!$A$1:$A$231,0),MATCH('Unit Data from Audit Worksheet'!$D$2,'PY1 Data(H)'!$A$1:$CZ$1,0))</f>
        <v>#N/A</v>
      </c>
      <c r="F159" s="897">
        <v>0</v>
      </c>
      <c r="G159" s="372"/>
      <c r="H159" s="17"/>
      <c r="I159" s="72"/>
      <c r="J159"/>
    </row>
    <row r="160" spans="1:10" ht="69.599999999999994" customHeight="1" x14ac:dyDescent="0.3">
      <c r="A160" s="100">
        <v>516</v>
      </c>
      <c r="B160" s="806" t="s">
        <v>1650</v>
      </c>
      <c r="C160" s="343" t="s">
        <v>146</v>
      </c>
      <c r="D160" s="28" t="s">
        <v>4</v>
      </c>
      <c r="E160" s="341" t="e">
        <f>INDEX('PY1 Data(H)'!$A$1:$CZ$231,MATCH('Unit Data from Audit Worksheet'!$A160,'PY1 Data(H)'!$A$1:$A$231,0),MATCH('Unit Data from Audit Worksheet'!$D$2,'PY1 Data(H)'!$A$1:$CZ$1,0))</f>
        <v>#N/A</v>
      </c>
      <c r="F160" s="897">
        <v>0</v>
      </c>
      <c r="G160" s="372"/>
      <c r="H160" s="17"/>
      <c r="I160" s="72"/>
      <c r="J160"/>
    </row>
    <row r="161" spans="1:10" ht="62.4" customHeight="1" x14ac:dyDescent="0.3">
      <c r="A161" s="100">
        <v>517</v>
      </c>
      <c r="B161" s="806" t="s">
        <v>1650</v>
      </c>
      <c r="C161" s="343" t="s">
        <v>146</v>
      </c>
      <c r="D161" s="28" t="s">
        <v>5</v>
      </c>
      <c r="E161" s="341" t="e">
        <f>INDEX('PY1 Data(H)'!$A$1:$CZ$231,MATCH('Unit Data from Audit Worksheet'!$A161,'PY1 Data(H)'!$A$1:$A$231,0),MATCH('Unit Data from Audit Worksheet'!$D$2,'PY1 Data(H)'!$A$1:$CZ$1,0))</f>
        <v>#N/A</v>
      </c>
      <c r="F161" s="897">
        <v>0</v>
      </c>
      <c r="G161" s="372"/>
      <c r="H161" s="17"/>
      <c r="I161" s="72"/>
      <c r="J161"/>
    </row>
    <row r="162" spans="1:10" ht="69" customHeight="1" x14ac:dyDescent="0.3">
      <c r="A162" s="100">
        <v>518</v>
      </c>
      <c r="B162" s="806" t="s">
        <v>1650</v>
      </c>
      <c r="C162" s="343" t="s">
        <v>146</v>
      </c>
      <c r="D162" s="28" t="s">
        <v>34</v>
      </c>
      <c r="E162" s="341" t="e">
        <f>INDEX('PY1 Data(H)'!$A$1:$CZ$231,MATCH('Unit Data from Audit Worksheet'!$A162,'PY1 Data(H)'!$A$1:$A$231,0),MATCH('Unit Data from Audit Worksheet'!$D$2,'PY1 Data(H)'!$A$1:$CZ$1,0))</f>
        <v>#N/A</v>
      </c>
      <c r="F162" s="897">
        <v>0</v>
      </c>
      <c r="G162" s="372"/>
      <c r="H162" s="17"/>
      <c r="I162" s="72"/>
      <c r="J162"/>
    </row>
    <row r="163" spans="1:10" ht="51" customHeight="1" x14ac:dyDescent="0.3">
      <c r="A163" s="177"/>
      <c r="B163" s="671"/>
      <c r="C163" s="671"/>
      <c r="D163" s="394" t="s">
        <v>529</v>
      </c>
      <c r="E163" s="93" t="e">
        <f>E159+E160+E161+E162</f>
        <v>#N/A</v>
      </c>
      <c r="F163" s="900">
        <f>SUM(F159:F162)</f>
        <v>0</v>
      </c>
      <c r="G163" s="379"/>
      <c r="H163" s="17"/>
      <c r="I163" s="72"/>
      <c r="J163"/>
    </row>
    <row r="164" spans="1:10" ht="30.75" customHeight="1" x14ac:dyDescent="0.3">
      <c r="A164" s="100"/>
      <c r="B164" s="671"/>
      <c r="C164" s="671"/>
      <c r="D164" s="24" t="s">
        <v>43</v>
      </c>
      <c r="E164" s="1"/>
      <c r="F164" s="777"/>
      <c r="G164" s="379"/>
      <c r="H164" s="17"/>
      <c r="I164" s="72"/>
      <c r="J164"/>
    </row>
    <row r="165" spans="1:10" ht="63" customHeight="1" x14ac:dyDescent="0.3">
      <c r="A165" s="100">
        <v>519</v>
      </c>
      <c r="B165" s="343" t="s">
        <v>32</v>
      </c>
      <c r="C165" s="343" t="s">
        <v>147</v>
      </c>
      <c r="D165" s="28" t="s">
        <v>12</v>
      </c>
      <c r="E165" s="341" t="e">
        <f>INDEX('PY1 Data(H)'!$A$1:$CZ$231,MATCH('Unit Data from Audit Worksheet'!$A165,'PY1 Data(H)'!$A$1:$A$231,0),MATCH('Unit Data from Audit Worksheet'!$D$2,'PY1 Data(H)'!$A$1:$CZ$1,0))</f>
        <v>#N/A</v>
      </c>
      <c r="F165" s="897">
        <v>0</v>
      </c>
      <c r="G165" s="372">
        <f>IF(F165&lt;0,"Error: Enter as positive.",)</f>
        <v>0</v>
      </c>
      <c r="H165" s="17"/>
      <c r="I165" s="72"/>
      <c r="J165"/>
    </row>
    <row r="166" spans="1:10" ht="69.75" customHeight="1" x14ac:dyDescent="0.3">
      <c r="A166" s="100">
        <v>520</v>
      </c>
      <c r="B166" s="343" t="s">
        <v>32</v>
      </c>
      <c r="C166" s="343" t="s">
        <v>147</v>
      </c>
      <c r="D166" s="28" t="s">
        <v>14</v>
      </c>
      <c r="E166" s="341" t="e">
        <f>INDEX('PY1 Data(H)'!$A$1:$CZ$231,MATCH('Unit Data from Audit Worksheet'!$A166,'PY1 Data(H)'!$A$1:$A$231,0),MATCH('Unit Data from Audit Worksheet'!$D$2,'PY1 Data(H)'!$A$1:$CZ$1,0))</f>
        <v>#N/A</v>
      </c>
      <c r="F166" s="897">
        <v>0</v>
      </c>
      <c r="G166" s="372">
        <f>IF(F166&lt;0,"Error: Enter as positive.",)</f>
        <v>0</v>
      </c>
      <c r="H166" s="17"/>
      <c r="I166" s="72"/>
      <c r="J166"/>
    </row>
    <row r="167" spans="1:10" ht="72" customHeight="1" x14ac:dyDescent="0.3">
      <c r="A167" s="100">
        <v>521</v>
      </c>
      <c r="B167" s="343" t="s">
        <v>32</v>
      </c>
      <c r="C167" s="343" t="s">
        <v>147</v>
      </c>
      <c r="D167" s="28" t="s">
        <v>16</v>
      </c>
      <c r="E167" s="341" t="e">
        <f>INDEX('PY1 Data(H)'!$A$1:$CZ$231,MATCH('Unit Data from Audit Worksheet'!$A167,'PY1 Data(H)'!$A$1:$A$231,0),MATCH('Unit Data from Audit Worksheet'!$D$2,'PY1 Data(H)'!$A$1:$CZ$1,0))</f>
        <v>#N/A</v>
      </c>
      <c r="F167" s="897">
        <v>0</v>
      </c>
      <c r="G167" s="372">
        <f>IF(F167&lt;0,"Error: Enter as positive.",)</f>
        <v>0</v>
      </c>
      <c r="H167" s="17"/>
      <c r="I167" s="72"/>
      <c r="J167"/>
    </row>
    <row r="168" spans="1:10" ht="74.25" customHeight="1" x14ac:dyDescent="0.3">
      <c r="A168" s="100">
        <v>522</v>
      </c>
      <c r="B168" s="343" t="s">
        <v>32</v>
      </c>
      <c r="C168" s="343" t="s">
        <v>147</v>
      </c>
      <c r="D168" s="28" t="s">
        <v>35</v>
      </c>
      <c r="E168" s="341" t="e">
        <f>INDEX('PY1 Data(H)'!$A$1:$CZ$231,MATCH('Unit Data from Audit Worksheet'!$A168,'PY1 Data(H)'!$A$1:$A$231,0),MATCH('Unit Data from Audit Worksheet'!$D$2,'PY1 Data(H)'!$A$1:$CZ$1,0))</f>
        <v>#N/A</v>
      </c>
      <c r="F168" s="897">
        <v>0</v>
      </c>
      <c r="G168" s="372">
        <f>IF(F168&lt;0,"Error: Enter as positive.",)</f>
        <v>0</v>
      </c>
      <c r="H168" s="17"/>
      <c r="I168" s="72"/>
      <c r="J168"/>
    </row>
    <row r="169" spans="1:10" ht="31.5" customHeight="1" x14ac:dyDescent="0.3">
      <c r="A169" s="6"/>
      <c r="B169" s="671"/>
      <c r="C169" s="671"/>
      <c r="D169" s="395" t="s">
        <v>29</v>
      </c>
      <c r="E169" s="93" t="e">
        <f>E165+E166+E167+E168</f>
        <v>#N/A</v>
      </c>
      <c r="F169" s="900">
        <f>SUM(F165:F168)</f>
        <v>0</v>
      </c>
      <c r="G169" s="120"/>
      <c r="H169" s="17"/>
      <c r="I169" s="72"/>
      <c r="J169"/>
    </row>
    <row r="170" spans="1:10" ht="26.25" customHeight="1" x14ac:dyDescent="0.3">
      <c r="A170" s="6"/>
      <c r="B170" s="671"/>
      <c r="C170" s="671"/>
      <c r="D170" s="24" t="s">
        <v>27</v>
      </c>
      <c r="E170" s="6"/>
      <c r="F170" s="902"/>
      <c r="G170" s="120"/>
      <c r="H170" s="17"/>
      <c r="I170" s="72"/>
      <c r="J170"/>
    </row>
    <row r="171" spans="1:10" ht="89.25" customHeight="1" x14ac:dyDescent="0.3">
      <c r="A171" s="100">
        <v>523</v>
      </c>
      <c r="B171" s="806" t="s">
        <v>1650</v>
      </c>
      <c r="C171" s="343" t="s">
        <v>148</v>
      </c>
      <c r="D171" s="28" t="s">
        <v>13</v>
      </c>
      <c r="E171" s="341" t="e">
        <f>INDEX('PY1 Data(H)'!$A$1:$CZ$231,MATCH('Unit Data from Audit Worksheet'!$A171,'PY1 Data(H)'!$A$1:$A$231,0),MATCH('Unit Data from Audit Worksheet'!$D$2,'PY1 Data(H)'!$A$1:$CZ$1,0))</f>
        <v>#N/A</v>
      </c>
      <c r="F171" s="897">
        <v>0</v>
      </c>
      <c r="G171" s="372">
        <f>IF(F171&lt;0,"Error: Enter as positive.",)</f>
        <v>0</v>
      </c>
      <c r="H171" s="17"/>
      <c r="I171" s="72"/>
      <c r="J171"/>
    </row>
    <row r="172" spans="1:10" ht="75" customHeight="1" x14ac:dyDescent="0.3">
      <c r="A172" s="100">
        <v>524</v>
      </c>
      <c r="B172" s="806" t="s">
        <v>1650</v>
      </c>
      <c r="C172" s="343" t="s">
        <v>148</v>
      </c>
      <c r="D172" s="28" t="s">
        <v>15</v>
      </c>
      <c r="E172" s="341" t="e">
        <f>INDEX('PY1 Data(H)'!$A$1:$CZ$231,MATCH('Unit Data from Audit Worksheet'!$A172,'PY1 Data(H)'!$A$1:$A$231,0),MATCH('Unit Data from Audit Worksheet'!$D$2,'PY1 Data(H)'!$A$1:$CZ$1,0))</f>
        <v>#N/A</v>
      </c>
      <c r="F172" s="897">
        <v>0</v>
      </c>
      <c r="G172" s="372">
        <f>IF(F172&lt;0,"Error: Enter as positive.",)</f>
        <v>0</v>
      </c>
      <c r="H172" s="17"/>
      <c r="I172" s="72"/>
      <c r="J172"/>
    </row>
    <row r="173" spans="1:10" ht="75" customHeight="1" x14ac:dyDescent="0.3">
      <c r="A173" s="100">
        <v>525</v>
      </c>
      <c r="B173" s="806" t="s">
        <v>1650</v>
      </c>
      <c r="C173" s="343" t="s">
        <v>148</v>
      </c>
      <c r="D173" s="28" t="s">
        <v>17</v>
      </c>
      <c r="E173" s="341" t="e">
        <f>INDEX('PY1 Data(H)'!$A$1:$CZ$231,MATCH('Unit Data from Audit Worksheet'!$A173,'PY1 Data(H)'!$A$1:$A$231,0),MATCH('Unit Data from Audit Worksheet'!$D$2,'PY1 Data(H)'!$A$1:$CZ$1,0))</f>
        <v>#N/A</v>
      </c>
      <c r="F173" s="897">
        <v>0</v>
      </c>
      <c r="G173" s="372">
        <f>IF(F173&lt;0,"Error: Enter as positive.",)</f>
        <v>0</v>
      </c>
      <c r="H173" s="17"/>
      <c r="I173" s="72"/>
      <c r="J173"/>
    </row>
    <row r="174" spans="1:10" ht="76.5" customHeight="1" x14ac:dyDescent="0.3">
      <c r="A174" s="100">
        <v>526</v>
      </c>
      <c r="B174" s="806" t="s">
        <v>1650</v>
      </c>
      <c r="C174" s="343" t="s">
        <v>148</v>
      </c>
      <c r="D174" s="28" t="s">
        <v>36</v>
      </c>
      <c r="E174" s="341" t="e">
        <f>INDEX('PY1 Data(H)'!$A$1:$CZ$231,MATCH('Unit Data from Audit Worksheet'!$A174,'PY1 Data(H)'!$A$1:$A$231,0),MATCH('Unit Data from Audit Worksheet'!$D$2,'PY1 Data(H)'!$A$1:$CZ$1,0))</f>
        <v>#N/A</v>
      </c>
      <c r="F174" s="897">
        <v>0</v>
      </c>
      <c r="G174" s="372">
        <f>IF(F174&lt;0,"Error: Enter as positive.",)</f>
        <v>0</v>
      </c>
      <c r="H174" s="17"/>
      <c r="I174" s="72"/>
      <c r="J174"/>
    </row>
    <row r="175" spans="1:10" ht="24.75" customHeight="1" x14ac:dyDescent="0.3">
      <c r="A175" s="100"/>
      <c r="B175" s="673"/>
      <c r="C175" s="673"/>
      <c r="D175" s="395" t="s">
        <v>28</v>
      </c>
      <c r="E175" s="93" t="e">
        <f>E171+E172+E173+E174</f>
        <v>#N/A</v>
      </c>
      <c r="F175" s="900">
        <f>SUM(F171:F174)</f>
        <v>0</v>
      </c>
      <c r="G175" s="379"/>
      <c r="H175" s="17"/>
      <c r="I175" s="72"/>
      <c r="J175"/>
    </row>
    <row r="176" spans="1:10" ht="61.5" customHeight="1" x14ac:dyDescent="0.3">
      <c r="A176" s="100"/>
      <c r="B176" s="673"/>
      <c r="C176" s="673"/>
      <c r="D176" s="396" t="s">
        <v>30</v>
      </c>
      <c r="E176" s="93" t="e">
        <f>E156+E163-E175</f>
        <v>#N/A</v>
      </c>
      <c r="F176" s="900">
        <f>F156+F163-F175</f>
        <v>0</v>
      </c>
      <c r="G176" s="379"/>
      <c r="H176" s="17"/>
      <c r="I176" s="72"/>
      <c r="J176"/>
    </row>
    <row r="177" spans="1:1880" ht="21.6" customHeight="1" x14ac:dyDescent="0.3">
      <c r="A177" s="100"/>
      <c r="B177" s="671"/>
      <c r="C177" s="671"/>
      <c r="D177" s="390"/>
      <c r="E177" s="1"/>
      <c r="F177" s="777"/>
      <c r="G177" s="379"/>
      <c r="H177" s="17"/>
      <c r="I177" s="72"/>
      <c r="J177"/>
    </row>
    <row r="178" spans="1:1880" s="18" customFormat="1" ht="35.25" customHeight="1" x14ac:dyDescent="0.3">
      <c r="A178" s="100"/>
      <c r="B178" s="455" t="s">
        <v>8</v>
      </c>
      <c r="C178" s="456"/>
      <c r="D178" s="437"/>
      <c r="E178" s="438"/>
      <c r="F178" s="772"/>
      <c r="G178" s="453"/>
      <c r="H178" s="17"/>
      <c r="I178" s="72"/>
      <c r="J178"/>
      <c r="L178"/>
      <c r="N178" s="176"/>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row>
    <row r="179" spans="1:1880" s="18" customFormat="1" ht="273.75" customHeight="1" x14ac:dyDescent="0.3">
      <c r="A179" s="100">
        <v>337</v>
      </c>
      <c r="B179" s="4" t="s">
        <v>51</v>
      </c>
      <c r="C179" s="4" t="s">
        <v>530</v>
      </c>
      <c r="D179" s="21" t="s">
        <v>438</v>
      </c>
      <c r="E179" s="341" t="e">
        <f>INDEX('PY1 Data(H)'!$A$1:$CZ$231,MATCH('Unit Data from Audit Worksheet'!$A179,'PY1 Data(H)'!$A$1:$A$231,0),MATCH('Unit Data from Audit Worksheet'!$D$2,'PY1 Data(H)'!$A$1:$CZ$1,0))</f>
        <v>#N/A</v>
      </c>
      <c r="F179" s="766">
        <v>0</v>
      </c>
      <c r="G179" s="372">
        <f>IF(F179&lt;0,"Error: Enter as positive.",)</f>
        <v>0</v>
      </c>
      <c r="H179" s="17"/>
      <c r="I179" s="72"/>
      <c r="J179"/>
      <c r="L179"/>
      <c r="N179" s="176"/>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row>
    <row r="180" spans="1:1880" s="18" customFormat="1" ht="81.75" customHeight="1" x14ac:dyDescent="0.3">
      <c r="A180" s="100">
        <v>343</v>
      </c>
      <c r="B180" s="4" t="s">
        <v>51</v>
      </c>
      <c r="C180" s="4" t="s">
        <v>288</v>
      </c>
      <c r="D180" s="25" t="s">
        <v>531</v>
      </c>
      <c r="E180" s="341" t="e">
        <f>INDEX('PY1 Data(H)'!$A$1:$CZ$231,MATCH('Unit Data from Audit Worksheet'!$A180,'PY1 Data(H)'!$A$1:$A$231,0),MATCH('Unit Data from Audit Worksheet'!$D$2,'PY1 Data(H)'!$A$1:$CZ$1,0))</f>
        <v>#N/A</v>
      </c>
      <c r="F180" s="897">
        <v>0</v>
      </c>
      <c r="G180" s="372">
        <f>IF(F180&lt;0,"Error: Enter as positive.",)</f>
        <v>0</v>
      </c>
      <c r="H180" s="17"/>
      <c r="I180" s="72"/>
      <c r="J180"/>
      <c r="L180"/>
      <c r="M180" s="91"/>
      <c r="N180" s="176"/>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row>
    <row r="181" spans="1:1880" ht="274.5" customHeight="1" x14ac:dyDescent="0.3">
      <c r="A181" s="100">
        <v>82</v>
      </c>
      <c r="B181" s="4" t="s">
        <v>55</v>
      </c>
      <c r="C181" s="4" t="s">
        <v>532</v>
      </c>
      <c r="D181" s="21" t="s">
        <v>373</v>
      </c>
      <c r="E181" s="341" t="e">
        <f>INDEX('PY1 Data(H)'!$A$1:$CZ$231,MATCH('Unit Data from Audit Worksheet'!$A181,'PY1 Data(H)'!$A$1:$A$231,0),MATCH('Unit Data from Audit Worksheet'!$D$2,'PY1 Data(H)'!$A$1:$CZ$1,0))</f>
        <v>#N/A</v>
      </c>
      <c r="F181" s="897">
        <v>0</v>
      </c>
      <c r="G181" s="372">
        <f>IF(F181&lt;0,"Error: Enter as positive.",)</f>
        <v>0</v>
      </c>
      <c r="H181" s="17"/>
      <c r="I181" s="397"/>
      <c r="J181"/>
    </row>
    <row r="182" spans="1:1880" s="399" customFormat="1" ht="33" customHeight="1" x14ac:dyDescent="0.3">
      <c r="A182" s="100"/>
      <c r="B182" s="725" t="s">
        <v>304</v>
      </c>
      <c r="C182" s="726"/>
      <c r="D182" s="89"/>
      <c r="E182" s="398"/>
      <c r="F182" s="903"/>
      <c r="G182" s="371"/>
      <c r="H182" s="17"/>
      <c r="I182" s="397"/>
      <c r="J182"/>
      <c r="K182" s="18"/>
      <c r="L182"/>
      <c r="M182" s="18"/>
      <c r="N182" s="176"/>
      <c r="O182" s="18"/>
      <c r="P182" s="18"/>
      <c r="Q182" s="18"/>
      <c r="R182" s="18"/>
      <c r="S182" s="18"/>
      <c r="T182" s="18"/>
      <c r="U182" s="18"/>
      <c r="V182" s="18"/>
      <c r="W182" s="18"/>
      <c r="X182" s="18"/>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c r="ES182" s="18"/>
      <c r="ET182" s="18"/>
      <c r="EU182" s="18"/>
      <c r="EV182" s="18"/>
      <c r="EW182" s="18"/>
      <c r="EX182" s="18"/>
      <c r="EY182" s="18"/>
      <c r="EZ182" s="18"/>
      <c r="FA182" s="18"/>
      <c r="FB182" s="18"/>
      <c r="FC182" s="18"/>
      <c r="FD182" s="18"/>
      <c r="FE182" s="18"/>
      <c r="FF182" s="18"/>
      <c r="FG182" s="18"/>
      <c r="FH182" s="18"/>
      <c r="FI182" s="18"/>
      <c r="FJ182" s="18"/>
      <c r="FK182" s="18"/>
      <c r="FL182" s="18"/>
      <c r="FM182" s="18"/>
      <c r="FN182" s="18"/>
      <c r="FO182" s="18"/>
      <c r="FP182" s="18"/>
      <c r="FQ182" s="18"/>
      <c r="FR182" s="18"/>
      <c r="FS182" s="18"/>
      <c r="FT182" s="18"/>
      <c r="FU182" s="18"/>
      <c r="FV182" s="18"/>
      <c r="FW182" s="18"/>
      <c r="FX182" s="18"/>
      <c r="FY182" s="18"/>
      <c r="FZ182" s="18"/>
      <c r="GA182" s="18"/>
      <c r="GB182" s="18"/>
      <c r="GC182" s="18"/>
      <c r="GD182" s="18"/>
      <c r="GE182" s="18"/>
      <c r="GF182" s="18"/>
      <c r="GG182" s="18"/>
      <c r="GH182" s="18"/>
      <c r="GI182" s="18"/>
      <c r="GJ182" s="18"/>
      <c r="GK182" s="18"/>
      <c r="GL182" s="18"/>
      <c r="GM182" s="18"/>
      <c r="GN182" s="18"/>
      <c r="GO182" s="18"/>
      <c r="GP182" s="18"/>
      <c r="GQ182" s="18"/>
      <c r="GR182" s="18"/>
      <c r="GS182" s="18"/>
      <c r="GT182" s="18"/>
      <c r="GU182" s="18"/>
      <c r="GV182" s="18"/>
      <c r="GW182" s="18"/>
      <c r="GX182" s="18"/>
      <c r="GY182" s="18"/>
      <c r="GZ182" s="18"/>
      <c r="HA182" s="18"/>
      <c r="HB182" s="18"/>
      <c r="HC182" s="18"/>
      <c r="HD182" s="18"/>
      <c r="HE182" s="18"/>
      <c r="HF182" s="18"/>
      <c r="HG182" s="18"/>
      <c r="HH182" s="18"/>
      <c r="HI182" s="18"/>
      <c r="HJ182" s="18"/>
      <c r="HK182" s="18"/>
      <c r="HL182" s="18"/>
      <c r="HM182" s="18"/>
      <c r="HN182" s="18"/>
      <c r="HO182" s="18"/>
      <c r="HP182" s="18"/>
      <c r="HQ182" s="18"/>
      <c r="HR182" s="18"/>
      <c r="HS182" s="18"/>
      <c r="HT182" s="18"/>
      <c r="HU182" s="18"/>
      <c r="HV182" s="18"/>
      <c r="HW182" s="18"/>
      <c r="HX182" s="18"/>
      <c r="HY182" s="18"/>
      <c r="HZ182" s="18"/>
      <c r="IA182" s="18"/>
      <c r="IB182" s="18"/>
      <c r="IC182" s="18"/>
      <c r="ID182" s="18"/>
      <c r="IE182" s="18"/>
      <c r="IF182" s="18"/>
      <c r="IG182" s="18"/>
      <c r="IH182" s="18"/>
      <c r="II182" s="18"/>
      <c r="IJ182" s="18"/>
      <c r="IK182" s="18"/>
      <c r="IL182" s="18"/>
      <c r="IM182" s="18"/>
      <c r="IN182" s="18"/>
      <c r="IO182" s="18"/>
      <c r="IP182" s="18"/>
      <c r="IQ182" s="18"/>
      <c r="IR182" s="18"/>
      <c r="IS182" s="18"/>
      <c r="IT182" s="18"/>
      <c r="IU182" s="18"/>
      <c r="IV182" s="18"/>
      <c r="IW182" s="18"/>
      <c r="IX182" s="18"/>
      <c r="IY182" s="18"/>
      <c r="IZ182" s="18"/>
      <c r="JA182" s="18"/>
      <c r="JB182" s="18"/>
      <c r="JC182" s="18"/>
      <c r="JD182" s="18"/>
      <c r="JE182" s="18"/>
      <c r="JF182" s="18"/>
      <c r="JG182" s="18"/>
      <c r="JH182" s="18"/>
      <c r="JI182" s="18"/>
      <c r="JJ182" s="18"/>
      <c r="JK182" s="18"/>
      <c r="JL182" s="18"/>
      <c r="JM182" s="18"/>
      <c r="JN182" s="18"/>
      <c r="JO182" s="18"/>
      <c r="JP182" s="18"/>
      <c r="JQ182" s="18"/>
      <c r="JR182" s="18"/>
      <c r="JS182" s="18"/>
      <c r="JT182" s="18"/>
      <c r="JU182" s="18"/>
      <c r="JV182" s="18"/>
      <c r="JW182" s="18"/>
      <c r="JX182" s="18"/>
      <c r="JY182" s="18"/>
      <c r="JZ182" s="18"/>
      <c r="KA182" s="18"/>
      <c r="KB182" s="18"/>
      <c r="KC182" s="18"/>
      <c r="KD182" s="18"/>
      <c r="KE182" s="18"/>
      <c r="KF182" s="18"/>
      <c r="KG182" s="18"/>
      <c r="KH182" s="18"/>
      <c r="KI182" s="18"/>
      <c r="KJ182" s="18"/>
      <c r="KK182" s="18"/>
      <c r="KL182" s="18"/>
      <c r="KM182" s="18"/>
      <c r="KN182" s="18"/>
      <c r="KO182" s="18"/>
      <c r="KP182" s="18"/>
      <c r="KQ182" s="18"/>
      <c r="KR182" s="18"/>
      <c r="KS182" s="18"/>
      <c r="KT182" s="18"/>
      <c r="KU182" s="18"/>
      <c r="KV182" s="18"/>
      <c r="KW182" s="18"/>
      <c r="KX182" s="18"/>
      <c r="KY182" s="18"/>
      <c r="KZ182" s="18"/>
      <c r="LA182" s="18"/>
      <c r="LB182" s="18"/>
      <c r="LC182" s="18"/>
      <c r="LD182" s="18"/>
      <c r="LE182" s="18"/>
      <c r="LF182" s="18"/>
      <c r="LG182" s="18"/>
      <c r="LH182" s="18"/>
      <c r="LI182" s="18"/>
      <c r="LJ182" s="18"/>
      <c r="LK182" s="18"/>
      <c r="LL182" s="18"/>
      <c r="LM182" s="18"/>
      <c r="LN182" s="18"/>
      <c r="LO182" s="18"/>
      <c r="LP182" s="18"/>
      <c r="LQ182" s="18"/>
      <c r="LR182" s="18"/>
      <c r="LS182" s="18"/>
      <c r="LT182" s="18"/>
      <c r="LU182" s="18"/>
      <c r="LV182" s="18"/>
      <c r="LW182" s="18"/>
      <c r="LX182" s="18"/>
      <c r="LY182" s="18"/>
      <c r="LZ182" s="18"/>
      <c r="MA182" s="18"/>
      <c r="MB182" s="18"/>
      <c r="MC182" s="18"/>
      <c r="MD182" s="18"/>
      <c r="ME182" s="18"/>
      <c r="MF182" s="18"/>
      <c r="MG182" s="18"/>
      <c r="MH182" s="18"/>
      <c r="MI182" s="18"/>
      <c r="MJ182" s="18"/>
      <c r="MK182" s="18"/>
      <c r="ML182" s="18"/>
      <c r="MM182" s="18"/>
      <c r="MN182" s="18"/>
      <c r="MO182" s="18"/>
      <c r="MP182" s="18"/>
      <c r="MQ182" s="18"/>
      <c r="MR182" s="18"/>
      <c r="MS182" s="18"/>
      <c r="MT182" s="18"/>
      <c r="MU182" s="18"/>
      <c r="MV182" s="18"/>
      <c r="MW182" s="18"/>
      <c r="MX182" s="18"/>
      <c r="MY182" s="18"/>
      <c r="MZ182" s="18"/>
      <c r="NA182" s="18"/>
      <c r="NB182" s="18"/>
      <c r="NC182" s="18"/>
      <c r="ND182" s="18"/>
      <c r="NE182" s="18"/>
      <c r="NF182" s="18"/>
      <c r="NG182" s="18"/>
      <c r="NH182" s="18"/>
      <c r="NI182" s="18"/>
      <c r="NJ182" s="18"/>
      <c r="NK182" s="18"/>
      <c r="NL182" s="18"/>
      <c r="NM182" s="18"/>
      <c r="NN182" s="18"/>
      <c r="NO182" s="18"/>
      <c r="NP182" s="18"/>
      <c r="NQ182" s="18"/>
      <c r="NR182" s="18"/>
      <c r="NS182" s="18"/>
      <c r="NT182" s="18"/>
      <c r="NU182" s="18"/>
      <c r="NV182" s="18"/>
      <c r="NW182" s="18"/>
      <c r="NX182" s="18"/>
      <c r="NY182" s="18"/>
      <c r="NZ182" s="18"/>
      <c r="OA182" s="18"/>
      <c r="OB182" s="18"/>
      <c r="OC182" s="18"/>
      <c r="OD182" s="18"/>
      <c r="OE182" s="18"/>
      <c r="OF182" s="18"/>
      <c r="OG182" s="18"/>
      <c r="OH182" s="18"/>
      <c r="OI182" s="18"/>
      <c r="OJ182" s="18"/>
      <c r="OK182" s="18"/>
      <c r="OL182" s="18"/>
      <c r="OM182" s="18"/>
      <c r="ON182" s="18"/>
      <c r="OO182" s="18"/>
      <c r="OP182" s="18"/>
      <c r="OQ182" s="18"/>
      <c r="OR182" s="18"/>
      <c r="OS182" s="18"/>
      <c r="OT182" s="18"/>
      <c r="OU182" s="18"/>
      <c r="OV182" s="18"/>
      <c r="OW182" s="18"/>
      <c r="OX182" s="18"/>
      <c r="OY182" s="18"/>
      <c r="OZ182" s="18"/>
      <c r="PA182" s="18"/>
      <c r="PB182" s="18"/>
      <c r="PC182" s="18"/>
      <c r="PD182" s="18"/>
      <c r="PE182" s="18"/>
      <c r="PF182" s="18"/>
      <c r="PG182" s="18"/>
      <c r="PH182" s="18"/>
      <c r="PI182" s="18"/>
      <c r="PJ182" s="18"/>
      <c r="PK182" s="18"/>
      <c r="PL182" s="18"/>
      <c r="PM182" s="18"/>
      <c r="PN182" s="18"/>
      <c r="PO182" s="18"/>
      <c r="PP182" s="18"/>
      <c r="PQ182" s="18"/>
      <c r="PR182" s="18"/>
      <c r="PS182" s="18"/>
      <c r="PT182" s="18"/>
      <c r="PU182" s="18"/>
      <c r="PV182" s="18"/>
      <c r="PW182" s="18"/>
      <c r="PX182" s="18"/>
      <c r="PY182" s="18"/>
      <c r="PZ182" s="18"/>
      <c r="QA182" s="18"/>
      <c r="QB182" s="18"/>
      <c r="QC182" s="18"/>
      <c r="QD182" s="18"/>
      <c r="QE182" s="18"/>
      <c r="QF182" s="18"/>
      <c r="QG182" s="18"/>
      <c r="QH182" s="18"/>
      <c r="QI182" s="18"/>
      <c r="QJ182" s="18"/>
      <c r="QK182" s="18"/>
      <c r="QL182" s="18"/>
      <c r="QM182" s="18"/>
      <c r="QN182" s="18"/>
      <c r="QO182" s="18"/>
      <c r="QP182" s="18"/>
      <c r="QQ182" s="18"/>
      <c r="QR182" s="18"/>
      <c r="QS182" s="18"/>
      <c r="QT182" s="18"/>
      <c r="QU182" s="18"/>
      <c r="QV182" s="18"/>
      <c r="QW182" s="18"/>
      <c r="QX182" s="18"/>
      <c r="QY182" s="18"/>
      <c r="QZ182" s="18"/>
      <c r="RA182" s="18"/>
      <c r="RB182" s="18"/>
      <c r="RC182" s="18"/>
      <c r="RD182" s="18"/>
      <c r="RE182" s="18"/>
      <c r="RF182" s="18"/>
      <c r="RG182" s="18"/>
      <c r="RH182" s="18"/>
      <c r="RI182" s="18"/>
      <c r="RJ182" s="18"/>
      <c r="RK182" s="18"/>
      <c r="RL182" s="18"/>
      <c r="RM182" s="18"/>
      <c r="RN182" s="18"/>
      <c r="RO182" s="18"/>
      <c r="RP182" s="18"/>
      <c r="RQ182" s="18"/>
      <c r="RR182" s="18"/>
      <c r="RS182" s="18"/>
      <c r="RT182" s="18"/>
      <c r="RU182" s="18"/>
      <c r="RV182" s="18"/>
      <c r="RW182" s="18"/>
      <c r="RX182" s="18"/>
      <c r="RY182" s="18"/>
      <c r="RZ182" s="18"/>
      <c r="SA182" s="18"/>
      <c r="SB182" s="18"/>
      <c r="SC182" s="18"/>
      <c r="SD182" s="18"/>
      <c r="SE182" s="18"/>
      <c r="SF182" s="18"/>
      <c r="SG182" s="18"/>
      <c r="SH182" s="18"/>
      <c r="SI182" s="18"/>
      <c r="SJ182" s="18"/>
      <c r="SK182" s="18"/>
      <c r="SL182" s="18"/>
      <c r="SM182" s="18"/>
      <c r="SN182" s="18"/>
      <c r="SO182" s="18"/>
      <c r="SP182" s="18"/>
      <c r="SQ182" s="18"/>
      <c r="SR182" s="18"/>
      <c r="SS182" s="18"/>
      <c r="ST182" s="18"/>
      <c r="SU182" s="18"/>
      <c r="SV182" s="18"/>
      <c r="SW182" s="18"/>
      <c r="SX182" s="18"/>
      <c r="SY182" s="18"/>
      <c r="SZ182" s="18"/>
      <c r="TA182" s="18"/>
      <c r="TB182" s="18"/>
      <c r="TC182" s="18"/>
      <c r="TD182" s="18"/>
      <c r="TE182" s="18"/>
      <c r="TF182" s="18"/>
      <c r="TG182" s="18"/>
      <c r="TH182" s="18"/>
      <c r="TI182" s="18"/>
      <c r="TJ182" s="18"/>
      <c r="TK182" s="18"/>
      <c r="TL182" s="18"/>
      <c r="TM182" s="18"/>
      <c r="TN182" s="18"/>
      <c r="TO182" s="18"/>
      <c r="TP182" s="18"/>
      <c r="TQ182" s="18"/>
      <c r="TR182" s="18"/>
      <c r="TS182" s="18"/>
      <c r="TT182" s="18"/>
      <c r="TU182" s="18"/>
      <c r="TV182" s="18"/>
      <c r="TW182" s="18"/>
      <c r="TX182" s="18"/>
      <c r="TY182" s="18"/>
      <c r="TZ182" s="18"/>
      <c r="UA182" s="18"/>
      <c r="UB182" s="18"/>
      <c r="UC182" s="18"/>
      <c r="UD182" s="18"/>
      <c r="UE182" s="18"/>
      <c r="UF182" s="18"/>
      <c r="UG182" s="18"/>
      <c r="UH182" s="18"/>
      <c r="UI182" s="18"/>
      <c r="UJ182" s="18"/>
      <c r="UK182" s="18"/>
      <c r="UL182" s="18"/>
      <c r="UM182" s="18"/>
      <c r="UN182" s="18"/>
      <c r="UO182" s="18"/>
      <c r="UP182" s="18"/>
      <c r="UQ182" s="18"/>
      <c r="UR182" s="18"/>
      <c r="US182" s="18"/>
      <c r="UT182" s="18"/>
      <c r="UU182" s="18"/>
      <c r="UV182" s="18"/>
      <c r="UW182" s="18"/>
      <c r="UX182" s="18"/>
      <c r="UY182" s="18"/>
      <c r="UZ182" s="18"/>
      <c r="VA182" s="18"/>
      <c r="VB182" s="18"/>
      <c r="VC182" s="18"/>
      <c r="VD182" s="18"/>
      <c r="VE182" s="18"/>
      <c r="VF182" s="18"/>
      <c r="VG182" s="18"/>
      <c r="VH182" s="18"/>
      <c r="VI182" s="18"/>
      <c r="VJ182" s="18"/>
      <c r="VK182" s="18"/>
      <c r="VL182" s="18"/>
      <c r="VM182" s="18"/>
      <c r="VN182" s="18"/>
      <c r="VO182" s="18"/>
      <c r="VP182" s="18"/>
      <c r="VQ182" s="18"/>
      <c r="VR182" s="18"/>
      <c r="VS182" s="18"/>
      <c r="VT182" s="18"/>
      <c r="VU182" s="18"/>
      <c r="VV182" s="18"/>
      <c r="VW182" s="18"/>
      <c r="VX182" s="18"/>
      <c r="VY182" s="18"/>
      <c r="VZ182" s="18"/>
      <c r="WA182" s="18"/>
      <c r="WB182" s="18"/>
      <c r="WC182" s="18"/>
      <c r="WD182" s="18"/>
      <c r="WE182" s="18"/>
      <c r="WF182" s="18"/>
      <c r="WG182" s="18"/>
      <c r="WH182" s="18"/>
      <c r="WI182" s="18"/>
      <c r="WJ182" s="18"/>
      <c r="WK182" s="18"/>
      <c r="WL182" s="18"/>
      <c r="WM182" s="18"/>
      <c r="WN182" s="18"/>
      <c r="WO182" s="18"/>
      <c r="WP182" s="18"/>
      <c r="WQ182" s="18"/>
      <c r="WR182" s="18"/>
      <c r="WS182" s="18"/>
      <c r="WT182" s="18"/>
      <c r="WU182" s="18"/>
      <c r="WV182" s="18"/>
      <c r="WW182" s="18"/>
      <c r="WX182" s="18"/>
      <c r="WY182" s="18"/>
      <c r="WZ182" s="18"/>
      <c r="XA182" s="18"/>
      <c r="XB182" s="18"/>
      <c r="XC182" s="18"/>
      <c r="XD182" s="18"/>
      <c r="XE182" s="18"/>
      <c r="XF182" s="18"/>
      <c r="XG182" s="18"/>
      <c r="XH182" s="18"/>
      <c r="XI182" s="18"/>
      <c r="XJ182" s="18"/>
      <c r="XK182" s="18"/>
      <c r="XL182" s="18"/>
      <c r="XM182" s="18"/>
      <c r="XN182" s="18"/>
      <c r="XO182" s="18"/>
      <c r="XP182" s="18"/>
      <c r="XQ182" s="18"/>
      <c r="XR182" s="18"/>
      <c r="XS182" s="18"/>
      <c r="XT182" s="18"/>
      <c r="XU182" s="18"/>
      <c r="XV182" s="18"/>
      <c r="XW182" s="18"/>
      <c r="XX182" s="18"/>
      <c r="XY182" s="18"/>
      <c r="XZ182" s="18"/>
      <c r="YA182" s="18"/>
      <c r="YB182" s="18"/>
      <c r="YC182" s="18"/>
      <c r="YD182" s="18"/>
      <c r="YE182" s="18"/>
      <c r="YF182" s="18"/>
      <c r="YG182" s="18"/>
      <c r="YH182" s="18"/>
      <c r="YI182" s="18"/>
      <c r="YJ182" s="18"/>
      <c r="YK182" s="18"/>
      <c r="YL182" s="18"/>
      <c r="YM182" s="18"/>
      <c r="YN182" s="18"/>
      <c r="YO182" s="18"/>
      <c r="YP182" s="18"/>
      <c r="YQ182" s="18"/>
      <c r="YR182" s="18"/>
      <c r="YS182" s="18"/>
      <c r="YT182" s="18"/>
      <c r="YU182" s="18"/>
      <c r="YV182" s="18"/>
      <c r="YW182" s="18"/>
      <c r="YX182" s="18"/>
      <c r="YY182" s="18"/>
      <c r="YZ182" s="18"/>
      <c r="ZA182" s="18"/>
      <c r="ZB182" s="18"/>
      <c r="ZC182" s="18"/>
      <c r="ZD182" s="18"/>
      <c r="ZE182" s="18"/>
      <c r="ZF182" s="18"/>
      <c r="ZG182" s="18"/>
      <c r="ZH182" s="18"/>
      <c r="ZI182" s="18"/>
      <c r="ZJ182" s="18"/>
      <c r="ZK182" s="18"/>
      <c r="ZL182" s="18"/>
      <c r="ZM182" s="18"/>
      <c r="ZN182" s="18"/>
      <c r="ZO182" s="18"/>
      <c r="ZP182" s="18"/>
      <c r="ZQ182" s="18"/>
      <c r="ZR182" s="18"/>
      <c r="ZS182" s="18"/>
      <c r="ZT182" s="18"/>
      <c r="ZU182" s="18"/>
      <c r="ZV182" s="18"/>
      <c r="ZW182" s="18"/>
      <c r="ZX182" s="18"/>
      <c r="ZY182" s="18"/>
      <c r="ZZ182" s="18"/>
      <c r="AAA182" s="18"/>
      <c r="AAB182" s="18"/>
      <c r="AAC182" s="18"/>
      <c r="AAD182" s="18"/>
      <c r="AAE182" s="18"/>
      <c r="AAF182" s="18"/>
      <c r="AAG182" s="18"/>
      <c r="AAH182" s="18"/>
      <c r="AAI182" s="18"/>
      <c r="AAJ182" s="18"/>
      <c r="AAK182" s="18"/>
      <c r="AAL182" s="18"/>
      <c r="AAM182" s="18"/>
      <c r="AAN182" s="18"/>
      <c r="AAO182" s="18"/>
      <c r="AAP182" s="18"/>
      <c r="AAQ182" s="18"/>
      <c r="AAR182" s="18"/>
      <c r="AAS182" s="18"/>
      <c r="AAT182" s="18"/>
      <c r="AAU182" s="18"/>
      <c r="AAV182" s="18"/>
      <c r="AAW182" s="18"/>
      <c r="AAX182" s="18"/>
      <c r="AAY182" s="18"/>
      <c r="AAZ182" s="18"/>
      <c r="ABA182" s="18"/>
      <c r="ABB182" s="18"/>
      <c r="ABC182" s="18"/>
      <c r="ABD182" s="18"/>
      <c r="ABE182" s="18"/>
      <c r="ABF182" s="18"/>
      <c r="ABG182" s="18"/>
      <c r="ABH182" s="18"/>
      <c r="ABI182" s="18"/>
      <c r="ABJ182" s="18"/>
      <c r="ABK182" s="18"/>
      <c r="ABL182" s="18"/>
      <c r="ABM182" s="18"/>
      <c r="ABN182" s="18"/>
      <c r="ABO182" s="18"/>
      <c r="ABP182" s="18"/>
      <c r="ABQ182" s="18"/>
      <c r="ABR182" s="18"/>
      <c r="ABS182" s="18"/>
      <c r="ABT182" s="18"/>
      <c r="ABU182" s="18"/>
      <c r="ABV182" s="18"/>
      <c r="ABW182" s="18"/>
      <c r="ABX182" s="18"/>
      <c r="ABY182" s="18"/>
      <c r="ABZ182" s="18"/>
      <c r="ACA182" s="18"/>
      <c r="ACB182" s="18"/>
      <c r="ACC182" s="18"/>
      <c r="ACD182" s="18"/>
      <c r="ACE182" s="18"/>
      <c r="ACF182" s="18"/>
      <c r="ACG182" s="18"/>
      <c r="ACH182" s="18"/>
      <c r="ACI182" s="18"/>
      <c r="ACJ182" s="18"/>
      <c r="ACK182" s="18"/>
      <c r="ACL182" s="18"/>
      <c r="ACM182" s="18"/>
      <c r="ACN182" s="18"/>
      <c r="ACO182" s="18"/>
      <c r="ACP182" s="18"/>
      <c r="ACQ182" s="18"/>
      <c r="ACR182" s="18"/>
      <c r="ACS182" s="18"/>
      <c r="ACT182" s="18"/>
      <c r="ACU182" s="18"/>
      <c r="ACV182" s="18"/>
      <c r="ACW182" s="18"/>
      <c r="ACX182" s="18"/>
      <c r="ACY182" s="18"/>
      <c r="ACZ182" s="18"/>
      <c r="ADA182" s="18"/>
      <c r="ADB182" s="18"/>
      <c r="ADC182" s="18"/>
      <c r="ADD182" s="18"/>
      <c r="ADE182" s="18"/>
      <c r="ADF182" s="18"/>
      <c r="ADG182" s="18"/>
      <c r="ADH182" s="18"/>
      <c r="ADI182" s="18"/>
      <c r="ADJ182" s="18"/>
      <c r="ADK182" s="18"/>
      <c r="ADL182" s="18"/>
      <c r="ADM182" s="18"/>
      <c r="ADN182" s="18"/>
      <c r="ADO182" s="18"/>
      <c r="ADP182" s="18"/>
      <c r="ADQ182" s="18"/>
      <c r="ADR182" s="18"/>
      <c r="ADS182" s="18"/>
      <c r="ADT182" s="18"/>
      <c r="ADU182" s="18"/>
      <c r="ADV182" s="18"/>
      <c r="ADW182" s="18"/>
      <c r="ADX182" s="18"/>
      <c r="ADY182" s="18"/>
      <c r="ADZ182" s="18"/>
      <c r="AEA182" s="18"/>
      <c r="AEB182" s="18"/>
      <c r="AEC182" s="18"/>
      <c r="AED182" s="18"/>
      <c r="AEE182" s="18"/>
      <c r="AEF182" s="18"/>
      <c r="AEG182" s="18"/>
      <c r="AEH182" s="18"/>
      <c r="AEI182" s="18"/>
      <c r="AEJ182" s="18"/>
      <c r="AEK182" s="18"/>
      <c r="AEL182" s="18"/>
      <c r="AEM182" s="18"/>
      <c r="AEN182" s="18"/>
      <c r="AEO182" s="18"/>
      <c r="AEP182" s="18"/>
      <c r="AEQ182" s="18"/>
      <c r="AER182" s="18"/>
      <c r="AES182" s="18"/>
      <c r="AET182" s="18"/>
      <c r="AEU182" s="18"/>
      <c r="AEV182" s="18"/>
      <c r="AEW182" s="18"/>
      <c r="AEX182" s="18"/>
      <c r="AEY182" s="18"/>
      <c r="AEZ182" s="18"/>
      <c r="AFA182" s="18"/>
      <c r="AFB182" s="18"/>
      <c r="AFC182" s="18"/>
      <c r="AFD182" s="18"/>
      <c r="AFE182" s="18"/>
      <c r="AFF182" s="18"/>
      <c r="AFG182" s="18"/>
      <c r="AFH182" s="18"/>
      <c r="AFI182" s="18"/>
      <c r="AFJ182" s="18"/>
      <c r="AFK182" s="18"/>
      <c r="AFL182" s="18"/>
      <c r="AFM182" s="18"/>
      <c r="AFN182" s="18"/>
      <c r="AFO182" s="18"/>
      <c r="AFP182" s="18"/>
      <c r="AFQ182" s="18"/>
      <c r="AFR182" s="18"/>
      <c r="AFS182" s="18"/>
      <c r="AFT182" s="18"/>
      <c r="AFU182" s="18"/>
      <c r="AFV182" s="18"/>
      <c r="AFW182" s="18"/>
      <c r="AFX182" s="18"/>
      <c r="AFY182" s="18"/>
      <c r="AFZ182" s="18"/>
      <c r="AGA182" s="18"/>
      <c r="AGB182" s="18"/>
      <c r="AGC182" s="18"/>
      <c r="AGD182" s="18"/>
      <c r="AGE182" s="18"/>
      <c r="AGF182" s="18"/>
      <c r="AGG182" s="18"/>
      <c r="AGH182" s="18"/>
      <c r="AGI182" s="18"/>
      <c r="AGJ182" s="18"/>
      <c r="AGK182" s="18"/>
      <c r="AGL182" s="18"/>
      <c r="AGM182" s="18"/>
      <c r="AGN182" s="18"/>
      <c r="AGO182" s="18"/>
      <c r="AGP182" s="18"/>
      <c r="AGQ182" s="18"/>
      <c r="AGR182" s="18"/>
      <c r="AGS182" s="18"/>
      <c r="AGT182" s="18"/>
      <c r="AGU182" s="18"/>
      <c r="AGV182" s="18"/>
      <c r="AGW182" s="18"/>
      <c r="AGX182" s="18"/>
      <c r="AGY182" s="18"/>
      <c r="AGZ182" s="18"/>
      <c r="AHA182" s="18"/>
      <c r="AHB182" s="18"/>
      <c r="AHC182" s="18"/>
      <c r="AHD182" s="18"/>
      <c r="AHE182" s="18"/>
      <c r="AHF182" s="18"/>
      <c r="AHG182" s="18"/>
      <c r="AHH182" s="18"/>
      <c r="AHI182" s="18"/>
      <c r="AHJ182" s="18"/>
      <c r="AHK182" s="18"/>
      <c r="AHL182" s="18"/>
      <c r="AHM182" s="18"/>
      <c r="AHN182" s="18"/>
      <c r="AHO182" s="18"/>
      <c r="AHP182" s="18"/>
      <c r="AHQ182" s="18"/>
      <c r="AHR182" s="18"/>
      <c r="AHS182" s="18"/>
      <c r="AHT182" s="18"/>
      <c r="AHU182" s="18"/>
      <c r="AHV182" s="18"/>
      <c r="AHW182" s="18"/>
      <c r="AHX182" s="18"/>
      <c r="AHY182" s="18"/>
      <c r="AHZ182" s="18"/>
      <c r="AIA182" s="18"/>
      <c r="AIB182" s="18"/>
      <c r="AIC182" s="18"/>
      <c r="AID182" s="18"/>
      <c r="AIE182" s="18"/>
      <c r="AIF182" s="18"/>
      <c r="AIG182" s="18"/>
      <c r="AIH182" s="18"/>
      <c r="AII182" s="18"/>
      <c r="AIJ182" s="18"/>
      <c r="AIK182" s="18"/>
      <c r="AIL182" s="18"/>
      <c r="AIM182" s="18"/>
      <c r="AIN182" s="18"/>
      <c r="AIO182" s="18"/>
      <c r="AIP182" s="18"/>
      <c r="AIQ182" s="18"/>
      <c r="AIR182" s="18"/>
      <c r="AIS182" s="18"/>
      <c r="AIT182" s="18"/>
      <c r="AIU182" s="18"/>
      <c r="AIV182" s="18"/>
      <c r="AIW182" s="18"/>
      <c r="AIX182" s="18"/>
      <c r="AIY182" s="18"/>
      <c r="AIZ182" s="18"/>
      <c r="AJA182" s="18"/>
      <c r="AJB182" s="18"/>
      <c r="AJC182" s="18"/>
      <c r="AJD182" s="18"/>
      <c r="AJE182" s="18"/>
      <c r="AJF182" s="18"/>
      <c r="AJG182" s="18"/>
      <c r="AJH182" s="18"/>
      <c r="AJI182" s="18"/>
      <c r="AJJ182" s="18"/>
      <c r="AJK182" s="18"/>
      <c r="AJL182" s="18"/>
      <c r="AJM182" s="18"/>
      <c r="AJN182" s="18"/>
      <c r="AJO182" s="18"/>
      <c r="AJP182" s="18"/>
      <c r="AJQ182" s="18"/>
      <c r="AJR182" s="18"/>
      <c r="AJS182" s="18"/>
      <c r="AJT182" s="18"/>
      <c r="AJU182" s="18"/>
      <c r="AJV182" s="18"/>
      <c r="AJW182" s="18"/>
      <c r="AJX182" s="18"/>
      <c r="AJY182" s="18"/>
      <c r="AJZ182" s="18"/>
      <c r="AKA182" s="18"/>
      <c r="AKB182" s="18"/>
      <c r="AKC182" s="18"/>
      <c r="AKD182" s="18"/>
      <c r="AKE182" s="18"/>
      <c r="AKF182" s="18"/>
      <c r="AKG182" s="18"/>
      <c r="AKH182" s="18"/>
      <c r="AKI182" s="18"/>
      <c r="AKJ182" s="18"/>
      <c r="AKK182" s="18"/>
      <c r="AKL182" s="18"/>
      <c r="AKM182" s="18"/>
      <c r="AKN182" s="18"/>
      <c r="AKO182" s="18"/>
      <c r="AKP182" s="18"/>
      <c r="AKQ182" s="18"/>
      <c r="AKR182" s="18"/>
      <c r="AKS182" s="18"/>
      <c r="AKT182" s="18"/>
      <c r="AKU182" s="18"/>
      <c r="AKV182" s="18"/>
      <c r="AKW182" s="18"/>
      <c r="AKX182" s="18"/>
      <c r="AKY182" s="18"/>
      <c r="AKZ182" s="18"/>
      <c r="ALA182" s="18"/>
      <c r="ALB182" s="18"/>
      <c r="ALC182" s="18"/>
      <c r="ALD182" s="18"/>
      <c r="ALE182" s="18"/>
      <c r="ALF182" s="18"/>
      <c r="ALG182" s="18"/>
      <c r="ALH182" s="18"/>
      <c r="ALI182" s="18"/>
      <c r="ALJ182" s="18"/>
      <c r="ALK182" s="18"/>
      <c r="ALL182" s="18"/>
      <c r="ALM182" s="18"/>
      <c r="ALN182" s="18"/>
      <c r="ALO182" s="18"/>
      <c r="ALP182" s="18"/>
      <c r="ALQ182" s="18"/>
      <c r="ALR182" s="18"/>
      <c r="ALS182" s="18"/>
      <c r="ALT182" s="18"/>
      <c r="ALU182" s="18"/>
      <c r="ALV182" s="18"/>
      <c r="ALW182" s="18"/>
      <c r="ALX182" s="18"/>
      <c r="ALY182" s="18"/>
      <c r="ALZ182" s="18"/>
      <c r="AMA182" s="18"/>
      <c r="AMB182" s="18"/>
      <c r="AMC182" s="18"/>
      <c r="AMD182" s="18"/>
      <c r="AME182" s="18"/>
      <c r="AMF182" s="18"/>
      <c r="AMG182" s="18"/>
      <c r="AMH182" s="18"/>
      <c r="AMI182" s="18"/>
      <c r="AMJ182" s="18"/>
      <c r="AMK182" s="18"/>
      <c r="AML182" s="18"/>
      <c r="AMM182" s="18"/>
      <c r="AMN182" s="18"/>
      <c r="AMO182" s="18"/>
      <c r="AMP182" s="18"/>
      <c r="AMQ182" s="18"/>
      <c r="AMR182" s="18"/>
      <c r="AMS182" s="18"/>
      <c r="AMT182" s="18"/>
      <c r="AMU182" s="18"/>
      <c r="AMV182" s="18"/>
      <c r="AMW182" s="18"/>
      <c r="AMX182" s="18"/>
      <c r="AMY182" s="18"/>
      <c r="AMZ182" s="18"/>
      <c r="ANA182" s="18"/>
      <c r="ANB182" s="18"/>
      <c r="ANC182" s="18"/>
      <c r="AND182" s="18"/>
      <c r="ANE182" s="18"/>
      <c r="ANF182" s="18"/>
      <c r="ANG182" s="18"/>
      <c r="ANH182" s="18"/>
      <c r="ANI182" s="18"/>
      <c r="ANJ182" s="18"/>
      <c r="ANK182" s="18"/>
      <c r="ANL182" s="18"/>
      <c r="ANM182" s="18"/>
      <c r="ANN182" s="18"/>
      <c r="ANO182" s="18"/>
      <c r="ANP182" s="18"/>
      <c r="ANQ182" s="18"/>
      <c r="ANR182" s="18"/>
      <c r="ANS182" s="18"/>
      <c r="ANT182" s="18"/>
      <c r="ANU182" s="18"/>
      <c r="ANV182" s="18"/>
      <c r="ANW182" s="18"/>
      <c r="ANX182" s="18"/>
      <c r="ANY182" s="18"/>
      <c r="ANZ182" s="18"/>
      <c r="AOA182" s="18"/>
      <c r="AOB182" s="18"/>
      <c r="AOC182" s="18"/>
      <c r="AOD182" s="18"/>
      <c r="AOE182" s="18"/>
      <c r="AOF182" s="18"/>
      <c r="AOG182" s="18"/>
      <c r="AOH182" s="18"/>
      <c r="AOI182" s="18"/>
      <c r="AOJ182" s="18"/>
      <c r="AOK182" s="18"/>
      <c r="AOL182" s="18"/>
      <c r="AOM182" s="18"/>
      <c r="AON182" s="18"/>
      <c r="AOO182" s="18"/>
      <c r="AOP182" s="18"/>
      <c r="AOQ182" s="18"/>
      <c r="AOR182" s="18"/>
      <c r="AOS182" s="18"/>
      <c r="AOT182" s="18"/>
      <c r="AOU182" s="18"/>
      <c r="AOV182" s="18"/>
      <c r="AOW182" s="18"/>
      <c r="AOX182" s="18"/>
      <c r="AOY182" s="18"/>
      <c r="AOZ182" s="18"/>
      <c r="APA182" s="18"/>
      <c r="APB182" s="18"/>
      <c r="APC182" s="18"/>
      <c r="APD182" s="18"/>
      <c r="APE182" s="18"/>
      <c r="APF182" s="18"/>
      <c r="APG182" s="18"/>
      <c r="APH182" s="18"/>
      <c r="API182" s="18"/>
      <c r="APJ182" s="18"/>
      <c r="APK182" s="18"/>
      <c r="APL182" s="18"/>
      <c r="APM182" s="18"/>
      <c r="APN182" s="18"/>
      <c r="APO182" s="18"/>
      <c r="APP182" s="18"/>
      <c r="APQ182" s="18"/>
      <c r="APR182" s="18"/>
      <c r="APS182" s="18"/>
      <c r="APT182" s="18"/>
      <c r="APU182" s="18"/>
      <c r="APV182" s="18"/>
      <c r="APW182" s="18"/>
      <c r="APX182" s="18"/>
      <c r="APY182" s="18"/>
      <c r="APZ182" s="18"/>
      <c r="AQA182" s="18"/>
      <c r="AQB182" s="18"/>
      <c r="AQC182" s="18"/>
      <c r="AQD182" s="18"/>
      <c r="AQE182" s="18"/>
      <c r="AQF182" s="18"/>
      <c r="AQG182" s="18"/>
      <c r="AQH182" s="18"/>
      <c r="AQI182" s="18"/>
      <c r="AQJ182" s="18"/>
      <c r="AQK182" s="18"/>
      <c r="AQL182" s="18"/>
      <c r="AQM182" s="18"/>
      <c r="AQN182" s="18"/>
      <c r="AQO182" s="18"/>
      <c r="AQP182" s="18"/>
      <c r="AQQ182" s="18"/>
      <c r="AQR182" s="18"/>
      <c r="AQS182" s="18"/>
      <c r="AQT182" s="18"/>
      <c r="AQU182" s="18"/>
      <c r="AQV182" s="18"/>
      <c r="AQW182" s="18"/>
      <c r="AQX182" s="18"/>
      <c r="AQY182" s="18"/>
      <c r="AQZ182" s="18"/>
      <c r="ARA182" s="18"/>
      <c r="ARB182" s="18"/>
      <c r="ARC182" s="18"/>
      <c r="ARD182" s="18"/>
      <c r="ARE182" s="18"/>
      <c r="ARF182" s="18"/>
      <c r="ARG182" s="18"/>
      <c r="ARH182" s="18"/>
      <c r="ARI182" s="18"/>
      <c r="ARJ182" s="18"/>
      <c r="ARK182" s="18"/>
      <c r="ARL182" s="18"/>
      <c r="ARM182" s="18"/>
      <c r="ARN182" s="18"/>
      <c r="ARO182" s="18"/>
      <c r="ARP182" s="18"/>
      <c r="ARQ182" s="18"/>
      <c r="ARR182" s="18"/>
      <c r="ARS182" s="18"/>
      <c r="ART182" s="18"/>
      <c r="ARU182" s="18"/>
      <c r="ARV182" s="18"/>
      <c r="ARW182" s="18"/>
      <c r="ARX182" s="18"/>
      <c r="ARY182" s="18"/>
      <c r="ARZ182" s="18"/>
      <c r="ASA182" s="18"/>
      <c r="ASB182" s="18"/>
      <c r="ASC182" s="18"/>
      <c r="ASD182" s="18"/>
      <c r="ASE182" s="18"/>
      <c r="ASF182" s="18"/>
      <c r="ASG182" s="18"/>
      <c r="ASH182" s="18"/>
      <c r="ASI182" s="18"/>
      <c r="ASJ182" s="18"/>
      <c r="ASK182" s="18"/>
      <c r="ASL182" s="18"/>
      <c r="ASM182" s="18"/>
      <c r="ASN182" s="18"/>
      <c r="ASO182" s="18"/>
      <c r="ASP182" s="18"/>
      <c r="ASQ182" s="18"/>
      <c r="ASR182" s="18"/>
      <c r="ASS182" s="18"/>
      <c r="AST182" s="18"/>
      <c r="ASU182" s="18"/>
      <c r="ASV182" s="18"/>
      <c r="ASW182" s="18"/>
      <c r="ASX182" s="18"/>
      <c r="ASY182" s="18"/>
      <c r="ASZ182" s="18"/>
      <c r="ATA182" s="18"/>
      <c r="ATB182" s="18"/>
      <c r="ATC182" s="18"/>
      <c r="ATD182" s="18"/>
      <c r="ATE182" s="18"/>
      <c r="ATF182" s="18"/>
      <c r="ATG182" s="18"/>
      <c r="ATH182" s="18"/>
      <c r="ATI182" s="18"/>
      <c r="ATJ182" s="18"/>
      <c r="ATK182" s="18"/>
      <c r="ATL182" s="18"/>
      <c r="ATM182" s="18"/>
      <c r="ATN182" s="18"/>
      <c r="ATO182" s="18"/>
      <c r="ATP182" s="18"/>
      <c r="ATQ182" s="18"/>
      <c r="ATR182" s="18"/>
      <c r="ATS182" s="18"/>
      <c r="ATT182" s="18"/>
      <c r="ATU182" s="18"/>
      <c r="ATV182" s="18"/>
      <c r="ATW182" s="18"/>
      <c r="ATX182" s="18"/>
      <c r="ATY182" s="18"/>
      <c r="ATZ182" s="18"/>
      <c r="AUA182" s="18"/>
      <c r="AUB182" s="18"/>
      <c r="AUC182" s="18"/>
      <c r="AUD182" s="18"/>
      <c r="AUE182" s="18"/>
      <c r="AUF182" s="18"/>
      <c r="AUG182" s="18"/>
      <c r="AUH182" s="18"/>
      <c r="AUI182" s="18"/>
      <c r="AUJ182" s="18"/>
      <c r="AUK182" s="18"/>
      <c r="AUL182" s="18"/>
      <c r="AUM182" s="18"/>
      <c r="AUN182" s="18"/>
      <c r="AUO182" s="18"/>
      <c r="AUP182" s="18"/>
      <c r="AUQ182" s="18"/>
      <c r="AUR182" s="18"/>
      <c r="AUS182" s="18"/>
      <c r="AUT182" s="18"/>
      <c r="AUU182" s="18"/>
      <c r="AUV182" s="18"/>
      <c r="AUW182" s="18"/>
      <c r="AUX182" s="18"/>
      <c r="AUY182" s="18"/>
      <c r="AUZ182" s="18"/>
      <c r="AVA182" s="18"/>
      <c r="AVB182" s="18"/>
      <c r="AVC182" s="18"/>
      <c r="AVD182" s="18"/>
      <c r="AVE182" s="18"/>
      <c r="AVF182" s="18"/>
      <c r="AVG182" s="18"/>
      <c r="AVH182" s="18"/>
      <c r="AVI182" s="18"/>
      <c r="AVJ182" s="18"/>
      <c r="AVK182" s="18"/>
      <c r="AVL182" s="18"/>
      <c r="AVM182" s="18"/>
      <c r="AVN182" s="18"/>
      <c r="AVO182" s="18"/>
      <c r="AVP182" s="18"/>
      <c r="AVQ182" s="18"/>
      <c r="AVR182" s="18"/>
      <c r="AVS182" s="18"/>
      <c r="AVT182" s="18"/>
      <c r="AVU182" s="18"/>
      <c r="AVV182" s="18"/>
      <c r="AVW182" s="18"/>
      <c r="AVX182" s="18"/>
      <c r="AVY182" s="18"/>
      <c r="AVZ182" s="18"/>
      <c r="AWA182" s="18"/>
      <c r="AWB182" s="18"/>
      <c r="AWC182" s="18"/>
      <c r="AWD182" s="18"/>
      <c r="AWE182" s="18"/>
      <c r="AWF182" s="18"/>
      <c r="AWG182" s="18"/>
      <c r="AWH182" s="18"/>
      <c r="AWI182" s="18"/>
      <c r="AWJ182" s="18"/>
      <c r="AWK182" s="18"/>
      <c r="AWL182" s="18"/>
      <c r="AWM182" s="18"/>
      <c r="AWN182" s="18"/>
      <c r="AWO182" s="18"/>
      <c r="AWP182" s="18"/>
      <c r="AWQ182" s="18"/>
      <c r="AWR182" s="18"/>
      <c r="AWS182" s="18"/>
      <c r="AWT182" s="18"/>
      <c r="AWU182" s="18"/>
      <c r="AWV182" s="18"/>
      <c r="AWW182" s="18"/>
      <c r="AWX182" s="18"/>
      <c r="AWY182" s="18"/>
      <c r="AWZ182" s="18"/>
      <c r="AXA182" s="18"/>
      <c r="AXB182" s="18"/>
      <c r="AXC182" s="18"/>
      <c r="AXD182" s="18"/>
      <c r="AXE182" s="18"/>
      <c r="AXF182" s="18"/>
      <c r="AXG182" s="18"/>
      <c r="AXH182" s="18"/>
      <c r="AXI182" s="18"/>
      <c r="AXJ182" s="18"/>
      <c r="AXK182" s="18"/>
      <c r="AXL182" s="18"/>
      <c r="AXM182" s="18"/>
      <c r="AXN182" s="18"/>
      <c r="AXO182" s="18"/>
      <c r="AXP182" s="18"/>
      <c r="AXQ182" s="18"/>
      <c r="AXR182" s="18"/>
      <c r="AXS182" s="18"/>
      <c r="AXT182" s="18"/>
      <c r="AXU182" s="18"/>
      <c r="AXV182" s="18"/>
      <c r="AXW182" s="18"/>
      <c r="AXX182" s="18"/>
      <c r="AXY182" s="18"/>
      <c r="AXZ182" s="18"/>
      <c r="AYA182" s="18"/>
      <c r="AYB182" s="18"/>
      <c r="AYC182" s="18"/>
      <c r="AYD182" s="18"/>
      <c r="AYE182" s="18"/>
      <c r="AYF182" s="18"/>
      <c r="AYG182" s="18"/>
      <c r="AYH182" s="18"/>
      <c r="AYI182" s="18"/>
      <c r="AYJ182" s="18"/>
      <c r="AYK182" s="18"/>
      <c r="AYL182" s="18"/>
      <c r="AYM182" s="18"/>
      <c r="AYN182" s="18"/>
      <c r="AYO182" s="18"/>
      <c r="AYP182" s="18"/>
      <c r="AYQ182" s="18"/>
      <c r="AYR182" s="18"/>
      <c r="AYS182" s="18"/>
      <c r="AYT182" s="18"/>
      <c r="AYU182" s="18"/>
      <c r="AYV182" s="18"/>
      <c r="AYW182" s="18"/>
      <c r="AYX182" s="18"/>
      <c r="AYY182" s="18"/>
      <c r="AYZ182" s="18"/>
      <c r="AZA182" s="18"/>
      <c r="AZB182" s="18"/>
      <c r="AZC182" s="18"/>
      <c r="AZD182" s="18"/>
      <c r="AZE182" s="18"/>
      <c r="AZF182" s="18"/>
      <c r="AZG182" s="18"/>
      <c r="AZH182" s="18"/>
      <c r="AZI182" s="18"/>
      <c r="AZJ182" s="18"/>
      <c r="AZK182" s="18"/>
      <c r="AZL182" s="18"/>
      <c r="AZM182" s="18"/>
      <c r="AZN182" s="18"/>
      <c r="AZO182" s="18"/>
      <c r="AZP182" s="18"/>
      <c r="AZQ182" s="18"/>
      <c r="AZR182" s="18"/>
      <c r="AZS182" s="18"/>
      <c r="AZT182" s="18"/>
      <c r="AZU182" s="18"/>
      <c r="AZV182" s="18"/>
      <c r="AZW182" s="18"/>
      <c r="AZX182" s="18"/>
      <c r="AZY182" s="18"/>
      <c r="AZZ182" s="18"/>
      <c r="BAA182" s="18"/>
      <c r="BAB182" s="18"/>
      <c r="BAC182" s="18"/>
      <c r="BAD182" s="18"/>
      <c r="BAE182" s="18"/>
      <c r="BAF182" s="18"/>
      <c r="BAG182" s="18"/>
      <c r="BAH182" s="18"/>
      <c r="BAI182" s="18"/>
      <c r="BAJ182" s="18"/>
      <c r="BAK182" s="18"/>
      <c r="BAL182" s="18"/>
      <c r="BAM182" s="18"/>
      <c r="BAN182" s="18"/>
      <c r="BAO182" s="18"/>
      <c r="BAP182" s="18"/>
      <c r="BAQ182" s="18"/>
      <c r="BAR182" s="18"/>
      <c r="BAS182" s="18"/>
      <c r="BAT182" s="18"/>
      <c r="BAU182" s="18"/>
      <c r="BAV182" s="18"/>
      <c r="BAW182" s="18"/>
      <c r="BAX182" s="18"/>
      <c r="BAY182" s="18"/>
      <c r="BAZ182" s="18"/>
      <c r="BBA182" s="18"/>
      <c r="BBB182" s="18"/>
      <c r="BBC182" s="18"/>
      <c r="BBD182" s="18"/>
      <c r="BBE182" s="18"/>
      <c r="BBF182" s="18"/>
      <c r="BBG182" s="18"/>
      <c r="BBH182" s="18"/>
      <c r="BBI182" s="18"/>
      <c r="BBJ182" s="18"/>
      <c r="BBK182" s="18"/>
      <c r="BBL182" s="18"/>
      <c r="BBM182" s="18"/>
      <c r="BBN182" s="18"/>
      <c r="BBO182" s="18"/>
      <c r="BBP182" s="18"/>
      <c r="BBQ182" s="18"/>
      <c r="BBR182" s="18"/>
      <c r="BBS182" s="18"/>
      <c r="BBT182" s="18"/>
      <c r="BBU182" s="18"/>
      <c r="BBV182" s="18"/>
      <c r="BBW182" s="18"/>
      <c r="BBX182" s="18"/>
      <c r="BBY182" s="18"/>
      <c r="BBZ182" s="18"/>
      <c r="BCA182" s="18"/>
      <c r="BCB182" s="18"/>
      <c r="BCC182" s="18"/>
      <c r="BCD182" s="18"/>
      <c r="BCE182" s="18"/>
      <c r="BCF182" s="18"/>
      <c r="BCG182" s="18"/>
      <c r="BCH182" s="18"/>
      <c r="BCI182" s="18"/>
      <c r="BCJ182" s="18"/>
      <c r="BCK182" s="18"/>
      <c r="BCL182" s="18"/>
      <c r="BCM182" s="18"/>
      <c r="BCN182" s="18"/>
      <c r="BCO182" s="18"/>
      <c r="BCP182" s="18"/>
      <c r="BCQ182" s="18"/>
      <c r="BCR182" s="18"/>
      <c r="BCS182" s="18"/>
      <c r="BCT182" s="18"/>
      <c r="BCU182" s="18"/>
      <c r="BCV182" s="18"/>
      <c r="BCW182" s="18"/>
      <c r="BCX182" s="18"/>
      <c r="BCY182" s="18"/>
      <c r="BCZ182" s="18"/>
      <c r="BDA182" s="18"/>
      <c r="BDB182" s="18"/>
      <c r="BDC182" s="18"/>
      <c r="BDD182" s="18"/>
      <c r="BDE182" s="18"/>
      <c r="BDF182" s="18"/>
      <c r="BDG182" s="18"/>
      <c r="BDH182" s="18"/>
      <c r="BDI182" s="18"/>
      <c r="BDJ182" s="18"/>
      <c r="BDK182" s="18"/>
      <c r="BDL182" s="18"/>
      <c r="BDM182" s="18"/>
      <c r="BDN182" s="18"/>
      <c r="BDO182" s="18"/>
      <c r="BDP182" s="18"/>
      <c r="BDQ182" s="18"/>
      <c r="BDR182" s="18"/>
      <c r="BDS182" s="18"/>
      <c r="BDT182" s="18"/>
      <c r="BDU182" s="18"/>
      <c r="BDV182" s="18"/>
      <c r="BDW182" s="18"/>
      <c r="BDX182" s="18"/>
      <c r="BDY182" s="18"/>
      <c r="BDZ182" s="18"/>
      <c r="BEA182" s="18"/>
      <c r="BEB182" s="18"/>
      <c r="BEC182" s="18"/>
      <c r="BED182" s="18"/>
      <c r="BEE182" s="18"/>
      <c r="BEF182" s="18"/>
      <c r="BEG182" s="18"/>
      <c r="BEH182" s="18"/>
      <c r="BEI182" s="18"/>
      <c r="BEJ182" s="18"/>
      <c r="BEK182" s="18"/>
      <c r="BEL182" s="18"/>
      <c r="BEM182" s="18"/>
      <c r="BEN182" s="18"/>
      <c r="BEO182" s="18"/>
      <c r="BEP182" s="18"/>
      <c r="BEQ182" s="18"/>
      <c r="BER182" s="18"/>
      <c r="BES182" s="18"/>
      <c r="BET182" s="18"/>
      <c r="BEU182" s="18"/>
      <c r="BEV182" s="18"/>
      <c r="BEW182" s="18"/>
      <c r="BEX182" s="18"/>
      <c r="BEY182" s="18"/>
      <c r="BEZ182" s="18"/>
      <c r="BFA182" s="18"/>
      <c r="BFB182" s="18"/>
      <c r="BFC182" s="18"/>
      <c r="BFD182" s="18"/>
      <c r="BFE182" s="18"/>
      <c r="BFF182" s="18"/>
      <c r="BFG182" s="18"/>
      <c r="BFH182" s="18"/>
      <c r="BFI182" s="18"/>
      <c r="BFJ182" s="18"/>
      <c r="BFK182" s="18"/>
      <c r="BFL182" s="18"/>
      <c r="BFM182" s="18"/>
      <c r="BFN182" s="18"/>
      <c r="BFO182" s="18"/>
      <c r="BFP182" s="18"/>
      <c r="BFQ182" s="18"/>
      <c r="BFR182" s="18"/>
      <c r="BFS182" s="18"/>
      <c r="BFT182" s="18"/>
      <c r="BFU182" s="18"/>
      <c r="BFV182" s="18"/>
      <c r="BFW182" s="18"/>
      <c r="BFX182" s="18"/>
      <c r="BFY182" s="18"/>
      <c r="BFZ182" s="18"/>
      <c r="BGA182" s="18"/>
      <c r="BGB182" s="18"/>
      <c r="BGC182" s="18"/>
      <c r="BGD182" s="18"/>
      <c r="BGE182" s="18"/>
      <c r="BGF182" s="18"/>
      <c r="BGG182" s="18"/>
      <c r="BGH182" s="18"/>
      <c r="BGI182" s="18"/>
      <c r="BGJ182" s="18"/>
      <c r="BGK182" s="18"/>
      <c r="BGL182" s="18"/>
      <c r="BGM182" s="18"/>
      <c r="BGN182" s="18"/>
      <c r="BGO182" s="18"/>
      <c r="BGP182" s="18"/>
      <c r="BGQ182" s="18"/>
      <c r="BGR182" s="18"/>
      <c r="BGS182" s="18"/>
      <c r="BGT182" s="18"/>
      <c r="BGU182" s="18"/>
      <c r="BGV182" s="18"/>
      <c r="BGW182" s="18"/>
      <c r="BGX182" s="18"/>
      <c r="BGY182" s="18"/>
      <c r="BGZ182" s="18"/>
      <c r="BHA182" s="18"/>
      <c r="BHB182" s="18"/>
      <c r="BHC182" s="18"/>
      <c r="BHD182" s="18"/>
      <c r="BHE182" s="18"/>
      <c r="BHF182" s="18"/>
      <c r="BHG182" s="18"/>
      <c r="BHH182" s="18"/>
      <c r="BHI182" s="18"/>
      <c r="BHJ182" s="18"/>
      <c r="BHK182" s="18"/>
      <c r="BHL182" s="18"/>
      <c r="BHM182" s="18"/>
      <c r="BHN182" s="18"/>
      <c r="BHO182" s="18"/>
      <c r="BHP182" s="18"/>
      <c r="BHQ182" s="18"/>
      <c r="BHR182" s="18"/>
      <c r="BHS182" s="18"/>
      <c r="BHT182" s="18"/>
      <c r="BHU182" s="18"/>
      <c r="BHV182" s="18"/>
      <c r="BHW182" s="18"/>
      <c r="BHX182" s="18"/>
      <c r="BHY182" s="18"/>
      <c r="BHZ182" s="18"/>
      <c r="BIA182" s="18"/>
      <c r="BIB182" s="18"/>
      <c r="BIC182" s="18"/>
      <c r="BID182" s="18"/>
      <c r="BIE182" s="18"/>
      <c r="BIF182" s="18"/>
      <c r="BIG182" s="18"/>
      <c r="BIH182" s="18"/>
      <c r="BII182" s="18"/>
      <c r="BIJ182" s="18"/>
      <c r="BIK182" s="18"/>
      <c r="BIL182" s="18"/>
      <c r="BIM182" s="18"/>
      <c r="BIN182" s="18"/>
      <c r="BIO182" s="18"/>
      <c r="BIP182" s="18"/>
      <c r="BIQ182" s="18"/>
      <c r="BIR182" s="18"/>
      <c r="BIS182" s="18"/>
      <c r="BIT182" s="18"/>
      <c r="BIU182" s="18"/>
      <c r="BIV182" s="18"/>
      <c r="BIW182" s="18"/>
      <c r="BIX182" s="18"/>
      <c r="BIY182" s="18"/>
      <c r="BIZ182" s="18"/>
      <c r="BJA182" s="18"/>
      <c r="BJB182" s="18"/>
      <c r="BJC182" s="18"/>
      <c r="BJD182" s="18"/>
      <c r="BJE182" s="18"/>
      <c r="BJF182" s="18"/>
      <c r="BJG182" s="18"/>
      <c r="BJH182" s="18"/>
      <c r="BJI182" s="18"/>
      <c r="BJJ182" s="18"/>
      <c r="BJK182" s="18"/>
      <c r="BJL182" s="18"/>
      <c r="BJM182" s="18"/>
      <c r="BJN182" s="18"/>
      <c r="BJO182" s="18"/>
      <c r="BJP182" s="18"/>
      <c r="BJQ182" s="18"/>
      <c r="BJR182" s="18"/>
      <c r="BJS182" s="18"/>
      <c r="BJT182" s="18"/>
      <c r="BJU182" s="18"/>
      <c r="BJV182" s="18"/>
      <c r="BJW182" s="18"/>
      <c r="BJX182" s="18"/>
      <c r="BJY182" s="18"/>
      <c r="BJZ182" s="18"/>
      <c r="BKA182" s="18"/>
      <c r="BKB182" s="18"/>
      <c r="BKC182" s="18"/>
      <c r="BKD182" s="18"/>
      <c r="BKE182" s="18"/>
      <c r="BKF182" s="18"/>
      <c r="BKG182" s="18"/>
      <c r="BKH182" s="18"/>
      <c r="BKI182" s="18"/>
      <c r="BKJ182" s="18"/>
      <c r="BKK182" s="18"/>
      <c r="BKL182" s="18"/>
      <c r="BKM182" s="18"/>
      <c r="BKN182" s="18"/>
      <c r="BKO182" s="18"/>
      <c r="BKP182" s="18"/>
      <c r="BKQ182" s="18"/>
      <c r="BKR182" s="18"/>
      <c r="BKS182" s="18"/>
      <c r="BKT182" s="18"/>
      <c r="BKU182" s="18"/>
      <c r="BKV182" s="18"/>
      <c r="BKW182" s="18"/>
      <c r="BKX182" s="18"/>
      <c r="BKY182" s="18"/>
      <c r="BKZ182" s="18"/>
      <c r="BLA182" s="18"/>
      <c r="BLB182" s="18"/>
      <c r="BLC182" s="18"/>
      <c r="BLD182" s="18"/>
      <c r="BLE182" s="18"/>
      <c r="BLF182" s="18"/>
      <c r="BLG182" s="18"/>
      <c r="BLH182" s="18"/>
      <c r="BLI182" s="18"/>
      <c r="BLJ182" s="18"/>
      <c r="BLK182" s="18"/>
      <c r="BLL182" s="18"/>
      <c r="BLM182" s="18"/>
      <c r="BLN182" s="18"/>
      <c r="BLO182" s="18"/>
      <c r="BLP182" s="18"/>
      <c r="BLQ182" s="18"/>
      <c r="BLR182" s="18"/>
      <c r="BLS182" s="18"/>
      <c r="BLT182" s="18"/>
      <c r="BLU182" s="18"/>
      <c r="BLV182" s="18"/>
      <c r="BLW182" s="18"/>
      <c r="BLX182" s="18"/>
      <c r="BLY182" s="18"/>
      <c r="BLZ182" s="18"/>
      <c r="BMA182" s="18"/>
      <c r="BMB182" s="18"/>
      <c r="BMC182" s="18"/>
      <c r="BMD182" s="18"/>
      <c r="BME182" s="18"/>
      <c r="BMF182" s="18"/>
      <c r="BMG182" s="18"/>
      <c r="BMH182" s="18"/>
      <c r="BMI182" s="18"/>
      <c r="BMJ182" s="18"/>
      <c r="BMK182" s="18"/>
      <c r="BML182" s="18"/>
      <c r="BMM182" s="18"/>
      <c r="BMN182" s="18"/>
      <c r="BMO182" s="18"/>
      <c r="BMP182" s="18"/>
      <c r="BMQ182" s="18"/>
      <c r="BMR182" s="18"/>
      <c r="BMS182" s="18"/>
      <c r="BMT182" s="18"/>
      <c r="BMU182" s="18"/>
      <c r="BMV182" s="18"/>
      <c r="BMW182" s="18"/>
      <c r="BMX182" s="18"/>
      <c r="BMY182" s="18"/>
      <c r="BMZ182" s="18"/>
      <c r="BNA182" s="18"/>
      <c r="BNB182" s="18"/>
      <c r="BNC182" s="18"/>
      <c r="BND182" s="18"/>
      <c r="BNE182" s="18"/>
      <c r="BNF182" s="18"/>
      <c r="BNG182" s="18"/>
      <c r="BNH182" s="18"/>
      <c r="BNI182" s="18"/>
      <c r="BNJ182" s="18"/>
      <c r="BNK182" s="18"/>
      <c r="BNL182" s="18"/>
      <c r="BNM182" s="18"/>
      <c r="BNN182" s="18"/>
      <c r="BNO182" s="18"/>
      <c r="BNP182" s="18"/>
      <c r="BNQ182" s="18"/>
      <c r="BNR182" s="18"/>
      <c r="BNS182" s="18"/>
      <c r="BNT182" s="18"/>
      <c r="BNU182" s="18"/>
      <c r="BNV182" s="18"/>
      <c r="BNW182" s="18"/>
      <c r="BNX182" s="18"/>
      <c r="BNY182" s="18"/>
      <c r="BNZ182" s="18"/>
      <c r="BOA182" s="18"/>
      <c r="BOB182" s="18"/>
      <c r="BOC182" s="18"/>
      <c r="BOD182" s="18"/>
      <c r="BOE182" s="18"/>
      <c r="BOF182" s="18"/>
      <c r="BOG182" s="18"/>
      <c r="BOH182" s="18"/>
      <c r="BOI182" s="18"/>
      <c r="BOJ182" s="18"/>
      <c r="BOK182" s="18"/>
      <c r="BOL182" s="18"/>
      <c r="BOM182" s="18"/>
      <c r="BON182" s="18"/>
      <c r="BOO182" s="18"/>
      <c r="BOP182" s="18"/>
      <c r="BOQ182" s="18"/>
      <c r="BOR182" s="18"/>
      <c r="BOS182" s="18"/>
      <c r="BOT182" s="18"/>
      <c r="BOU182" s="18"/>
      <c r="BOV182" s="18"/>
      <c r="BOW182" s="18"/>
      <c r="BOX182" s="18"/>
      <c r="BOY182" s="18"/>
      <c r="BOZ182" s="18"/>
      <c r="BPA182" s="18"/>
      <c r="BPB182" s="18"/>
      <c r="BPC182" s="18"/>
      <c r="BPD182" s="18"/>
      <c r="BPE182" s="18"/>
      <c r="BPF182" s="18"/>
      <c r="BPG182" s="18"/>
      <c r="BPH182" s="18"/>
      <c r="BPI182" s="18"/>
      <c r="BPJ182" s="18"/>
      <c r="BPK182" s="18"/>
      <c r="BPL182" s="18"/>
      <c r="BPM182" s="18"/>
      <c r="BPN182" s="18"/>
      <c r="BPO182" s="18"/>
      <c r="BPP182" s="18"/>
      <c r="BPQ182" s="18"/>
      <c r="BPR182" s="18"/>
      <c r="BPS182" s="18"/>
      <c r="BPT182" s="18"/>
      <c r="BPU182" s="18"/>
      <c r="BPV182" s="18"/>
      <c r="BPW182" s="18"/>
      <c r="BPX182" s="18"/>
      <c r="BPY182" s="18"/>
      <c r="BPZ182" s="18"/>
      <c r="BQA182" s="18"/>
      <c r="BQB182" s="18"/>
      <c r="BQC182" s="18"/>
      <c r="BQD182" s="18"/>
      <c r="BQE182" s="18"/>
      <c r="BQF182" s="18"/>
      <c r="BQG182" s="18"/>
      <c r="BQH182" s="18"/>
      <c r="BQI182" s="18"/>
      <c r="BQJ182" s="18"/>
      <c r="BQK182" s="18"/>
      <c r="BQL182" s="18"/>
      <c r="BQM182" s="18"/>
      <c r="BQN182" s="18"/>
      <c r="BQO182" s="18"/>
      <c r="BQP182" s="18"/>
      <c r="BQQ182" s="18"/>
      <c r="BQR182" s="18"/>
      <c r="BQS182" s="18"/>
      <c r="BQT182" s="18"/>
      <c r="BQU182" s="18"/>
      <c r="BQV182" s="18"/>
      <c r="BQW182" s="18"/>
      <c r="BQX182" s="18"/>
      <c r="BQY182" s="18"/>
      <c r="BQZ182" s="18"/>
      <c r="BRA182" s="18"/>
      <c r="BRB182" s="18"/>
      <c r="BRC182" s="18"/>
      <c r="BRD182" s="18"/>
      <c r="BRE182" s="18"/>
      <c r="BRF182" s="18"/>
      <c r="BRG182" s="18"/>
      <c r="BRH182" s="18"/>
      <c r="BRI182" s="18"/>
      <c r="BRJ182" s="18"/>
      <c r="BRK182" s="18"/>
      <c r="BRL182" s="18"/>
      <c r="BRM182" s="18"/>
      <c r="BRN182" s="18"/>
      <c r="BRO182" s="18"/>
      <c r="BRP182" s="18"/>
      <c r="BRQ182" s="18"/>
      <c r="BRR182" s="18"/>
      <c r="BRS182" s="18"/>
      <c r="BRT182" s="18"/>
      <c r="BRU182" s="18"/>
      <c r="BRV182" s="18"/>
      <c r="BRW182" s="18"/>
      <c r="BRX182" s="18"/>
      <c r="BRY182" s="18"/>
      <c r="BRZ182" s="18"/>
      <c r="BSA182" s="18"/>
      <c r="BSB182" s="18"/>
      <c r="BSC182" s="18"/>
      <c r="BSD182" s="18"/>
      <c r="BSE182" s="18"/>
      <c r="BSF182" s="18"/>
      <c r="BSG182" s="18"/>
      <c r="BSH182" s="18"/>
      <c r="BSI182" s="18"/>
      <c r="BSJ182" s="18"/>
      <c r="BSK182" s="18"/>
      <c r="BSL182" s="18"/>
      <c r="BSM182" s="18"/>
      <c r="BSN182" s="18"/>
      <c r="BSO182" s="18"/>
      <c r="BSP182" s="18"/>
      <c r="BSQ182" s="18"/>
      <c r="BSR182" s="18"/>
      <c r="BSS182" s="18"/>
      <c r="BST182" s="18"/>
      <c r="BSU182" s="18"/>
      <c r="BSV182" s="18"/>
      <c r="BSW182" s="18"/>
      <c r="BSX182" s="18"/>
      <c r="BSY182" s="18"/>
      <c r="BSZ182" s="18"/>
      <c r="BTA182" s="18"/>
      <c r="BTB182" s="18"/>
      <c r="BTC182" s="18"/>
      <c r="BTD182" s="18"/>
      <c r="BTE182" s="18"/>
      <c r="BTF182" s="18"/>
      <c r="BTG182" s="18"/>
      <c r="BTH182" s="18"/>
    </row>
    <row r="183" spans="1:1880" s="399" customFormat="1" ht="110.25" customHeight="1" x14ac:dyDescent="0.3">
      <c r="A183" s="115">
        <v>622</v>
      </c>
      <c r="B183" s="727" t="s">
        <v>275</v>
      </c>
      <c r="C183" s="116" t="s">
        <v>303</v>
      </c>
      <c r="D183" s="115" t="s">
        <v>454</v>
      </c>
      <c r="E183" s="341" t="e">
        <f>INDEX('PY1 Data(H)'!$A$1:$CZ$231,MATCH('Unit Data from Audit Worksheet'!$A183,'PY1 Data(H)'!$A$1:$A$231,0),MATCH('Unit Data from Audit Worksheet'!$D$2,'PY1 Data(H)'!$A$1:$CZ$1,0))</f>
        <v>#N/A</v>
      </c>
      <c r="F183" s="766">
        <v>0</v>
      </c>
      <c r="G183" s="372"/>
      <c r="H183" s="17"/>
      <c r="I183" s="397"/>
      <c r="J183"/>
      <c r="K183" s="18"/>
      <c r="L183"/>
      <c r="M183" s="18"/>
      <c r="N183" s="176"/>
      <c r="O183" s="18"/>
      <c r="P183" s="18"/>
      <c r="Q183" s="18"/>
      <c r="R183" s="18"/>
      <c r="S183" s="18"/>
      <c r="T183" s="18"/>
      <c r="U183" s="18"/>
      <c r="V183" s="18"/>
      <c r="W183" s="18"/>
      <c r="X183" s="18"/>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s="18"/>
      <c r="DT183" s="18"/>
      <c r="DU183" s="18"/>
      <c r="DV183" s="18"/>
      <c r="DW183" s="18"/>
      <c r="DX183" s="18"/>
      <c r="DY183" s="18"/>
      <c r="DZ183" s="18"/>
      <c r="EA183" s="18"/>
      <c r="EB183" s="18"/>
      <c r="EC183" s="18"/>
      <c r="ED183" s="18"/>
      <c r="EE183" s="18"/>
      <c r="EF183" s="18"/>
      <c r="EG183" s="18"/>
      <c r="EH183" s="18"/>
      <c r="EI183" s="18"/>
      <c r="EJ183" s="18"/>
      <c r="EK183" s="18"/>
      <c r="EL183" s="18"/>
      <c r="EM183" s="18"/>
      <c r="EN183" s="18"/>
      <c r="EO183" s="18"/>
      <c r="EP183" s="18"/>
      <c r="EQ183" s="18"/>
      <c r="ER183" s="18"/>
      <c r="ES183" s="18"/>
      <c r="ET183" s="18"/>
      <c r="EU183" s="18"/>
      <c r="EV183" s="18"/>
      <c r="EW183" s="18"/>
      <c r="EX183" s="18"/>
      <c r="EY183" s="18"/>
      <c r="EZ183" s="18"/>
      <c r="FA183" s="18"/>
      <c r="FB183" s="18"/>
      <c r="FC183" s="18"/>
      <c r="FD183" s="18"/>
      <c r="FE183" s="18"/>
      <c r="FF183" s="18"/>
      <c r="FG183" s="18"/>
      <c r="FH183" s="18"/>
      <c r="FI183" s="18"/>
      <c r="FJ183" s="18"/>
      <c r="FK183" s="18"/>
      <c r="FL183" s="18"/>
      <c r="FM183" s="18"/>
      <c r="FN183" s="18"/>
      <c r="FO183" s="18"/>
      <c r="FP183" s="18"/>
      <c r="FQ183" s="18"/>
      <c r="FR183" s="18"/>
      <c r="FS183" s="18"/>
      <c r="FT183" s="18"/>
      <c r="FU183" s="18"/>
      <c r="FV183" s="18"/>
      <c r="FW183" s="18"/>
      <c r="FX183" s="18"/>
      <c r="FY183" s="18"/>
      <c r="FZ183" s="18"/>
      <c r="GA183" s="18"/>
      <c r="GB183" s="18"/>
      <c r="GC183" s="18"/>
      <c r="GD183" s="18"/>
      <c r="GE183" s="18"/>
      <c r="GF183" s="18"/>
      <c r="GG183" s="18"/>
      <c r="GH183" s="18"/>
      <c r="GI183" s="18"/>
      <c r="GJ183" s="18"/>
      <c r="GK183" s="18"/>
      <c r="GL183" s="18"/>
      <c r="GM183" s="18"/>
      <c r="GN183" s="18"/>
      <c r="GO183" s="18"/>
      <c r="GP183" s="18"/>
      <c r="GQ183" s="18"/>
      <c r="GR183" s="18"/>
      <c r="GS183" s="18"/>
      <c r="GT183" s="18"/>
      <c r="GU183" s="18"/>
      <c r="GV183" s="18"/>
      <c r="GW183" s="18"/>
      <c r="GX183" s="18"/>
      <c r="GY183" s="18"/>
      <c r="GZ183" s="18"/>
      <c r="HA183" s="18"/>
      <c r="HB183" s="18"/>
      <c r="HC183" s="18"/>
      <c r="HD183" s="18"/>
      <c r="HE183" s="18"/>
      <c r="HF183" s="18"/>
      <c r="HG183" s="18"/>
      <c r="HH183" s="18"/>
      <c r="HI183" s="18"/>
      <c r="HJ183" s="18"/>
      <c r="HK183" s="18"/>
      <c r="HL183" s="18"/>
      <c r="HM183" s="18"/>
      <c r="HN183" s="18"/>
      <c r="HO183" s="18"/>
      <c r="HP183" s="18"/>
      <c r="HQ183" s="18"/>
      <c r="HR183" s="18"/>
      <c r="HS183" s="18"/>
      <c r="HT183" s="18"/>
      <c r="HU183" s="18"/>
      <c r="HV183" s="18"/>
      <c r="HW183" s="18"/>
      <c r="HX183" s="18"/>
      <c r="HY183" s="18"/>
      <c r="HZ183" s="18"/>
      <c r="IA183" s="18"/>
      <c r="IB183" s="18"/>
      <c r="IC183" s="18"/>
      <c r="ID183" s="18"/>
      <c r="IE183" s="18"/>
      <c r="IF183" s="18"/>
      <c r="IG183" s="18"/>
      <c r="IH183" s="18"/>
      <c r="II183" s="18"/>
      <c r="IJ183" s="18"/>
      <c r="IK183" s="18"/>
      <c r="IL183" s="18"/>
      <c r="IM183" s="18"/>
      <c r="IN183" s="18"/>
      <c r="IO183" s="18"/>
      <c r="IP183" s="18"/>
      <c r="IQ183" s="18"/>
      <c r="IR183" s="18"/>
      <c r="IS183" s="18"/>
      <c r="IT183" s="18"/>
      <c r="IU183" s="18"/>
      <c r="IV183" s="18"/>
      <c r="IW183" s="18"/>
      <c r="IX183" s="18"/>
      <c r="IY183" s="18"/>
      <c r="IZ183" s="18"/>
      <c r="JA183" s="18"/>
      <c r="JB183" s="18"/>
      <c r="JC183" s="18"/>
      <c r="JD183" s="18"/>
      <c r="JE183" s="18"/>
      <c r="JF183" s="18"/>
      <c r="JG183" s="18"/>
      <c r="JH183" s="18"/>
      <c r="JI183" s="18"/>
      <c r="JJ183" s="18"/>
      <c r="JK183" s="18"/>
      <c r="JL183" s="18"/>
      <c r="JM183" s="18"/>
      <c r="JN183" s="18"/>
      <c r="JO183" s="18"/>
      <c r="JP183" s="18"/>
      <c r="JQ183" s="18"/>
      <c r="JR183" s="18"/>
      <c r="JS183" s="18"/>
      <c r="JT183" s="18"/>
      <c r="JU183" s="18"/>
      <c r="JV183" s="18"/>
      <c r="JW183" s="18"/>
      <c r="JX183" s="18"/>
      <c r="JY183" s="18"/>
      <c r="JZ183" s="18"/>
      <c r="KA183" s="18"/>
      <c r="KB183" s="18"/>
      <c r="KC183" s="18"/>
      <c r="KD183" s="18"/>
      <c r="KE183" s="18"/>
      <c r="KF183" s="18"/>
      <c r="KG183" s="18"/>
      <c r="KH183" s="18"/>
      <c r="KI183" s="18"/>
      <c r="KJ183" s="18"/>
      <c r="KK183" s="18"/>
      <c r="KL183" s="18"/>
      <c r="KM183" s="18"/>
      <c r="KN183" s="18"/>
      <c r="KO183" s="18"/>
      <c r="KP183" s="18"/>
      <c r="KQ183" s="18"/>
      <c r="KR183" s="18"/>
      <c r="KS183" s="18"/>
      <c r="KT183" s="18"/>
      <c r="KU183" s="18"/>
      <c r="KV183" s="18"/>
      <c r="KW183" s="18"/>
      <c r="KX183" s="18"/>
      <c r="KY183" s="18"/>
      <c r="KZ183" s="18"/>
      <c r="LA183" s="18"/>
      <c r="LB183" s="18"/>
      <c r="LC183" s="18"/>
      <c r="LD183" s="18"/>
      <c r="LE183" s="18"/>
      <c r="LF183" s="18"/>
      <c r="LG183" s="18"/>
      <c r="LH183" s="18"/>
      <c r="LI183" s="18"/>
      <c r="LJ183" s="18"/>
      <c r="LK183" s="18"/>
      <c r="LL183" s="18"/>
      <c r="LM183" s="18"/>
      <c r="LN183" s="18"/>
      <c r="LO183" s="18"/>
      <c r="LP183" s="18"/>
      <c r="LQ183" s="18"/>
      <c r="LR183" s="18"/>
      <c r="LS183" s="18"/>
      <c r="LT183" s="18"/>
      <c r="LU183" s="18"/>
      <c r="LV183" s="18"/>
      <c r="LW183" s="18"/>
      <c r="LX183" s="18"/>
      <c r="LY183" s="18"/>
      <c r="LZ183" s="18"/>
      <c r="MA183" s="18"/>
      <c r="MB183" s="18"/>
      <c r="MC183" s="18"/>
      <c r="MD183" s="18"/>
      <c r="ME183" s="18"/>
      <c r="MF183" s="18"/>
      <c r="MG183" s="18"/>
      <c r="MH183" s="18"/>
      <c r="MI183" s="18"/>
      <c r="MJ183" s="18"/>
      <c r="MK183" s="18"/>
      <c r="ML183" s="18"/>
      <c r="MM183" s="18"/>
      <c r="MN183" s="18"/>
      <c r="MO183" s="18"/>
      <c r="MP183" s="18"/>
      <c r="MQ183" s="18"/>
      <c r="MR183" s="18"/>
      <c r="MS183" s="18"/>
      <c r="MT183" s="18"/>
      <c r="MU183" s="18"/>
      <c r="MV183" s="18"/>
      <c r="MW183" s="18"/>
      <c r="MX183" s="18"/>
      <c r="MY183" s="18"/>
      <c r="MZ183" s="18"/>
      <c r="NA183" s="18"/>
      <c r="NB183" s="18"/>
      <c r="NC183" s="18"/>
      <c r="ND183" s="18"/>
      <c r="NE183" s="18"/>
      <c r="NF183" s="18"/>
      <c r="NG183" s="18"/>
      <c r="NH183" s="18"/>
      <c r="NI183" s="18"/>
      <c r="NJ183" s="18"/>
      <c r="NK183" s="18"/>
      <c r="NL183" s="18"/>
      <c r="NM183" s="18"/>
      <c r="NN183" s="18"/>
      <c r="NO183" s="18"/>
      <c r="NP183" s="18"/>
      <c r="NQ183" s="18"/>
      <c r="NR183" s="18"/>
      <c r="NS183" s="18"/>
      <c r="NT183" s="18"/>
      <c r="NU183" s="18"/>
      <c r="NV183" s="18"/>
      <c r="NW183" s="18"/>
      <c r="NX183" s="18"/>
      <c r="NY183" s="18"/>
      <c r="NZ183" s="18"/>
      <c r="OA183" s="18"/>
      <c r="OB183" s="18"/>
      <c r="OC183" s="18"/>
      <c r="OD183" s="18"/>
      <c r="OE183" s="18"/>
      <c r="OF183" s="18"/>
      <c r="OG183" s="18"/>
      <c r="OH183" s="18"/>
      <c r="OI183" s="18"/>
      <c r="OJ183" s="18"/>
      <c r="OK183" s="18"/>
      <c r="OL183" s="18"/>
      <c r="OM183" s="18"/>
      <c r="ON183" s="18"/>
      <c r="OO183" s="18"/>
      <c r="OP183" s="18"/>
      <c r="OQ183" s="18"/>
      <c r="OR183" s="18"/>
      <c r="OS183" s="18"/>
      <c r="OT183" s="18"/>
      <c r="OU183" s="18"/>
      <c r="OV183" s="18"/>
      <c r="OW183" s="18"/>
      <c r="OX183" s="18"/>
      <c r="OY183" s="18"/>
      <c r="OZ183" s="18"/>
      <c r="PA183" s="18"/>
      <c r="PB183" s="18"/>
      <c r="PC183" s="18"/>
      <c r="PD183" s="18"/>
      <c r="PE183" s="18"/>
      <c r="PF183" s="18"/>
      <c r="PG183" s="18"/>
      <c r="PH183" s="18"/>
      <c r="PI183" s="18"/>
      <c r="PJ183" s="18"/>
      <c r="PK183" s="18"/>
      <c r="PL183" s="18"/>
      <c r="PM183" s="18"/>
      <c r="PN183" s="18"/>
      <c r="PO183" s="18"/>
      <c r="PP183" s="18"/>
      <c r="PQ183" s="18"/>
      <c r="PR183" s="18"/>
      <c r="PS183" s="18"/>
      <c r="PT183" s="18"/>
      <c r="PU183" s="18"/>
      <c r="PV183" s="18"/>
      <c r="PW183" s="18"/>
      <c r="PX183" s="18"/>
      <c r="PY183" s="18"/>
      <c r="PZ183" s="18"/>
      <c r="QA183" s="18"/>
      <c r="QB183" s="18"/>
      <c r="QC183" s="18"/>
      <c r="QD183" s="18"/>
      <c r="QE183" s="18"/>
      <c r="QF183" s="18"/>
      <c r="QG183" s="18"/>
      <c r="QH183" s="18"/>
      <c r="QI183" s="18"/>
      <c r="QJ183" s="18"/>
      <c r="QK183" s="18"/>
      <c r="QL183" s="18"/>
      <c r="QM183" s="18"/>
      <c r="QN183" s="18"/>
      <c r="QO183" s="18"/>
      <c r="QP183" s="18"/>
      <c r="QQ183" s="18"/>
      <c r="QR183" s="18"/>
      <c r="QS183" s="18"/>
      <c r="QT183" s="18"/>
      <c r="QU183" s="18"/>
      <c r="QV183" s="18"/>
      <c r="QW183" s="18"/>
      <c r="QX183" s="18"/>
      <c r="QY183" s="18"/>
      <c r="QZ183" s="18"/>
      <c r="RA183" s="18"/>
      <c r="RB183" s="18"/>
      <c r="RC183" s="18"/>
      <c r="RD183" s="18"/>
      <c r="RE183" s="18"/>
      <c r="RF183" s="18"/>
      <c r="RG183" s="18"/>
      <c r="RH183" s="18"/>
      <c r="RI183" s="18"/>
      <c r="RJ183" s="18"/>
      <c r="RK183" s="18"/>
      <c r="RL183" s="18"/>
      <c r="RM183" s="18"/>
      <c r="RN183" s="18"/>
      <c r="RO183" s="18"/>
      <c r="RP183" s="18"/>
      <c r="RQ183" s="18"/>
      <c r="RR183" s="18"/>
      <c r="RS183" s="18"/>
      <c r="RT183" s="18"/>
      <c r="RU183" s="18"/>
      <c r="RV183" s="18"/>
      <c r="RW183" s="18"/>
      <c r="RX183" s="18"/>
      <c r="RY183" s="18"/>
      <c r="RZ183" s="18"/>
      <c r="SA183" s="18"/>
      <c r="SB183" s="18"/>
      <c r="SC183" s="18"/>
      <c r="SD183" s="18"/>
      <c r="SE183" s="18"/>
      <c r="SF183" s="18"/>
      <c r="SG183" s="18"/>
      <c r="SH183" s="18"/>
      <c r="SI183" s="18"/>
      <c r="SJ183" s="18"/>
      <c r="SK183" s="18"/>
      <c r="SL183" s="18"/>
      <c r="SM183" s="18"/>
      <c r="SN183" s="18"/>
      <c r="SO183" s="18"/>
      <c r="SP183" s="18"/>
      <c r="SQ183" s="18"/>
      <c r="SR183" s="18"/>
      <c r="SS183" s="18"/>
      <c r="ST183" s="18"/>
      <c r="SU183" s="18"/>
      <c r="SV183" s="18"/>
      <c r="SW183" s="18"/>
      <c r="SX183" s="18"/>
      <c r="SY183" s="18"/>
      <c r="SZ183" s="18"/>
      <c r="TA183" s="18"/>
      <c r="TB183" s="18"/>
      <c r="TC183" s="18"/>
      <c r="TD183" s="18"/>
      <c r="TE183" s="18"/>
      <c r="TF183" s="18"/>
      <c r="TG183" s="18"/>
      <c r="TH183" s="18"/>
      <c r="TI183" s="18"/>
      <c r="TJ183" s="18"/>
      <c r="TK183" s="18"/>
      <c r="TL183" s="18"/>
      <c r="TM183" s="18"/>
      <c r="TN183" s="18"/>
      <c r="TO183" s="18"/>
      <c r="TP183" s="18"/>
      <c r="TQ183" s="18"/>
      <c r="TR183" s="18"/>
      <c r="TS183" s="18"/>
      <c r="TT183" s="18"/>
      <c r="TU183" s="18"/>
      <c r="TV183" s="18"/>
      <c r="TW183" s="18"/>
      <c r="TX183" s="18"/>
      <c r="TY183" s="18"/>
      <c r="TZ183" s="18"/>
      <c r="UA183" s="18"/>
      <c r="UB183" s="18"/>
      <c r="UC183" s="18"/>
      <c r="UD183" s="18"/>
      <c r="UE183" s="18"/>
      <c r="UF183" s="18"/>
      <c r="UG183" s="18"/>
      <c r="UH183" s="18"/>
      <c r="UI183" s="18"/>
      <c r="UJ183" s="18"/>
      <c r="UK183" s="18"/>
      <c r="UL183" s="18"/>
      <c r="UM183" s="18"/>
      <c r="UN183" s="18"/>
      <c r="UO183" s="18"/>
      <c r="UP183" s="18"/>
      <c r="UQ183" s="18"/>
      <c r="UR183" s="18"/>
      <c r="US183" s="18"/>
      <c r="UT183" s="18"/>
      <c r="UU183" s="18"/>
      <c r="UV183" s="18"/>
      <c r="UW183" s="18"/>
      <c r="UX183" s="18"/>
      <c r="UY183" s="18"/>
      <c r="UZ183" s="18"/>
      <c r="VA183" s="18"/>
      <c r="VB183" s="18"/>
      <c r="VC183" s="18"/>
      <c r="VD183" s="18"/>
      <c r="VE183" s="18"/>
      <c r="VF183" s="18"/>
      <c r="VG183" s="18"/>
      <c r="VH183" s="18"/>
      <c r="VI183" s="18"/>
      <c r="VJ183" s="18"/>
      <c r="VK183" s="18"/>
      <c r="VL183" s="18"/>
      <c r="VM183" s="18"/>
      <c r="VN183" s="18"/>
      <c r="VO183" s="18"/>
      <c r="VP183" s="18"/>
      <c r="VQ183" s="18"/>
      <c r="VR183" s="18"/>
      <c r="VS183" s="18"/>
      <c r="VT183" s="18"/>
      <c r="VU183" s="18"/>
      <c r="VV183" s="18"/>
      <c r="VW183" s="18"/>
      <c r="VX183" s="18"/>
      <c r="VY183" s="18"/>
      <c r="VZ183" s="18"/>
      <c r="WA183" s="18"/>
      <c r="WB183" s="18"/>
      <c r="WC183" s="18"/>
      <c r="WD183" s="18"/>
      <c r="WE183" s="18"/>
      <c r="WF183" s="18"/>
      <c r="WG183" s="18"/>
      <c r="WH183" s="18"/>
      <c r="WI183" s="18"/>
      <c r="WJ183" s="18"/>
      <c r="WK183" s="18"/>
      <c r="WL183" s="18"/>
      <c r="WM183" s="18"/>
      <c r="WN183" s="18"/>
      <c r="WO183" s="18"/>
      <c r="WP183" s="18"/>
      <c r="WQ183" s="18"/>
      <c r="WR183" s="18"/>
      <c r="WS183" s="18"/>
      <c r="WT183" s="18"/>
      <c r="WU183" s="18"/>
      <c r="WV183" s="18"/>
      <c r="WW183" s="18"/>
      <c r="WX183" s="18"/>
      <c r="WY183" s="18"/>
      <c r="WZ183" s="18"/>
      <c r="XA183" s="18"/>
      <c r="XB183" s="18"/>
      <c r="XC183" s="18"/>
      <c r="XD183" s="18"/>
      <c r="XE183" s="18"/>
      <c r="XF183" s="18"/>
      <c r="XG183" s="18"/>
      <c r="XH183" s="18"/>
      <c r="XI183" s="18"/>
      <c r="XJ183" s="18"/>
      <c r="XK183" s="18"/>
      <c r="XL183" s="18"/>
      <c r="XM183" s="18"/>
      <c r="XN183" s="18"/>
      <c r="XO183" s="18"/>
      <c r="XP183" s="18"/>
      <c r="XQ183" s="18"/>
      <c r="XR183" s="18"/>
      <c r="XS183" s="18"/>
      <c r="XT183" s="18"/>
      <c r="XU183" s="18"/>
      <c r="XV183" s="18"/>
      <c r="XW183" s="18"/>
      <c r="XX183" s="18"/>
      <c r="XY183" s="18"/>
      <c r="XZ183" s="18"/>
      <c r="YA183" s="18"/>
      <c r="YB183" s="18"/>
      <c r="YC183" s="18"/>
      <c r="YD183" s="18"/>
      <c r="YE183" s="18"/>
      <c r="YF183" s="18"/>
      <c r="YG183" s="18"/>
      <c r="YH183" s="18"/>
      <c r="YI183" s="18"/>
      <c r="YJ183" s="18"/>
      <c r="YK183" s="18"/>
      <c r="YL183" s="18"/>
      <c r="YM183" s="18"/>
      <c r="YN183" s="18"/>
      <c r="YO183" s="18"/>
      <c r="YP183" s="18"/>
      <c r="YQ183" s="18"/>
      <c r="YR183" s="18"/>
      <c r="YS183" s="18"/>
      <c r="YT183" s="18"/>
      <c r="YU183" s="18"/>
      <c r="YV183" s="18"/>
      <c r="YW183" s="18"/>
      <c r="YX183" s="18"/>
      <c r="YY183" s="18"/>
      <c r="YZ183" s="18"/>
      <c r="ZA183" s="18"/>
      <c r="ZB183" s="18"/>
      <c r="ZC183" s="18"/>
      <c r="ZD183" s="18"/>
      <c r="ZE183" s="18"/>
      <c r="ZF183" s="18"/>
      <c r="ZG183" s="18"/>
      <c r="ZH183" s="18"/>
      <c r="ZI183" s="18"/>
      <c r="ZJ183" s="18"/>
      <c r="ZK183" s="18"/>
      <c r="ZL183" s="18"/>
      <c r="ZM183" s="18"/>
      <c r="ZN183" s="18"/>
      <c r="ZO183" s="18"/>
      <c r="ZP183" s="18"/>
      <c r="ZQ183" s="18"/>
      <c r="ZR183" s="18"/>
      <c r="ZS183" s="18"/>
      <c r="ZT183" s="18"/>
      <c r="ZU183" s="18"/>
      <c r="ZV183" s="18"/>
      <c r="ZW183" s="18"/>
      <c r="ZX183" s="18"/>
      <c r="ZY183" s="18"/>
      <c r="ZZ183" s="18"/>
      <c r="AAA183" s="18"/>
      <c r="AAB183" s="18"/>
      <c r="AAC183" s="18"/>
      <c r="AAD183" s="18"/>
      <c r="AAE183" s="18"/>
      <c r="AAF183" s="18"/>
      <c r="AAG183" s="18"/>
      <c r="AAH183" s="18"/>
      <c r="AAI183" s="18"/>
      <c r="AAJ183" s="18"/>
      <c r="AAK183" s="18"/>
      <c r="AAL183" s="18"/>
      <c r="AAM183" s="18"/>
      <c r="AAN183" s="18"/>
      <c r="AAO183" s="18"/>
      <c r="AAP183" s="18"/>
      <c r="AAQ183" s="18"/>
      <c r="AAR183" s="18"/>
      <c r="AAS183" s="18"/>
      <c r="AAT183" s="18"/>
      <c r="AAU183" s="18"/>
      <c r="AAV183" s="18"/>
      <c r="AAW183" s="18"/>
      <c r="AAX183" s="18"/>
      <c r="AAY183" s="18"/>
      <c r="AAZ183" s="18"/>
      <c r="ABA183" s="18"/>
      <c r="ABB183" s="18"/>
      <c r="ABC183" s="18"/>
      <c r="ABD183" s="18"/>
      <c r="ABE183" s="18"/>
      <c r="ABF183" s="18"/>
      <c r="ABG183" s="18"/>
      <c r="ABH183" s="18"/>
      <c r="ABI183" s="18"/>
      <c r="ABJ183" s="18"/>
      <c r="ABK183" s="18"/>
      <c r="ABL183" s="18"/>
      <c r="ABM183" s="18"/>
      <c r="ABN183" s="18"/>
      <c r="ABO183" s="18"/>
      <c r="ABP183" s="18"/>
      <c r="ABQ183" s="18"/>
      <c r="ABR183" s="18"/>
      <c r="ABS183" s="18"/>
      <c r="ABT183" s="18"/>
      <c r="ABU183" s="18"/>
      <c r="ABV183" s="18"/>
      <c r="ABW183" s="18"/>
      <c r="ABX183" s="18"/>
      <c r="ABY183" s="18"/>
      <c r="ABZ183" s="18"/>
      <c r="ACA183" s="18"/>
      <c r="ACB183" s="18"/>
      <c r="ACC183" s="18"/>
      <c r="ACD183" s="18"/>
      <c r="ACE183" s="18"/>
      <c r="ACF183" s="18"/>
      <c r="ACG183" s="18"/>
      <c r="ACH183" s="18"/>
      <c r="ACI183" s="18"/>
      <c r="ACJ183" s="18"/>
      <c r="ACK183" s="18"/>
      <c r="ACL183" s="18"/>
      <c r="ACM183" s="18"/>
      <c r="ACN183" s="18"/>
      <c r="ACO183" s="18"/>
      <c r="ACP183" s="18"/>
      <c r="ACQ183" s="18"/>
      <c r="ACR183" s="18"/>
      <c r="ACS183" s="18"/>
      <c r="ACT183" s="18"/>
      <c r="ACU183" s="18"/>
      <c r="ACV183" s="18"/>
      <c r="ACW183" s="18"/>
      <c r="ACX183" s="18"/>
      <c r="ACY183" s="18"/>
      <c r="ACZ183" s="18"/>
      <c r="ADA183" s="18"/>
      <c r="ADB183" s="18"/>
      <c r="ADC183" s="18"/>
      <c r="ADD183" s="18"/>
      <c r="ADE183" s="18"/>
      <c r="ADF183" s="18"/>
      <c r="ADG183" s="18"/>
      <c r="ADH183" s="18"/>
      <c r="ADI183" s="18"/>
      <c r="ADJ183" s="18"/>
      <c r="ADK183" s="18"/>
      <c r="ADL183" s="18"/>
      <c r="ADM183" s="18"/>
      <c r="ADN183" s="18"/>
      <c r="ADO183" s="18"/>
      <c r="ADP183" s="18"/>
      <c r="ADQ183" s="18"/>
      <c r="ADR183" s="18"/>
      <c r="ADS183" s="18"/>
      <c r="ADT183" s="18"/>
      <c r="ADU183" s="18"/>
      <c r="ADV183" s="18"/>
      <c r="ADW183" s="18"/>
      <c r="ADX183" s="18"/>
      <c r="ADY183" s="18"/>
      <c r="ADZ183" s="18"/>
      <c r="AEA183" s="18"/>
      <c r="AEB183" s="18"/>
      <c r="AEC183" s="18"/>
      <c r="AED183" s="18"/>
      <c r="AEE183" s="18"/>
      <c r="AEF183" s="18"/>
      <c r="AEG183" s="18"/>
      <c r="AEH183" s="18"/>
      <c r="AEI183" s="18"/>
      <c r="AEJ183" s="18"/>
      <c r="AEK183" s="18"/>
      <c r="AEL183" s="18"/>
      <c r="AEM183" s="18"/>
      <c r="AEN183" s="18"/>
      <c r="AEO183" s="18"/>
      <c r="AEP183" s="18"/>
      <c r="AEQ183" s="18"/>
      <c r="AER183" s="18"/>
      <c r="AES183" s="18"/>
      <c r="AET183" s="18"/>
      <c r="AEU183" s="18"/>
      <c r="AEV183" s="18"/>
      <c r="AEW183" s="18"/>
      <c r="AEX183" s="18"/>
      <c r="AEY183" s="18"/>
      <c r="AEZ183" s="18"/>
      <c r="AFA183" s="18"/>
      <c r="AFB183" s="18"/>
      <c r="AFC183" s="18"/>
      <c r="AFD183" s="18"/>
      <c r="AFE183" s="18"/>
      <c r="AFF183" s="18"/>
      <c r="AFG183" s="18"/>
      <c r="AFH183" s="18"/>
      <c r="AFI183" s="18"/>
      <c r="AFJ183" s="18"/>
      <c r="AFK183" s="18"/>
      <c r="AFL183" s="18"/>
      <c r="AFM183" s="18"/>
      <c r="AFN183" s="18"/>
      <c r="AFO183" s="18"/>
      <c r="AFP183" s="18"/>
      <c r="AFQ183" s="18"/>
      <c r="AFR183" s="18"/>
      <c r="AFS183" s="18"/>
      <c r="AFT183" s="18"/>
      <c r="AFU183" s="18"/>
      <c r="AFV183" s="18"/>
      <c r="AFW183" s="18"/>
      <c r="AFX183" s="18"/>
      <c r="AFY183" s="18"/>
      <c r="AFZ183" s="18"/>
      <c r="AGA183" s="18"/>
      <c r="AGB183" s="18"/>
      <c r="AGC183" s="18"/>
      <c r="AGD183" s="18"/>
      <c r="AGE183" s="18"/>
      <c r="AGF183" s="18"/>
      <c r="AGG183" s="18"/>
      <c r="AGH183" s="18"/>
      <c r="AGI183" s="18"/>
      <c r="AGJ183" s="18"/>
      <c r="AGK183" s="18"/>
      <c r="AGL183" s="18"/>
      <c r="AGM183" s="18"/>
      <c r="AGN183" s="18"/>
      <c r="AGO183" s="18"/>
      <c r="AGP183" s="18"/>
      <c r="AGQ183" s="18"/>
      <c r="AGR183" s="18"/>
      <c r="AGS183" s="18"/>
      <c r="AGT183" s="18"/>
      <c r="AGU183" s="18"/>
      <c r="AGV183" s="18"/>
      <c r="AGW183" s="18"/>
      <c r="AGX183" s="18"/>
      <c r="AGY183" s="18"/>
      <c r="AGZ183" s="18"/>
      <c r="AHA183" s="18"/>
      <c r="AHB183" s="18"/>
      <c r="AHC183" s="18"/>
      <c r="AHD183" s="18"/>
      <c r="AHE183" s="18"/>
      <c r="AHF183" s="18"/>
      <c r="AHG183" s="18"/>
      <c r="AHH183" s="18"/>
      <c r="AHI183" s="18"/>
      <c r="AHJ183" s="18"/>
      <c r="AHK183" s="18"/>
      <c r="AHL183" s="18"/>
      <c r="AHM183" s="18"/>
      <c r="AHN183" s="18"/>
      <c r="AHO183" s="18"/>
      <c r="AHP183" s="18"/>
      <c r="AHQ183" s="18"/>
      <c r="AHR183" s="18"/>
      <c r="AHS183" s="18"/>
      <c r="AHT183" s="18"/>
      <c r="AHU183" s="18"/>
      <c r="AHV183" s="18"/>
      <c r="AHW183" s="18"/>
      <c r="AHX183" s="18"/>
      <c r="AHY183" s="18"/>
      <c r="AHZ183" s="18"/>
      <c r="AIA183" s="18"/>
      <c r="AIB183" s="18"/>
      <c r="AIC183" s="18"/>
      <c r="AID183" s="18"/>
      <c r="AIE183" s="18"/>
      <c r="AIF183" s="18"/>
      <c r="AIG183" s="18"/>
      <c r="AIH183" s="18"/>
      <c r="AII183" s="18"/>
      <c r="AIJ183" s="18"/>
      <c r="AIK183" s="18"/>
      <c r="AIL183" s="18"/>
      <c r="AIM183" s="18"/>
      <c r="AIN183" s="18"/>
      <c r="AIO183" s="18"/>
      <c r="AIP183" s="18"/>
      <c r="AIQ183" s="18"/>
      <c r="AIR183" s="18"/>
      <c r="AIS183" s="18"/>
      <c r="AIT183" s="18"/>
      <c r="AIU183" s="18"/>
      <c r="AIV183" s="18"/>
      <c r="AIW183" s="18"/>
      <c r="AIX183" s="18"/>
      <c r="AIY183" s="18"/>
      <c r="AIZ183" s="18"/>
      <c r="AJA183" s="18"/>
      <c r="AJB183" s="18"/>
      <c r="AJC183" s="18"/>
      <c r="AJD183" s="18"/>
      <c r="AJE183" s="18"/>
      <c r="AJF183" s="18"/>
      <c r="AJG183" s="18"/>
      <c r="AJH183" s="18"/>
      <c r="AJI183" s="18"/>
      <c r="AJJ183" s="18"/>
      <c r="AJK183" s="18"/>
      <c r="AJL183" s="18"/>
      <c r="AJM183" s="18"/>
      <c r="AJN183" s="18"/>
      <c r="AJO183" s="18"/>
      <c r="AJP183" s="18"/>
      <c r="AJQ183" s="18"/>
      <c r="AJR183" s="18"/>
      <c r="AJS183" s="18"/>
      <c r="AJT183" s="18"/>
      <c r="AJU183" s="18"/>
      <c r="AJV183" s="18"/>
      <c r="AJW183" s="18"/>
      <c r="AJX183" s="18"/>
      <c r="AJY183" s="18"/>
      <c r="AJZ183" s="18"/>
      <c r="AKA183" s="18"/>
      <c r="AKB183" s="18"/>
      <c r="AKC183" s="18"/>
      <c r="AKD183" s="18"/>
      <c r="AKE183" s="18"/>
      <c r="AKF183" s="18"/>
      <c r="AKG183" s="18"/>
      <c r="AKH183" s="18"/>
      <c r="AKI183" s="18"/>
      <c r="AKJ183" s="18"/>
      <c r="AKK183" s="18"/>
      <c r="AKL183" s="18"/>
      <c r="AKM183" s="18"/>
      <c r="AKN183" s="18"/>
      <c r="AKO183" s="18"/>
      <c r="AKP183" s="18"/>
      <c r="AKQ183" s="18"/>
      <c r="AKR183" s="18"/>
      <c r="AKS183" s="18"/>
      <c r="AKT183" s="18"/>
      <c r="AKU183" s="18"/>
      <c r="AKV183" s="18"/>
      <c r="AKW183" s="18"/>
      <c r="AKX183" s="18"/>
      <c r="AKY183" s="18"/>
      <c r="AKZ183" s="18"/>
      <c r="ALA183" s="18"/>
      <c r="ALB183" s="18"/>
      <c r="ALC183" s="18"/>
      <c r="ALD183" s="18"/>
      <c r="ALE183" s="18"/>
      <c r="ALF183" s="18"/>
      <c r="ALG183" s="18"/>
      <c r="ALH183" s="18"/>
      <c r="ALI183" s="18"/>
      <c r="ALJ183" s="18"/>
      <c r="ALK183" s="18"/>
      <c r="ALL183" s="18"/>
      <c r="ALM183" s="18"/>
      <c r="ALN183" s="18"/>
      <c r="ALO183" s="18"/>
      <c r="ALP183" s="18"/>
      <c r="ALQ183" s="18"/>
      <c r="ALR183" s="18"/>
      <c r="ALS183" s="18"/>
      <c r="ALT183" s="18"/>
      <c r="ALU183" s="18"/>
      <c r="ALV183" s="18"/>
      <c r="ALW183" s="18"/>
      <c r="ALX183" s="18"/>
      <c r="ALY183" s="18"/>
      <c r="ALZ183" s="18"/>
      <c r="AMA183" s="18"/>
      <c r="AMB183" s="18"/>
      <c r="AMC183" s="18"/>
      <c r="AMD183" s="18"/>
      <c r="AME183" s="18"/>
      <c r="AMF183" s="18"/>
      <c r="AMG183" s="18"/>
      <c r="AMH183" s="18"/>
      <c r="AMI183" s="18"/>
      <c r="AMJ183" s="18"/>
      <c r="AMK183" s="18"/>
      <c r="AML183" s="18"/>
      <c r="AMM183" s="18"/>
      <c r="AMN183" s="18"/>
      <c r="AMO183" s="18"/>
      <c r="AMP183" s="18"/>
      <c r="AMQ183" s="18"/>
      <c r="AMR183" s="18"/>
      <c r="AMS183" s="18"/>
      <c r="AMT183" s="18"/>
      <c r="AMU183" s="18"/>
      <c r="AMV183" s="18"/>
      <c r="AMW183" s="18"/>
      <c r="AMX183" s="18"/>
      <c r="AMY183" s="18"/>
      <c r="AMZ183" s="18"/>
      <c r="ANA183" s="18"/>
      <c r="ANB183" s="18"/>
      <c r="ANC183" s="18"/>
      <c r="AND183" s="18"/>
      <c r="ANE183" s="18"/>
      <c r="ANF183" s="18"/>
      <c r="ANG183" s="18"/>
      <c r="ANH183" s="18"/>
      <c r="ANI183" s="18"/>
      <c r="ANJ183" s="18"/>
      <c r="ANK183" s="18"/>
      <c r="ANL183" s="18"/>
      <c r="ANM183" s="18"/>
      <c r="ANN183" s="18"/>
      <c r="ANO183" s="18"/>
      <c r="ANP183" s="18"/>
      <c r="ANQ183" s="18"/>
      <c r="ANR183" s="18"/>
      <c r="ANS183" s="18"/>
      <c r="ANT183" s="18"/>
      <c r="ANU183" s="18"/>
      <c r="ANV183" s="18"/>
      <c r="ANW183" s="18"/>
      <c r="ANX183" s="18"/>
      <c r="ANY183" s="18"/>
      <c r="ANZ183" s="18"/>
      <c r="AOA183" s="18"/>
      <c r="AOB183" s="18"/>
      <c r="AOC183" s="18"/>
      <c r="AOD183" s="18"/>
      <c r="AOE183" s="18"/>
      <c r="AOF183" s="18"/>
      <c r="AOG183" s="18"/>
      <c r="AOH183" s="18"/>
      <c r="AOI183" s="18"/>
      <c r="AOJ183" s="18"/>
      <c r="AOK183" s="18"/>
      <c r="AOL183" s="18"/>
      <c r="AOM183" s="18"/>
      <c r="AON183" s="18"/>
      <c r="AOO183" s="18"/>
      <c r="AOP183" s="18"/>
      <c r="AOQ183" s="18"/>
      <c r="AOR183" s="18"/>
      <c r="AOS183" s="18"/>
      <c r="AOT183" s="18"/>
      <c r="AOU183" s="18"/>
      <c r="AOV183" s="18"/>
      <c r="AOW183" s="18"/>
      <c r="AOX183" s="18"/>
      <c r="AOY183" s="18"/>
      <c r="AOZ183" s="18"/>
      <c r="APA183" s="18"/>
      <c r="APB183" s="18"/>
      <c r="APC183" s="18"/>
      <c r="APD183" s="18"/>
      <c r="APE183" s="18"/>
      <c r="APF183" s="18"/>
      <c r="APG183" s="18"/>
      <c r="APH183" s="18"/>
      <c r="API183" s="18"/>
      <c r="APJ183" s="18"/>
      <c r="APK183" s="18"/>
      <c r="APL183" s="18"/>
      <c r="APM183" s="18"/>
      <c r="APN183" s="18"/>
      <c r="APO183" s="18"/>
      <c r="APP183" s="18"/>
      <c r="APQ183" s="18"/>
      <c r="APR183" s="18"/>
      <c r="APS183" s="18"/>
      <c r="APT183" s="18"/>
      <c r="APU183" s="18"/>
      <c r="APV183" s="18"/>
      <c r="APW183" s="18"/>
      <c r="APX183" s="18"/>
      <c r="APY183" s="18"/>
      <c r="APZ183" s="18"/>
      <c r="AQA183" s="18"/>
      <c r="AQB183" s="18"/>
      <c r="AQC183" s="18"/>
      <c r="AQD183" s="18"/>
      <c r="AQE183" s="18"/>
      <c r="AQF183" s="18"/>
      <c r="AQG183" s="18"/>
      <c r="AQH183" s="18"/>
      <c r="AQI183" s="18"/>
      <c r="AQJ183" s="18"/>
      <c r="AQK183" s="18"/>
      <c r="AQL183" s="18"/>
      <c r="AQM183" s="18"/>
      <c r="AQN183" s="18"/>
      <c r="AQO183" s="18"/>
      <c r="AQP183" s="18"/>
      <c r="AQQ183" s="18"/>
      <c r="AQR183" s="18"/>
      <c r="AQS183" s="18"/>
      <c r="AQT183" s="18"/>
      <c r="AQU183" s="18"/>
      <c r="AQV183" s="18"/>
      <c r="AQW183" s="18"/>
      <c r="AQX183" s="18"/>
      <c r="AQY183" s="18"/>
      <c r="AQZ183" s="18"/>
      <c r="ARA183" s="18"/>
      <c r="ARB183" s="18"/>
      <c r="ARC183" s="18"/>
      <c r="ARD183" s="18"/>
      <c r="ARE183" s="18"/>
      <c r="ARF183" s="18"/>
      <c r="ARG183" s="18"/>
      <c r="ARH183" s="18"/>
      <c r="ARI183" s="18"/>
      <c r="ARJ183" s="18"/>
      <c r="ARK183" s="18"/>
      <c r="ARL183" s="18"/>
      <c r="ARM183" s="18"/>
      <c r="ARN183" s="18"/>
      <c r="ARO183" s="18"/>
      <c r="ARP183" s="18"/>
      <c r="ARQ183" s="18"/>
      <c r="ARR183" s="18"/>
      <c r="ARS183" s="18"/>
      <c r="ART183" s="18"/>
      <c r="ARU183" s="18"/>
      <c r="ARV183" s="18"/>
      <c r="ARW183" s="18"/>
      <c r="ARX183" s="18"/>
      <c r="ARY183" s="18"/>
      <c r="ARZ183" s="18"/>
      <c r="ASA183" s="18"/>
      <c r="ASB183" s="18"/>
      <c r="ASC183" s="18"/>
      <c r="ASD183" s="18"/>
      <c r="ASE183" s="18"/>
      <c r="ASF183" s="18"/>
      <c r="ASG183" s="18"/>
      <c r="ASH183" s="18"/>
      <c r="ASI183" s="18"/>
      <c r="ASJ183" s="18"/>
      <c r="ASK183" s="18"/>
      <c r="ASL183" s="18"/>
      <c r="ASM183" s="18"/>
      <c r="ASN183" s="18"/>
      <c r="ASO183" s="18"/>
      <c r="ASP183" s="18"/>
      <c r="ASQ183" s="18"/>
      <c r="ASR183" s="18"/>
      <c r="ASS183" s="18"/>
      <c r="AST183" s="18"/>
      <c r="ASU183" s="18"/>
      <c r="ASV183" s="18"/>
      <c r="ASW183" s="18"/>
      <c r="ASX183" s="18"/>
      <c r="ASY183" s="18"/>
      <c r="ASZ183" s="18"/>
      <c r="ATA183" s="18"/>
      <c r="ATB183" s="18"/>
      <c r="ATC183" s="18"/>
      <c r="ATD183" s="18"/>
      <c r="ATE183" s="18"/>
      <c r="ATF183" s="18"/>
      <c r="ATG183" s="18"/>
      <c r="ATH183" s="18"/>
      <c r="ATI183" s="18"/>
      <c r="ATJ183" s="18"/>
      <c r="ATK183" s="18"/>
      <c r="ATL183" s="18"/>
      <c r="ATM183" s="18"/>
      <c r="ATN183" s="18"/>
      <c r="ATO183" s="18"/>
      <c r="ATP183" s="18"/>
      <c r="ATQ183" s="18"/>
      <c r="ATR183" s="18"/>
      <c r="ATS183" s="18"/>
      <c r="ATT183" s="18"/>
      <c r="ATU183" s="18"/>
      <c r="ATV183" s="18"/>
      <c r="ATW183" s="18"/>
      <c r="ATX183" s="18"/>
      <c r="ATY183" s="18"/>
      <c r="ATZ183" s="18"/>
      <c r="AUA183" s="18"/>
      <c r="AUB183" s="18"/>
      <c r="AUC183" s="18"/>
      <c r="AUD183" s="18"/>
      <c r="AUE183" s="18"/>
      <c r="AUF183" s="18"/>
      <c r="AUG183" s="18"/>
      <c r="AUH183" s="18"/>
      <c r="AUI183" s="18"/>
      <c r="AUJ183" s="18"/>
      <c r="AUK183" s="18"/>
      <c r="AUL183" s="18"/>
      <c r="AUM183" s="18"/>
      <c r="AUN183" s="18"/>
      <c r="AUO183" s="18"/>
      <c r="AUP183" s="18"/>
      <c r="AUQ183" s="18"/>
      <c r="AUR183" s="18"/>
      <c r="AUS183" s="18"/>
      <c r="AUT183" s="18"/>
      <c r="AUU183" s="18"/>
      <c r="AUV183" s="18"/>
      <c r="AUW183" s="18"/>
      <c r="AUX183" s="18"/>
      <c r="AUY183" s="18"/>
      <c r="AUZ183" s="18"/>
      <c r="AVA183" s="18"/>
      <c r="AVB183" s="18"/>
      <c r="AVC183" s="18"/>
      <c r="AVD183" s="18"/>
      <c r="AVE183" s="18"/>
      <c r="AVF183" s="18"/>
      <c r="AVG183" s="18"/>
      <c r="AVH183" s="18"/>
      <c r="AVI183" s="18"/>
      <c r="AVJ183" s="18"/>
      <c r="AVK183" s="18"/>
      <c r="AVL183" s="18"/>
      <c r="AVM183" s="18"/>
      <c r="AVN183" s="18"/>
      <c r="AVO183" s="18"/>
      <c r="AVP183" s="18"/>
      <c r="AVQ183" s="18"/>
      <c r="AVR183" s="18"/>
      <c r="AVS183" s="18"/>
      <c r="AVT183" s="18"/>
      <c r="AVU183" s="18"/>
      <c r="AVV183" s="18"/>
      <c r="AVW183" s="18"/>
      <c r="AVX183" s="18"/>
      <c r="AVY183" s="18"/>
      <c r="AVZ183" s="18"/>
      <c r="AWA183" s="18"/>
      <c r="AWB183" s="18"/>
      <c r="AWC183" s="18"/>
      <c r="AWD183" s="18"/>
      <c r="AWE183" s="18"/>
      <c r="AWF183" s="18"/>
      <c r="AWG183" s="18"/>
      <c r="AWH183" s="18"/>
      <c r="AWI183" s="18"/>
      <c r="AWJ183" s="18"/>
      <c r="AWK183" s="18"/>
      <c r="AWL183" s="18"/>
      <c r="AWM183" s="18"/>
      <c r="AWN183" s="18"/>
      <c r="AWO183" s="18"/>
      <c r="AWP183" s="18"/>
      <c r="AWQ183" s="18"/>
      <c r="AWR183" s="18"/>
      <c r="AWS183" s="18"/>
      <c r="AWT183" s="18"/>
      <c r="AWU183" s="18"/>
      <c r="AWV183" s="18"/>
      <c r="AWW183" s="18"/>
      <c r="AWX183" s="18"/>
      <c r="AWY183" s="18"/>
      <c r="AWZ183" s="18"/>
      <c r="AXA183" s="18"/>
      <c r="AXB183" s="18"/>
      <c r="AXC183" s="18"/>
      <c r="AXD183" s="18"/>
      <c r="AXE183" s="18"/>
      <c r="AXF183" s="18"/>
      <c r="AXG183" s="18"/>
      <c r="AXH183" s="18"/>
      <c r="AXI183" s="18"/>
      <c r="AXJ183" s="18"/>
      <c r="AXK183" s="18"/>
      <c r="AXL183" s="18"/>
      <c r="AXM183" s="18"/>
      <c r="AXN183" s="18"/>
      <c r="AXO183" s="18"/>
      <c r="AXP183" s="18"/>
      <c r="AXQ183" s="18"/>
      <c r="AXR183" s="18"/>
      <c r="AXS183" s="18"/>
      <c r="AXT183" s="18"/>
      <c r="AXU183" s="18"/>
      <c r="AXV183" s="18"/>
      <c r="AXW183" s="18"/>
      <c r="AXX183" s="18"/>
      <c r="AXY183" s="18"/>
      <c r="AXZ183" s="18"/>
      <c r="AYA183" s="18"/>
      <c r="AYB183" s="18"/>
      <c r="AYC183" s="18"/>
      <c r="AYD183" s="18"/>
      <c r="AYE183" s="18"/>
      <c r="AYF183" s="18"/>
      <c r="AYG183" s="18"/>
      <c r="AYH183" s="18"/>
      <c r="AYI183" s="18"/>
      <c r="AYJ183" s="18"/>
      <c r="AYK183" s="18"/>
      <c r="AYL183" s="18"/>
      <c r="AYM183" s="18"/>
      <c r="AYN183" s="18"/>
      <c r="AYO183" s="18"/>
      <c r="AYP183" s="18"/>
      <c r="AYQ183" s="18"/>
      <c r="AYR183" s="18"/>
      <c r="AYS183" s="18"/>
      <c r="AYT183" s="18"/>
      <c r="AYU183" s="18"/>
      <c r="AYV183" s="18"/>
      <c r="AYW183" s="18"/>
      <c r="AYX183" s="18"/>
      <c r="AYY183" s="18"/>
      <c r="AYZ183" s="18"/>
      <c r="AZA183" s="18"/>
      <c r="AZB183" s="18"/>
      <c r="AZC183" s="18"/>
      <c r="AZD183" s="18"/>
      <c r="AZE183" s="18"/>
      <c r="AZF183" s="18"/>
      <c r="AZG183" s="18"/>
      <c r="AZH183" s="18"/>
      <c r="AZI183" s="18"/>
      <c r="AZJ183" s="18"/>
      <c r="AZK183" s="18"/>
      <c r="AZL183" s="18"/>
      <c r="AZM183" s="18"/>
      <c r="AZN183" s="18"/>
      <c r="AZO183" s="18"/>
      <c r="AZP183" s="18"/>
      <c r="AZQ183" s="18"/>
      <c r="AZR183" s="18"/>
      <c r="AZS183" s="18"/>
      <c r="AZT183" s="18"/>
      <c r="AZU183" s="18"/>
      <c r="AZV183" s="18"/>
      <c r="AZW183" s="18"/>
      <c r="AZX183" s="18"/>
      <c r="AZY183" s="18"/>
      <c r="AZZ183" s="18"/>
      <c r="BAA183" s="18"/>
      <c r="BAB183" s="18"/>
      <c r="BAC183" s="18"/>
      <c r="BAD183" s="18"/>
      <c r="BAE183" s="18"/>
      <c r="BAF183" s="18"/>
      <c r="BAG183" s="18"/>
      <c r="BAH183" s="18"/>
      <c r="BAI183" s="18"/>
      <c r="BAJ183" s="18"/>
      <c r="BAK183" s="18"/>
      <c r="BAL183" s="18"/>
      <c r="BAM183" s="18"/>
      <c r="BAN183" s="18"/>
      <c r="BAO183" s="18"/>
      <c r="BAP183" s="18"/>
      <c r="BAQ183" s="18"/>
      <c r="BAR183" s="18"/>
      <c r="BAS183" s="18"/>
      <c r="BAT183" s="18"/>
      <c r="BAU183" s="18"/>
      <c r="BAV183" s="18"/>
      <c r="BAW183" s="18"/>
      <c r="BAX183" s="18"/>
      <c r="BAY183" s="18"/>
      <c r="BAZ183" s="18"/>
      <c r="BBA183" s="18"/>
      <c r="BBB183" s="18"/>
      <c r="BBC183" s="18"/>
      <c r="BBD183" s="18"/>
      <c r="BBE183" s="18"/>
      <c r="BBF183" s="18"/>
      <c r="BBG183" s="18"/>
      <c r="BBH183" s="18"/>
      <c r="BBI183" s="18"/>
      <c r="BBJ183" s="18"/>
      <c r="BBK183" s="18"/>
      <c r="BBL183" s="18"/>
      <c r="BBM183" s="18"/>
      <c r="BBN183" s="18"/>
      <c r="BBO183" s="18"/>
      <c r="BBP183" s="18"/>
      <c r="BBQ183" s="18"/>
      <c r="BBR183" s="18"/>
      <c r="BBS183" s="18"/>
      <c r="BBT183" s="18"/>
      <c r="BBU183" s="18"/>
      <c r="BBV183" s="18"/>
      <c r="BBW183" s="18"/>
      <c r="BBX183" s="18"/>
      <c r="BBY183" s="18"/>
      <c r="BBZ183" s="18"/>
      <c r="BCA183" s="18"/>
      <c r="BCB183" s="18"/>
      <c r="BCC183" s="18"/>
      <c r="BCD183" s="18"/>
      <c r="BCE183" s="18"/>
      <c r="BCF183" s="18"/>
      <c r="BCG183" s="18"/>
      <c r="BCH183" s="18"/>
      <c r="BCI183" s="18"/>
      <c r="BCJ183" s="18"/>
      <c r="BCK183" s="18"/>
      <c r="BCL183" s="18"/>
      <c r="BCM183" s="18"/>
      <c r="BCN183" s="18"/>
      <c r="BCO183" s="18"/>
      <c r="BCP183" s="18"/>
      <c r="BCQ183" s="18"/>
      <c r="BCR183" s="18"/>
      <c r="BCS183" s="18"/>
      <c r="BCT183" s="18"/>
      <c r="BCU183" s="18"/>
      <c r="BCV183" s="18"/>
      <c r="BCW183" s="18"/>
      <c r="BCX183" s="18"/>
      <c r="BCY183" s="18"/>
      <c r="BCZ183" s="18"/>
      <c r="BDA183" s="18"/>
      <c r="BDB183" s="18"/>
      <c r="BDC183" s="18"/>
      <c r="BDD183" s="18"/>
      <c r="BDE183" s="18"/>
      <c r="BDF183" s="18"/>
      <c r="BDG183" s="18"/>
      <c r="BDH183" s="18"/>
      <c r="BDI183" s="18"/>
      <c r="BDJ183" s="18"/>
      <c r="BDK183" s="18"/>
      <c r="BDL183" s="18"/>
      <c r="BDM183" s="18"/>
      <c r="BDN183" s="18"/>
      <c r="BDO183" s="18"/>
      <c r="BDP183" s="18"/>
      <c r="BDQ183" s="18"/>
      <c r="BDR183" s="18"/>
      <c r="BDS183" s="18"/>
      <c r="BDT183" s="18"/>
      <c r="BDU183" s="18"/>
      <c r="BDV183" s="18"/>
      <c r="BDW183" s="18"/>
      <c r="BDX183" s="18"/>
      <c r="BDY183" s="18"/>
      <c r="BDZ183" s="18"/>
      <c r="BEA183" s="18"/>
      <c r="BEB183" s="18"/>
      <c r="BEC183" s="18"/>
      <c r="BED183" s="18"/>
      <c r="BEE183" s="18"/>
      <c r="BEF183" s="18"/>
      <c r="BEG183" s="18"/>
      <c r="BEH183" s="18"/>
      <c r="BEI183" s="18"/>
      <c r="BEJ183" s="18"/>
      <c r="BEK183" s="18"/>
      <c r="BEL183" s="18"/>
      <c r="BEM183" s="18"/>
      <c r="BEN183" s="18"/>
      <c r="BEO183" s="18"/>
      <c r="BEP183" s="18"/>
      <c r="BEQ183" s="18"/>
      <c r="BER183" s="18"/>
      <c r="BES183" s="18"/>
      <c r="BET183" s="18"/>
      <c r="BEU183" s="18"/>
      <c r="BEV183" s="18"/>
      <c r="BEW183" s="18"/>
      <c r="BEX183" s="18"/>
      <c r="BEY183" s="18"/>
      <c r="BEZ183" s="18"/>
      <c r="BFA183" s="18"/>
      <c r="BFB183" s="18"/>
      <c r="BFC183" s="18"/>
      <c r="BFD183" s="18"/>
      <c r="BFE183" s="18"/>
      <c r="BFF183" s="18"/>
      <c r="BFG183" s="18"/>
      <c r="BFH183" s="18"/>
      <c r="BFI183" s="18"/>
      <c r="BFJ183" s="18"/>
      <c r="BFK183" s="18"/>
      <c r="BFL183" s="18"/>
      <c r="BFM183" s="18"/>
      <c r="BFN183" s="18"/>
      <c r="BFO183" s="18"/>
      <c r="BFP183" s="18"/>
      <c r="BFQ183" s="18"/>
      <c r="BFR183" s="18"/>
      <c r="BFS183" s="18"/>
      <c r="BFT183" s="18"/>
      <c r="BFU183" s="18"/>
      <c r="BFV183" s="18"/>
      <c r="BFW183" s="18"/>
      <c r="BFX183" s="18"/>
      <c r="BFY183" s="18"/>
      <c r="BFZ183" s="18"/>
      <c r="BGA183" s="18"/>
      <c r="BGB183" s="18"/>
      <c r="BGC183" s="18"/>
      <c r="BGD183" s="18"/>
      <c r="BGE183" s="18"/>
      <c r="BGF183" s="18"/>
      <c r="BGG183" s="18"/>
      <c r="BGH183" s="18"/>
      <c r="BGI183" s="18"/>
      <c r="BGJ183" s="18"/>
      <c r="BGK183" s="18"/>
      <c r="BGL183" s="18"/>
      <c r="BGM183" s="18"/>
      <c r="BGN183" s="18"/>
      <c r="BGO183" s="18"/>
      <c r="BGP183" s="18"/>
      <c r="BGQ183" s="18"/>
      <c r="BGR183" s="18"/>
      <c r="BGS183" s="18"/>
      <c r="BGT183" s="18"/>
      <c r="BGU183" s="18"/>
      <c r="BGV183" s="18"/>
      <c r="BGW183" s="18"/>
      <c r="BGX183" s="18"/>
      <c r="BGY183" s="18"/>
      <c r="BGZ183" s="18"/>
      <c r="BHA183" s="18"/>
      <c r="BHB183" s="18"/>
      <c r="BHC183" s="18"/>
      <c r="BHD183" s="18"/>
      <c r="BHE183" s="18"/>
      <c r="BHF183" s="18"/>
      <c r="BHG183" s="18"/>
      <c r="BHH183" s="18"/>
      <c r="BHI183" s="18"/>
      <c r="BHJ183" s="18"/>
      <c r="BHK183" s="18"/>
      <c r="BHL183" s="18"/>
      <c r="BHM183" s="18"/>
      <c r="BHN183" s="18"/>
      <c r="BHO183" s="18"/>
      <c r="BHP183" s="18"/>
      <c r="BHQ183" s="18"/>
      <c r="BHR183" s="18"/>
      <c r="BHS183" s="18"/>
      <c r="BHT183" s="18"/>
      <c r="BHU183" s="18"/>
      <c r="BHV183" s="18"/>
      <c r="BHW183" s="18"/>
      <c r="BHX183" s="18"/>
      <c r="BHY183" s="18"/>
      <c r="BHZ183" s="18"/>
      <c r="BIA183" s="18"/>
      <c r="BIB183" s="18"/>
      <c r="BIC183" s="18"/>
      <c r="BID183" s="18"/>
      <c r="BIE183" s="18"/>
      <c r="BIF183" s="18"/>
      <c r="BIG183" s="18"/>
      <c r="BIH183" s="18"/>
      <c r="BII183" s="18"/>
      <c r="BIJ183" s="18"/>
      <c r="BIK183" s="18"/>
      <c r="BIL183" s="18"/>
      <c r="BIM183" s="18"/>
      <c r="BIN183" s="18"/>
      <c r="BIO183" s="18"/>
      <c r="BIP183" s="18"/>
      <c r="BIQ183" s="18"/>
      <c r="BIR183" s="18"/>
      <c r="BIS183" s="18"/>
      <c r="BIT183" s="18"/>
      <c r="BIU183" s="18"/>
      <c r="BIV183" s="18"/>
      <c r="BIW183" s="18"/>
      <c r="BIX183" s="18"/>
      <c r="BIY183" s="18"/>
      <c r="BIZ183" s="18"/>
      <c r="BJA183" s="18"/>
      <c r="BJB183" s="18"/>
      <c r="BJC183" s="18"/>
      <c r="BJD183" s="18"/>
      <c r="BJE183" s="18"/>
      <c r="BJF183" s="18"/>
      <c r="BJG183" s="18"/>
      <c r="BJH183" s="18"/>
      <c r="BJI183" s="18"/>
      <c r="BJJ183" s="18"/>
      <c r="BJK183" s="18"/>
      <c r="BJL183" s="18"/>
      <c r="BJM183" s="18"/>
      <c r="BJN183" s="18"/>
      <c r="BJO183" s="18"/>
      <c r="BJP183" s="18"/>
      <c r="BJQ183" s="18"/>
      <c r="BJR183" s="18"/>
      <c r="BJS183" s="18"/>
      <c r="BJT183" s="18"/>
      <c r="BJU183" s="18"/>
      <c r="BJV183" s="18"/>
      <c r="BJW183" s="18"/>
      <c r="BJX183" s="18"/>
      <c r="BJY183" s="18"/>
      <c r="BJZ183" s="18"/>
      <c r="BKA183" s="18"/>
      <c r="BKB183" s="18"/>
      <c r="BKC183" s="18"/>
      <c r="BKD183" s="18"/>
      <c r="BKE183" s="18"/>
      <c r="BKF183" s="18"/>
      <c r="BKG183" s="18"/>
      <c r="BKH183" s="18"/>
      <c r="BKI183" s="18"/>
      <c r="BKJ183" s="18"/>
      <c r="BKK183" s="18"/>
      <c r="BKL183" s="18"/>
      <c r="BKM183" s="18"/>
      <c r="BKN183" s="18"/>
      <c r="BKO183" s="18"/>
      <c r="BKP183" s="18"/>
      <c r="BKQ183" s="18"/>
      <c r="BKR183" s="18"/>
      <c r="BKS183" s="18"/>
      <c r="BKT183" s="18"/>
      <c r="BKU183" s="18"/>
      <c r="BKV183" s="18"/>
      <c r="BKW183" s="18"/>
      <c r="BKX183" s="18"/>
      <c r="BKY183" s="18"/>
      <c r="BKZ183" s="18"/>
      <c r="BLA183" s="18"/>
      <c r="BLB183" s="18"/>
      <c r="BLC183" s="18"/>
      <c r="BLD183" s="18"/>
      <c r="BLE183" s="18"/>
      <c r="BLF183" s="18"/>
      <c r="BLG183" s="18"/>
      <c r="BLH183" s="18"/>
      <c r="BLI183" s="18"/>
      <c r="BLJ183" s="18"/>
      <c r="BLK183" s="18"/>
      <c r="BLL183" s="18"/>
      <c r="BLM183" s="18"/>
      <c r="BLN183" s="18"/>
      <c r="BLO183" s="18"/>
      <c r="BLP183" s="18"/>
      <c r="BLQ183" s="18"/>
      <c r="BLR183" s="18"/>
      <c r="BLS183" s="18"/>
      <c r="BLT183" s="18"/>
      <c r="BLU183" s="18"/>
      <c r="BLV183" s="18"/>
      <c r="BLW183" s="18"/>
      <c r="BLX183" s="18"/>
      <c r="BLY183" s="18"/>
      <c r="BLZ183" s="18"/>
      <c r="BMA183" s="18"/>
      <c r="BMB183" s="18"/>
      <c r="BMC183" s="18"/>
      <c r="BMD183" s="18"/>
      <c r="BME183" s="18"/>
      <c r="BMF183" s="18"/>
      <c r="BMG183" s="18"/>
      <c r="BMH183" s="18"/>
      <c r="BMI183" s="18"/>
      <c r="BMJ183" s="18"/>
      <c r="BMK183" s="18"/>
      <c r="BML183" s="18"/>
      <c r="BMM183" s="18"/>
      <c r="BMN183" s="18"/>
      <c r="BMO183" s="18"/>
      <c r="BMP183" s="18"/>
      <c r="BMQ183" s="18"/>
      <c r="BMR183" s="18"/>
      <c r="BMS183" s="18"/>
      <c r="BMT183" s="18"/>
      <c r="BMU183" s="18"/>
      <c r="BMV183" s="18"/>
      <c r="BMW183" s="18"/>
      <c r="BMX183" s="18"/>
      <c r="BMY183" s="18"/>
      <c r="BMZ183" s="18"/>
      <c r="BNA183" s="18"/>
      <c r="BNB183" s="18"/>
      <c r="BNC183" s="18"/>
      <c r="BND183" s="18"/>
      <c r="BNE183" s="18"/>
      <c r="BNF183" s="18"/>
      <c r="BNG183" s="18"/>
      <c r="BNH183" s="18"/>
      <c r="BNI183" s="18"/>
      <c r="BNJ183" s="18"/>
      <c r="BNK183" s="18"/>
      <c r="BNL183" s="18"/>
      <c r="BNM183" s="18"/>
      <c r="BNN183" s="18"/>
      <c r="BNO183" s="18"/>
      <c r="BNP183" s="18"/>
      <c r="BNQ183" s="18"/>
      <c r="BNR183" s="18"/>
      <c r="BNS183" s="18"/>
      <c r="BNT183" s="18"/>
      <c r="BNU183" s="18"/>
      <c r="BNV183" s="18"/>
      <c r="BNW183" s="18"/>
      <c r="BNX183" s="18"/>
      <c r="BNY183" s="18"/>
      <c r="BNZ183" s="18"/>
      <c r="BOA183" s="18"/>
      <c r="BOB183" s="18"/>
      <c r="BOC183" s="18"/>
      <c r="BOD183" s="18"/>
      <c r="BOE183" s="18"/>
      <c r="BOF183" s="18"/>
      <c r="BOG183" s="18"/>
      <c r="BOH183" s="18"/>
      <c r="BOI183" s="18"/>
      <c r="BOJ183" s="18"/>
      <c r="BOK183" s="18"/>
      <c r="BOL183" s="18"/>
      <c r="BOM183" s="18"/>
      <c r="BON183" s="18"/>
      <c r="BOO183" s="18"/>
      <c r="BOP183" s="18"/>
      <c r="BOQ183" s="18"/>
      <c r="BOR183" s="18"/>
      <c r="BOS183" s="18"/>
      <c r="BOT183" s="18"/>
      <c r="BOU183" s="18"/>
      <c r="BOV183" s="18"/>
      <c r="BOW183" s="18"/>
      <c r="BOX183" s="18"/>
      <c r="BOY183" s="18"/>
      <c r="BOZ183" s="18"/>
      <c r="BPA183" s="18"/>
      <c r="BPB183" s="18"/>
      <c r="BPC183" s="18"/>
      <c r="BPD183" s="18"/>
      <c r="BPE183" s="18"/>
      <c r="BPF183" s="18"/>
      <c r="BPG183" s="18"/>
      <c r="BPH183" s="18"/>
      <c r="BPI183" s="18"/>
      <c r="BPJ183" s="18"/>
      <c r="BPK183" s="18"/>
      <c r="BPL183" s="18"/>
      <c r="BPM183" s="18"/>
      <c r="BPN183" s="18"/>
      <c r="BPO183" s="18"/>
      <c r="BPP183" s="18"/>
      <c r="BPQ183" s="18"/>
      <c r="BPR183" s="18"/>
      <c r="BPS183" s="18"/>
      <c r="BPT183" s="18"/>
      <c r="BPU183" s="18"/>
      <c r="BPV183" s="18"/>
      <c r="BPW183" s="18"/>
      <c r="BPX183" s="18"/>
      <c r="BPY183" s="18"/>
      <c r="BPZ183" s="18"/>
      <c r="BQA183" s="18"/>
      <c r="BQB183" s="18"/>
      <c r="BQC183" s="18"/>
      <c r="BQD183" s="18"/>
      <c r="BQE183" s="18"/>
      <c r="BQF183" s="18"/>
      <c r="BQG183" s="18"/>
      <c r="BQH183" s="18"/>
      <c r="BQI183" s="18"/>
      <c r="BQJ183" s="18"/>
      <c r="BQK183" s="18"/>
      <c r="BQL183" s="18"/>
      <c r="BQM183" s="18"/>
      <c r="BQN183" s="18"/>
      <c r="BQO183" s="18"/>
      <c r="BQP183" s="18"/>
      <c r="BQQ183" s="18"/>
      <c r="BQR183" s="18"/>
      <c r="BQS183" s="18"/>
      <c r="BQT183" s="18"/>
      <c r="BQU183" s="18"/>
      <c r="BQV183" s="18"/>
      <c r="BQW183" s="18"/>
      <c r="BQX183" s="18"/>
      <c r="BQY183" s="18"/>
      <c r="BQZ183" s="18"/>
      <c r="BRA183" s="18"/>
      <c r="BRB183" s="18"/>
      <c r="BRC183" s="18"/>
      <c r="BRD183" s="18"/>
      <c r="BRE183" s="18"/>
      <c r="BRF183" s="18"/>
      <c r="BRG183" s="18"/>
      <c r="BRH183" s="18"/>
      <c r="BRI183" s="18"/>
      <c r="BRJ183" s="18"/>
      <c r="BRK183" s="18"/>
      <c r="BRL183" s="18"/>
      <c r="BRM183" s="18"/>
      <c r="BRN183" s="18"/>
      <c r="BRO183" s="18"/>
      <c r="BRP183" s="18"/>
      <c r="BRQ183" s="18"/>
      <c r="BRR183" s="18"/>
      <c r="BRS183" s="18"/>
      <c r="BRT183" s="18"/>
      <c r="BRU183" s="18"/>
      <c r="BRV183" s="18"/>
      <c r="BRW183" s="18"/>
      <c r="BRX183" s="18"/>
      <c r="BRY183" s="18"/>
      <c r="BRZ183" s="18"/>
      <c r="BSA183" s="18"/>
      <c r="BSB183" s="18"/>
      <c r="BSC183" s="18"/>
      <c r="BSD183" s="18"/>
      <c r="BSE183" s="18"/>
      <c r="BSF183" s="18"/>
      <c r="BSG183" s="18"/>
      <c r="BSH183" s="18"/>
      <c r="BSI183" s="18"/>
      <c r="BSJ183" s="18"/>
      <c r="BSK183" s="18"/>
      <c r="BSL183" s="18"/>
      <c r="BSM183" s="18"/>
      <c r="BSN183" s="18"/>
      <c r="BSO183" s="18"/>
      <c r="BSP183" s="18"/>
      <c r="BSQ183" s="18"/>
      <c r="BSR183" s="18"/>
      <c r="BSS183" s="18"/>
      <c r="BST183" s="18"/>
      <c r="BSU183" s="18"/>
      <c r="BSV183" s="18"/>
      <c r="BSW183" s="18"/>
      <c r="BSX183" s="18"/>
      <c r="BSY183" s="18"/>
      <c r="BSZ183" s="18"/>
      <c r="BTA183" s="18"/>
      <c r="BTB183" s="18"/>
      <c r="BTC183" s="18"/>
      <c r="BTD183" s="18"/>
      <c r="BTE183" s="18"/>
      <c r="BTF183" s="18"/>
      <c r="BTG183" s="18"/>
      <c r="BTH183" s="18"/>
    </row>
    <row r="184" spans="1:1880" s="399" customFormat="1" ht="225" customHeight="1" x14ac:dyDescent="0.3">
      <c r="A184" s="100">
        <v>577</v>
      </c>
      <c r="B184" s="343"/>
      <c r="C184" s="343" t="s">
        <v>251</v>
      </c>
      <c r="D184" s="213" t="s">
        <v>1326</v>
      </c>
      <c r="E184" s="516"/>
      <c r="F184" s="766"/>
      <c r="G184" s="518" t="str">
        <f>IF(F184="Yes","In this cell - Please include the name of the plan, a brief description of the benefit and the population group that received the benefits."," ")</f>
        <v xml:space="preserve"> </v>
      </c>
      <c r="H184" s="17"/>
      <c r="I184" s="397"/>
      <c r="J184"/>
      <c r="K184" s="18"/>
      <c r="L184"/>
      <c r="M184" s="18"/>
      <c r="N184" s="176"/>
      <c r="O184" s="18"/>
      <c r="P184" s="18"/>
      <c r="Q184" s="18"/>
      <c r="R184" s="18"/>
      <c r="S184" s="18"/>
      <c r="T184" s="18"/>
      <c r="U184" s="18"/>
      <c r="V184" s="18"/>
      <c r="W184" s="18"/>
      <c r="X184" s="18"/>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8"/>
      <c r="EO184" s="18"/>
      <c r="EP184" s="18"/>
      <c r="EQ184" s="18"/>
      <c r="ER184" s="18"/>
      <c r="ES184" s="18"/>
      <c r="ET184" s="18"/>
      <c r="EU184" s="18"/>
      <c r="EV184" s="18"/>
      <c r="EW184" s="18"/>
      <c r="EX184" s="18"/>
      <c r="EY184" s="18"/>
      <c r="EZ184" s="18"/>
      <c r="FA184" s="18"/>
      <c r="FB184" s="18"/>
      <c r="FC184" s="18"/>
      <c r="FD184" s="18"/>
      <c r="FE184" s="18"/>
      <c r="FF184" s="18"/>
      <c r="FG184" s="18"/>
      <c r="FH184" s="18"/>
      <c r="FI184" s="18"/>
      <c r="FJ184" s="18"/>
      <c r="FK184" s="18"/>
      <c r="FL184" s="18"/>
      <c r="FM184" s="18"/>
      <c r="FN184" s="18"/>
      <c r="FO184" s="18"/>
      <c r="FP184" s="18"/>
      <c r="FQ184" s="18"/>
      <c r="FR184" s="18"/>
      <c r="FS184" s="18"/>
      <c r="FT184" s="18"/>
      <c r="FU184" s="18"/>
      <c r="FV184" s="18"/>
      <c r="FW184" s="18"/>
      <c r="FX184" s="18"/>
      <c r="FY184" s="18"/>
      <c r="FZ184" s="18"/>
      <c r="GA184" s="18"/>
      <c r="GB184" s="18"/>
      <c r="GC184" s="18"/>
      <c r="GD184" s="18"/>
      <c r="GE184" s="18"/>
      <c r="GF184" s="18"/>
      <c r="GG184" s="18"/>
      <c r="GH184" s="18"/>
      <c r="GI184" s="18"/>
      <c r="GJ184" s="18"/>
      <c r="GK184" s="18"/>
      <c r="GL184" s="18"/>
      <c r="GM184" s="18"/>
      <c r="GN184" s="18"/>
      <c r="GO184" s="18"/>
      <c r="GP184" s="18"/>
      <c r="GQ184" s="18"/>
      <c r="GR184" s="18"/>
      <c r="GS184" s="18"/>
      <c r="GT184" s="18"/>
      <c r="GU184" s="18"/>
      <c r="GV184" s="18"/>
      <c r="GW184" s="18"/>
      <c r="GX184" s="18"/>
      <c r="GY184" s="18"/>
      <c r="GZ184" s="18"/>
      <c r="HA184" s="18"/>
      <c r="HB184" s="18"/>
      <c r="HC184" s="18"/>
      <c r="HD184" s="18"/>
      <c r="HE184" s="18"/>
      <c r="HF184" s="18"/>
      <c r="HG184" s="18"/>
      <c r="HH184" s="18"/>
      <c r="HI184" s="18"/>
      <c r="HJ184" s="18"/>
      <c r="HK184" s="18"/>
      <c r="HL184" s="18"/>
      <c r="HM184" s="18"/>
      <c r="HN184" s="18"/>
      <c r="HO184" s="18"/>
      <c r="HP184" s="18"/>
      <c r="HQ184" s="18"/>
      <c r="HR184" s="18"/>
      <c r="HS184" s="18"/>
      <c r="HT184" s="18"/>
      <c r="HU184" s="18"/>
      <c r="HV184" s="18"/>
      <c r="HW184" s="18"/>
      <c r="HX184" s="18"/>
      <c r="HY184" s="18"/>
      <c r="HZ184" s="18"/>
      <c r="IA184" s="18"/>
      <c r="IB184" s="18"/>
      <c r="IC184" s="18"/>
      <c r="ID184" s="18"/>
      <c r="IE184" s="18"/>
      <c r="IF184" s="18"/>
      <c r="IG184" s="18"/>
      <c r="IH184" s="18"/>
      <c r="II184" s="18"/>
      <c r="IJ184" s="18"/>
      <c r="IK184" s="18"/>
      <c r="IL184" s="18"/>
      <c r="IM184" s="18"/>
      <c r="IN184" s="18"/>
      <c r="IO184" s="18"/>
      <c r="IP184" s="18"/>
      <c r="IQ184" s="18"/>
      <c r="IR184" s="18"/>
      <c r="IS184" s="18"/>
      <c r="IT184" s="18"/>
      <c r="IU184" s="18"/>
      <c r="IV184" s="18"/>
      <c r="IW184" s="18"/>
      <c r="IX184" s="18"/>
      <c r="IY184" s="18"/>
      <c r="IZ184" s="18"/>
      <c r="JA184" s="18"/>
      <c r="JB184" s="18"/>
      <c r="JC184" s="18"/>
      <c r="JD184" s="18"/>
      <c r="JE184" s="18"/>
      <c r="JF184" s="18"/>
      <c r="JG184" s="18"/>
      <c r="JH184" s="18"/>
      <c r="JI184" s="18"/>
      <c r="JJ184" s="18"/>
      <c r="JK184" s="18"/>
      <c r="JL184" s="18"/>
      <c r="JM184" s="18"/>
      <c r="JN184" s="18"/>
      <c r="JO184" s="18"/>
      <c r="JP184" s="18"/>
      <c r="JQ184" s="18"/>
      <c r="JR184" s="18"/>
      <c r="JS184" s="18"/>
      <c r="JT184" s="18"/>
      <c r="JU184" s="18"/>
      <c r="JV184" s="18"/>
      <c r="JW184" s="18"/>
      <c r="JX184" s="18"/>
      <c r="JY184" s="18"/>
      <c r="JZ184" s="18"/>
      <c r="KA184" s="18"/>
      <c r="KB184" s="18"/>
      <c r="KC184" s="18"/>
      <c r="KD184" s="18"/>
      <c r="KE184" s="18"/>
      <c r="KF184" s="18"/>
      <c r="KG184" s="18"/>
      <c r="KH184" s="18"/>
      <c r="KI184" s="18"/>
      <c r="KJ184" s="18"/>
      <c r="KK184" s="18"/>
      <c r="KL184" s="18"/>
      <c r="KM184" s="18"/>
      <c r="KN184" s="18"/>
      <c r="KO184" s="18"/>
      <c r="KP184" s="18"/>
      <c r="KQ184" s="18"/>
      <c r="KR184" s="18"/>
      <c r="KS184" s="18"/>
      <c r="KT184" s="18"/>
      <c r="KU184" s="18"/>
      <c r="KV184" s="18"/>
      <c r="KW184" s="18"/>
      <c r="KX184" s="18"/>
      <c r="KY184" s="18"/>
      <c r="KZ184" s="18"/>
      <c r="LA184" s="18"/>
      <c r="LB184" s="18"/>
      <c r="LC184" s="18"/>
      <c r="LD184" s="18"/>
      <c r="LE184" s="18"/>
      <c r="LF184" s="18"/>
      <c r="LG184" s="18"/>
      <c r="LH184" s="18"/>
      <c r="LI184" s="18"/>
      <c r="LJ184" s="18"/>
      <c r="LK184" s="18"/>
      <c r="LL184" s="18"/>
      <c r="LM184" s="18"/>
      <c r="LN184" s="18"/>
      <c r="LO184" s="18"/>
      <c r="LP184" s="18"/>
      <c r="LQ184" s="18"/>
      <c r="LR184" s="18"/>
      <c r="LS184" s="18"/>
      <c r="LT184" s="18"/>
      <c r="LU184" s="18"/>
      <c r="LV184" s="18"/>
      <c r="LW184" s="18"/>
      <c r="LX184" s="18"/>
      <c r="LY184" s="18"/>
      <c r="LZ184" s="18"/>
      <c r="MA184" s="18"/>
      <c r="MB184" s="18"/>
      <c r="MC184" s="18"/>
      <c r="MD184" s="18"/>
      <c r="ME184" s="18"/>
      <c r="MF184" s="18"/>
      <c r="MG184" s="18"/>
      <c r="MH184" s="18"/>
      <c r="MI184" s="18"/>
      <c r="MJ184" s="18"/>
      <c r="MK184" s="18"/>
      <c r="ML184" s="18"/>
      <c r="MM184" s="18"/>
      <c r="MN184" s="18"/>
      <c r="MO184" s="18"/>
      <c r="MP184" s="18"/>
      <c r="MQ184" s="18"/>
      <c r="MR184" s="18"/>
      <c r="MS184" s="18"/>
      <c r="MT184" s="18"/>
      <c r="MU184" s="18"/>
      <c r="MV184" s="18"/>
      <c r="MW184" s="18"/>
      <c r="MX184" s="18"/>
      <c r="MY184" s="18"/>
      <c r="MZ184" s="18"/>
      <c r="NA184" s="18"/>
      <c r="NB184" s="18"/>
      <c r="NC184" s="18"/>
      <c r="ND184" s="18"/>
      <c r="NE184" s="18"/>
      <c r="NF184" s="18"/>
      <c r="NG184" s="18"/>
      <c r="NH184" s="18"/>
      <c r="NI184" s="18"/>
      <c r="NJ184" s="18"/>
      <c r="NK184" s="18"/>
      <c r="NL184" s="18"/>
      <c r="NM184" s="18"/>
      <c r="NN184" s="18"/>
      <c r="NO184" s="18"/>
      <c r="NP184" s="18"/>
      <c r="NQ184" s="18"/>
      <c r="NR184" s="18"/>
      <c r="NS184" s="18"/>
      <c r="NT184" s="18"/>
      <c r="NU184" s="18"/>
      <c r="NV184" s="18"/>
      <c r="NW184" s="18"/>
      <c r="NX184" s="18"/>
      <c r="NY184" s="18"/>
      <c r="NZ184" s="18"/>
      <c r="OA184" s="18"/>
      <c r="OB184" s="18"/>
      <c r="OC184" s="18"/>
      <c r="OD184" s="18"/>
      <c r="OE184" s="18"/>
      <c r="OF184" s="18"/>
      <c r="OG184" s="18"/>
      <c r="OH184" s="18"/>
      <c r="OI184" s="18"/>
      <c r="OJ184" s="18"/>
      <c r="OK184" s="18"/>
      <c r="OL184" s="18"/>
      <c r="OM184" s="18"/>
      <c r="ON184" s="18"/>
      <c r="OO184" s="18"/>
      <c r="OP184" s="18"/>
      <c r="OQ184" s="18"/>
      <c r="OR184" s="18"/>
      <c r="OS184" s="18"/>
      <c r="OT184" s="18"/>
      <c r="OU184" s="18"/>
      <c r="OV184" s="18"/>
      <c r="OW184" s="18"/>
      <c r="OX184" s="18"/>
      <c r="OY184" s="18"/>
      <c r="OZ184" s="18"/>
      <c r="PA184" s="18"/>
      <c r="PB184" s="18"/>
      <c r="PC184" s="18"/>
      <c r="PD184" s="18"/>
      <c r="PE184" s="18"/>
      <c r="PF184" s="18"/>
      <c r="PG184" s="18"/>
      <c r="PH184" s="18"/>
      <c r="PI184" s="18"/>
      <c r="PJ184" s="18"/>
      <c r="PK184" s="18"/>
      <c r="PL184" s="18"/>
      <c r="PM184" s="18"/>
      <c r="PN184" s="18"/>
      <c r="PO184" s="18"/>
      <c r="PP184" s="18"/>
      <c r="PQ184" s="18"/>
      <c r="PR184" s="18"/>
      <c r="PS184" s="18"/>
      <c r="PT184" s="18"/>
      <c r="PU184" s="18"/>
      <c r="PV184" s="18"/>
      <c r="PW184" s="18"/>
      <c r="PX184" s="18"/>
      <c r="PY184" s="18"/>
      <c r="PZ184" s="18"/>
      <c r="QA184" s="18"/>
      <c r="QB184" s="18"/>
      <c r="QC184" s="18"/>
      <c r="QD184" s="18"/>
      <c r="QE184" s="18"/>
      <c r="QF184" s="18"/>
      <c r="QG184" s="18"/>
      <c r="QH184" s="18"/>
      <c r="QI184" s="18"/>
      <c r="QJ184" s="18"/>
      <c r="QK184" s="18"/>
      <c r="QL184" s="18"/>
      <c r="QM184" s="18"/>
      <c r="QN184" s="18"/>
      <c r="QO184" s="18"/>
      <c r="QP184" s="18"/>
      <c r="QQ184" s="18"/>
      <c r="QR184" s="18"/>
      <c r="QS184" s="18"/>
      <c r="QT184" s="18"/>
      <c r="QU184" s="18"/>
      <c r="QV184" s="18"/>
      <c r="QW184" s="18"/>
      <c r="QX184" s="18"/>
      <c r="QY184" s="18"/>
      <c r="QZ184" s="18"/>
      <c r="RA184" s="18"/>
      <c r="RB184" s="18"/>
      <c r="RC184" s="18"/>
      <c r="RD184" s="18"/>
      <c r="RE184" s="18"/>
      <c r="RF184" s="18"/>
      <c r="RG184" s="18"/>
      <c r="RH184" s="18"/>
      <c r="RI184" s="18"/>
      <c r="RJ184" s="18"/>
      <c r="RK184" s="18"/>
      <c r="RL184" s="18"/>
      <c r="RM184" s="18"/>
      <c r="RN184" s="18"/>
      <c r="RO184" s="18"/>
      <c r="RP184" s="18"/>
      <c r="RQ184" s="18"/>
      <c r="RR184" s="18"/>
      <c r="RS184" s="18"/>
      <c r="RT184" s="18"/>
      <c r="RU184" s="18"/>
      <c r="RV184" s="18"/>
      <c r="RW184" s="18"/>
      <c r="RX184" s="18"/>
      <c r="RY184" s="18"/>
      <c r="RZ184" s="18"/>
      <c r="SA184" s="18"/>
      <c r="SB184" s="18"/>
      <c r="SC184" s="18"/>
      <c r="SD184" s="18"/>
      <c r="SE184" s="18"/>
      <c r="SF184" s="18"/>
      <c r="SG184" s="18"/>
      <c r="SH184" s="18"/>
      <c r="SI184" s="18"/>
      <c r="SJ184" s="18"/>
      <c r="SK184" s="18"/>
      <c r="SL184" s="18"/>
      <c r="SM184" s="18"/>
      <c r="SN184" s="18"/>
      <c r="SO184" s="18"/>
      <c r="SP184" s="18"/>
      <c r="SQ184" s="18"/>
      <c r="SR184" s="18"/>
      <c r="SS184" s="18"/>
      <c r="ST184" s="18"/>
      <c r="SU184" s="18"/>
      <c r="SV184" s="18"/>
      <c r="SW184" s="18"/>
      <c r="SX184" s="18"/>
      <c r="SY184" s="18"/>
      <c r="SZ184" s="18"/>
      <c r="TA184" s="18"/>
      <c r="TB184" s="18"/>
      <c r="TC184" s="18"/>
      <c r="TD184" s="18"/>
      <c r="TE184" s="18"/>
      <c r="TF184" s="18"/>
      <c r="TG184" s="18"/>
      <c r="TH184" s="18"/>
      <c r="TI184" s="18"/>
      <c r="TJ184" s="18"/>
      <c r="TK184" s="18"/>
      <c r="TL184" s="18"/>
      <c r="TM184" s="18"/>
      <c r="TN184" s="18"/>
      <c r="TO184" s="18"/>
      <c r="TP184" s="18"/>
      <c r="TQ184" s="18"/>
      <c r="TR184" s="18"/>
      <c r="TS184" s="18"/>
      <c r="TT184" s="18"/>
      <c r="TU184" s="18"/>
      <c r="TV184" s="18"/>
      <c r="TW184" s="18"/>
      <c r="TX184" s="18"/>
      <c r="TY184" s="18"/>
      <c r="TZ184" s="18"/>
      <c r="UA184" s="18"/>
      <c r="UB184" s="18"/>
      <c r="UC184" s="18"/>
      <c r="UD184" s="18"/>
      <c r="UE184" s="18"/>
      <c r="UF184" s="18"/>
      <c r="UG184" s="18"/>
      <c r="UH184" s="18"/>
      <c r="UI184" s="18"/>
      <c r="UJ184" s="18"/>
      <c r="UK184" s="18"/>
      <c r="UL184" s="18"/>
      <c r="UM184" s="18"/>
      <c r="UN184" s="18"/>
      <c r="UO184" s="18"/>
      <c r="UP184" s="18"/>
      <c r="UQ184" s="18"/>
      <c r="UR184" s="18"/>
      <c r="US184" s="18"/>
      <c r="UT184" s="18"/>
      <c r="UU184" s="18"/>
      <c r="UV184" s="18"/>
      <c r="UW184" s="18"/>
      <c r="UX184" s="18"/>
      <c r="UY184" s="18"/>
      <c r="UZ184" s="18"/>
      <c r="VA184" s="18"/>
      <c r="VB184" s="18"/>
      <c r="VC184" s="18"/>
      <c r="VD184" s="18"/>
      <c r="VE184" s="18"/>
      <c r="VF184" s="18"/>
      <c r="VG184" s="18"/>
      <c r="VH184" s="18"/>
      <c r="VI184" s="18"/>
      <c r="VJ184" s="18"/>
      <c r="VK184" s="18"/>
      <c r="VL184" s="18"/>
      <c r="VM184" s="18"/>
      <c r="VN184" s="18"/>
      <c r="VO184" s="18"/>
      <c r="VP184" s="18"/>
      <c r="VQ184" s="18"/>
      <c r="VR184" s="18"/>
      <c r="VS184" s="18"/>
      <c r="VT184" s="18"/>
      <c r="VU184" s="18"/>
      <c r="VV184" s="18"/>
      <c r="VW184" s="18"/>
      <c r="VX184" s="18"/>
      <c r="VY184" s="18"/>
      <c r="VZ184" s="18"/>
      <c r="WA184" s="18"/>
      <c r="WB184" s="18"/>
      <c r="WC184" s="18"/>
      <c r="WD184" s="18"/>
      <c r="WE184" s="18"/>
      <c r="WF184" s="18"/>
      <c r="WG184" s="18"/>
      <c r="WH184" s="18"/>
      <c r="WI184" s="18"/>
      <c r="WJ184" s="18"/>
      <c r="WK184" s="18"/>
      <c r="WL184" s="18"/>
      <c r="WM184" s="18"/>
      <c r="WN184" s="18"/>
      <c r="WO184" s="18"/>
      <c r="WP184" s="18"/>
      <c r="WQ184" s="18"/>
      <c r="WR184" s="18"/>
      <c r="WS184" s="18"/>
      <c r="WT184" s="18"/>
      <c r="WU184" s="18"/>
      <c r="WV184" s="18"/>
      <c r="WW184" s="18"/>
      <c r="WX184" s="18"/>
      <c r="WY184" s="18"/>
      <c r="WZ184" s="18"/>
      <c r="XA184" s="18"/>
      <c r="XB184" s="18"/>
      <c r="XC184" s="18"/>
      <c r="XD184" s="18"/>
      <c r="XE184" s="18"/>
      <c r="XF184" s="18"/>
      <c r="XG184" s="18"/>
      <c r="XH184" s="18"/>
      <c r="XI184" s="18"/>
      <c r="XJ184" s="18"/>
      <c r="XK184" s="18"/>
      <c r="XL184" s="18"/>
      <c r="XM184" s="18"/>
      <c r="XN184" s="18"/>
      <c r="XO184" s="18"/>
      <c r="XP184" s="18"/>
      <c r="XQ184" s="18"/>
      <c r="XR184" s="18"/>
      <c r="XS184" s="18"/>
      <c r="XT184" s="18"/>
      <c r="XU184" s="18"/>
      <c r="XV184" s="18"/>
      <c r="XW184" s="18"/>
      <c r="XX184" s="18"/>
      <c r="XY184" s="18"/>
      <c r="XZ184" s="18"/>
      <c r="YA184" s="18"/>
      <c r="YB184" s="18"/>
      <c r="YC184" s="18"/>
      <c r="YD184" s="18"/>
      <c r="YE184" s="18"/>
      <c r="YF184" s="18"/>
      <c r="YG184" s="18"/>
      <c r="YH184" s="18"/>
      <c r="YI184" s="18"/>
      <c r="YJ184" s="18"/>
      <c r="YK184" s="18"/>
      <c r="YL184" s="18"/>
      <c r="YM184" s="18"/>
      <c r="YN184" s="18"/>
      <c r="YO184" s="18"/>
      <c r="YP184" s="18"/>
      <c r="YQ184" s="18"/>
      <c r="YR184" s="18"/>
      <c r="YS184" s="18"/>
      <c r="YT184" s="18"/>
      <c r="YU184" s="18"/>
      <c r="YV184" s="18"/>
      <c r="YW184" s="18"/>
      <c r="YX184" s="18"/>
      <c r="YY184" s="18"/>
      <c r="YZ184" s="18"/>
      <c r="ZA184" s="18"/>
      <c r="ZB184" s="18"/>
      <c r="ZC184" s="18"/>
      <c r="ZD184" s="18"/>
      <c r="ZE184" s="18"/>
      <c r="ZF184" s="18"/>
      <c r="ZG184" s="18"/>
      <c r="ZH184" s="18"/>
      <c r="ZI184" s="18"/>
      <c r="ZJ184" s="18"/>
      <c r="ZK184" s="18"/>
      <c r="ZL184" s="18"/>
      <c r="ZM184" s="18"/>
      <c r="ZN184" s="18"/>
      <c r="ZO184" s="18"/>
      <c r="ZP184" s="18"/>
      <c r="ZQ184" s="18"/>
      <c r="ZR184" s="18"/>
      <c r="ZS184" s="18"/>
      <c r="ZT184" s="18"/>
      <c r="ZU184" s="18"/>
      <c r="ZV184" s="18"/>
      <c r="ZW184" s="18"/>
      <c r="ZX184" s="18"/>
      <c r="ZY184" s="18"/>
      <c r="ZZ184" s="18"/>
      <c r="AAA184" s="18"/>
      <c r="AAB184" s="18"/>
      <c r="AAC184" s="18"/>
      <c r="AAD184" s="18"/>
      <c r="AAE184" s="18"/>
      <c r="AAF184" s="18"/>
      <c r="AAG184" s="18"/>
      <c r="AAH184" s="18"/>
      <c r="AAI184" s="18"/>
      <c r="AAJ184" s="18"/>
      <c r="AAK184" s="18"/>
      <c r="AAL184" s="18"/>
      <c r="AAM184" s="18"/>
      <c r="AAN184" s="18"/>
      <c r="AAO184" s="18"/>
      <c r="AAP184" s="18"/>
      <c r="AAQ184" s="18"/>
      <c r="AAR184" s="18"/>
      <c r="AAS184" s="18"/>
      <c r="AAT184" s="18"/>
      <c r="AAU184" s="18"/>
      <c r="AAV184" s="18"/>
      <c r="AAW184" s="18"/>
      <c r="AAX184" s="18"/>
      <c r="AAY184" s="18"/>
      <c r="AAZ184" s="18"/>
      <c r="ABA184" s="18"/>
      <c r="ABB184" s="18"/>
      <c r="ABC184" s="18"/>
      <c r="ABD184" s="18"/>
      <c r="ABE184" s="18"/>
      <c r="ABF184" s="18"/>
      <c r="ABG184" s="18"/>
      <c r="ABH184" s="18"/>
      <c r="ABI184" s="18"/>
      <c r="ABJ184" s="18"/>
      <c r="ABK184" s="18"/>
      <c r="ABL184" s="18"/>
      <c r="ABM184" s="18"/>
      <c r="ABN184" s="18"/>
      <c r="ABO184" s="18"/>
      <c r="ABP184" s="18"/>
      <c r="ABQ184" s="18"/>
      <c r="ABR184" s="18"/>
      <c r="ABS184" s="18"/>
      <c r="ABT184" s="18"/>
      <c r="ABU184" s="18"/>
      <c r="ABV184" s="18"/>
      <c r="ABW184" s="18"/>
      <c r="ABX184" s="18"/>
      <c r="ABY184" s="18"/>
      <c r="ABZ184" s="18"/>
      <c r="ACA184" s="18"/>
      <c r="ACB184" s="18"/>
      <c r="ACC184" s="18"/>
      <c r="ACD184" s="18"/>
      <c r="ACE184" s="18"/>
      <c r="ACF184" s="18"/>
      <c r="ACG184" s="18"/>
      <c r="ACH184" s="18"/>
      <c r="ACI184" s="18"/>
      <c r="ACJ184" s="18"/>
      <c r="ACK184" s="18"/>
      <c r="ACL184" s="18"/>
      <c r="ACM184" s="18"/>
      <c r="ACN184" s="18"/>
      <c r="ACO184" s="18"/>
      <c r="ACP184" s="18"/>
      <c r="ACQ184" s="18"/>
      <c r="ACR184" s="18"/>
      <c r="ACS184" s="18"/>
      <c r="ACT184" s="18"/>
      <c r="ACU184" s="18"/>
      <c r="ACV184" s="18"/>
      <c r="ACW184" s="18"/>
      <c r="ACX184" s="18"/>
      <c r="ACY184" s="18"/>
      <c r="ACZ184" s="18"/>
      <c r="ADA184" s="18"/>
      <c r="ADB184" s="18"/>
      <c r="ADC184" s="18"/>
      <c r="ADD184" s="18"/>
      <c r="ADE184" s="18"/>
      <c r="ADF184" s="18"/>
      <c r="ADG184" s="18"/>
      <c r="ADH184" s="18"/>
      <c r="ADI184" s="18"/>
      <c r="ADJ184" s="18"/>
      <c r="ADK184" s="18"/>
      <c r="ADL184" s="18"/>
      <c r="ADM184" s="18"/>
      <c r="ADN184" s="18"/>
      <c r="ADO184" s="18"/>
      <c r="ADP184" s="18"/>
      <c r="ADQ184" s="18"/>
      <c r="ADR184" s="18"/>
      <c r="ADS184" s="18"/>
      <c r="ADT184" s="18"/>
      <c r="ADU184" s="18"/>
      <c r="ADV184" s="18"/>
      <c r="ADW184" s="18"/>
      <c r="ADX184" s="18"/>
      <c r="ADY184" s="18"/>
      <c r="ADZ184" s="18"/>
      <c r="AEA184" s="18"/>
      <c r="AEB184" s="18"/>
      <c r="AEC184" s="18"/>
      <c r="AED184" s="18"/>
      <c r="AEE184" s="18"/>
      <c r="AEF184" s="18"/>
      <c r="AEG184" s="18"/>
      <c r="AEH184" s="18"/>
      <c r="AEI184" s="18"/>
      <c r="AEJ184" s="18"/>
      <c r="AEK184" s="18"/>
      <c r="AEL184" s="18"/>
      <c r="AEM184" s="18"/>
      <c r="AEN184" s="18"/>
      <c r="AEO184" s="18"/>
      <c r="AEP184" s="18"/>
      <c r="AEQ184" s="18"/>
      <c r="AER184" s="18"/>
      <c r="AES184" s="18"/>
      <c r="AET184" s="18"/>
      <c r="AEU184" s="18"/>
      <c r="AEV184" s="18"/>
      <c r="AEW184" s="18"/>
      <c r="AEX184" s="18"/>
      <c r="AEY184" s="18"/>
      <c r="AEZ184" s="18"/>
      <c r="AFA184" s="18"/>
      <c r="AFB184" s="18"/>
      <c r="AFC184" s="18"/>
      <c r="AFD184" s="18"/>
      <c r="AFE184" s="18"/>
      <c r="AFF184" s="18"/>
      <c r="AFG184" s="18"/>
      <c r="AFH184" s="18"/>
      <c r="AFI184" s="18"/>
      <c r="AFJ184" s="18"/>
      <c r="AFK184" s="18"/>
      <c r="AFL184" s="18"/>
      <c r="AFM184" s="18"/>
      <c r="AFN184" s="18"/>
      <c r="AFO184" s="18"/>
      <c r="AFP184" s="18"/>
      <c r="AFQ184" s="18"/>
      <c r="AFR184" s="18"/>
      <c r="AFS184" s="18"/>
      <c r="AFT184" s="18"/>
      <c r="AFU184" s="18"/>
      <c r="AFV184" s="18"/>
      <c r="AFW184" s="18"/>
      <c r="AFX184" s="18"/>
      <c r="AFY184" s="18"/>
      <c r="AFZ184" s="18"/>
      <c r="AGA184" s="18"/>
      <c r="AGB184" s="18"/>
      <c r="AGC184" s="18"/>
      <c r="AGD184" s="18"/>
      <c r="AGE184" s="18"/>
      <c r="AGF184" s="18"/>
      <c r="AGG184" s="18"/>
      <c r="AGH184" s="18"/>
      <c r="AGI184" s="18"/>
      <c r="AGJ184" s="18"/>
      <c r="AGK184" s="18"/>
      <c r="AGL184" s="18"/>
      <c r="AGM184" s="18"/>
      <c r="AGN184" s="18"/>
      <c r="AGO184" s="18"/>
      <c r="AGP184" s="18"/>
      <c r="AGQ184" s="18"/>
      <c r="AGR184" s="18"/>
      <c r="AGS184" s="18"/>
      <c r="AGT184" s="18"/>
      <c r="AGU184" s="18"/>
      <c r="AGV184" s="18"/>
      <c r="AGW184" s="18"/>
      <c r="AGX184" s="18"/>
      <c r="AGY184" s="18"/>
      <c r="AGZ184" s="18"/>
      <c r="AHA184" s="18"/>
      <c r="AHB184" s="18"/>
      <c r="AHC184" s="18"/>
      <c r="AHD184" s="18"/>
      <c r="AHE184" s="18"/>
      <c r="AHF184" s="18"/>
      <c r="AHG184" s="18"/>
      <c r="AHH184" s="18"/>
      <c r="AHI184" s="18"/>
      <c r="AHJ184" s="18"/>
      <c r="AHK184" s="18"/>
      <c r="AHL184" s="18"/>
      <c r="AHM184" s="18"/>
      <c r="AHN184" s="18"/>
      <c r="AHO184" s="18"/>
      <c r="AHP184" s="18"/>
      <c r="AHQ184" s="18"/>
      <c r="AHR184" s="18"/>
      <c r="AHS184" s="18"/>
      <c r="AHT184" s="18"/>
      <c r="AHU184" s="18"/>
      <c r="AHV184" s="18"/>
      <c r="AHW184" s="18"/>
      <c r="AHX184" s="18"/>
      <c r="AHY184" s="18"/>
      <c r="AHZ184" s="18"/>
      <c r="AIA184" s="18"/>
      <c r="AIB184" s="18"/>
      <c r="AIC184" s="18"/>
      <c r="AID184" s="18"/>
      <c r="AIE184" s="18"/>
      <c r="AIF184" s="18"/>
      <c r="AIG184" s="18"/>
      <c r="AIH184" s="18"/>
      <c r="AII184" s="18"/>
      <c r="AIJ184" s="18"/>
      <c r="AIK184" s="18"/>
      <c r="AIL184" s="18"/>
      <c r="AIM184" s="18"/>
      <c r="AIN184" s="18"/>
      <c r="AIO184" s="18"/>
      <c r="AIP184" s="18"/>
      <c r="AIQ184" s="18"/>
      <c r="AIR184" s="18"/>
      <c r="AIS184" s="18"/>
      <c r="AIT184" s="18"/>
      <c r="AIU184" s="18"/>
      <c r="AIV184" s="18"/>
      <c r="AIW184" s="18"/>
      <c r="AIX184" s="18"/>
      <c r="AIY184" s="18"/>
      <c r="AIZ184" s="18"/>
      <c r="AJA184" s="18"/>
      <c r="AJB184" s="18"/>
      <c r="AJC184" s="18"/>
      <c r="AJD184" s="18"/>
      <c r="AJE184" s="18"/>
      <c r="AJF184" s="18"/>
      <c r="AJG184" s="18"/>
      <c r="AJH184" s="18"/>
      <c r="AJI184" s="18"/>
      <c r="AJJ184" s="18"/>
      <c r="AJK184" s="18"/>
      <c r="AJL184" s="18"/>
      <c r="AJM184" s="18"/>
      <c r="AJN184" s="18"/>
      <c r="AJO184" s="18"/>
      <c r="AJP184" s="18"/>
      <c r="AJQ184" s="18"/>
      <c r="AJR184" s="18"/>
      <c r="AJS184" s="18"/>
      <c r="AJT184" s="18"/>
      <c r="AJU184" s="18"/>
      <c r="AJV184" s="18"/>
      <c r="AJW184" s="18"/>
      <c r="AJX184" s="18"/>
      <c r="AJY184" s="18"/>
      <c r="AJZ184" s="18"/>
      <c r="AKA184" s="18"/>
      <c r="AKB184" s="18"/>
      <c r="AKC184" s="18"/>
      <c r="AKD184" s="18"/>
      <c r="AKE184" s="18"/>
      <c r="AKF184" s="18"/>
      <c r="AKG184" s="18"/>
      <c r="AKH184" s="18"/>
      <c r="AKI184" s="18"/>
      <c r="AKJ184" s="18"/>
      <c r="AKK184" s="18"/>
      <c r="AKL184" s="18"/>
      <c r="AKM184" s="18"/>
      <c r="AKN184" s="18"/>
      <c r="AKO184" s="18"/>
      <c r="AKP184" s="18"/>
      <c r="AKQ184" s="18"/>
      <c r="AKR184" s="18"/>
      <c r="AKS184" s="18"/>
      <c r="AKT184" s="18"/>
      <c r="AKU184" s="18"/>
      <c r="AKV184" s="18"/>
      <c r="AKW184" s="18"/>
      <c r="AKX184" s="18"/>
      <c r="AKY184" s="18"/>
      <c r="AKZ184" s="18"/>
      <c r="ALA184" s="18"/>
      <c r="ALB184" s="18"/>
      <c r="ALC184" s="18"/>
      <c r="ALD184" s="18"/>
      <c r="ALE184" s="18"/>
      <c r="ALF184" s="18"/>
      <c r="ALG184" s="18"/>
      <c r="ALH184" s="18"/>
      <c r="ALI184" s="18"/>
      <c r="ALJ184" s="18"/>
      <c r="ALK184" s="18"/>
      <c r="ALL184" s="18"/>
      <c r="ALM184" s="18"/>
      <c r="ALN184" s="18"/>
      <c r="ALO184" s="18"/>
      <c r="ALP184" s="18"/>
      <c r="ALQ184" s="18"/>
      <c r="ALR184" s="18"/>
      <c r="ALS184" s="18"/>
      <c r="ALT184" s="18"/>
      <c r="ALU184" s="18"/>
      <c r="ALV184" s="18"/>
      <c r="ALW184" s="18"/>
      <c r="ALX184" s="18"/>
      <c r="ALY184" s="18"/>
      <c r="ALZ184" s="18"/>
      <c r="AMA184" s="18"/>
      <c r="AMB184" s="18"/>
      <c r="AMC184" s="18"/>
      <c r="AMD184" s="18"/>
      <c r="AME184" s="18"/>
      <c r="AMF184" s="18"/>
      <c r="AMG184" s="18"/>
      <c r="AMH184" s="18"/>
      <c r="AMI184" s="18"/>
      <c r="AMJ184" s="18"/>
      <c r="AMK184" s="18"/>
      <c r="AML184" s="18"/>
      <c r="AMM184" s="18"/>
      <c r="AMN184" s="18"/>
      <c r="AMO184" s="18"/>
      <c r="AMP184" s="18"/>
      <c r="AMQ184" s="18"/>
      <c r="AMR184" s="18"/>
      <c r="AMS184" s="18"/>
      <c r="AMT184" s="18"/>
      <c r="AMU184" s="18"/>
      <c r="AMV184" s="18"/>
      <c r="AMW184" s="18"/>
      <c r="AMX184" s="18"/>
      <c r="AMY184" s="18"/>
      <c r="AMZ184" s="18"/>
      <c r="ANA184" s="18"/>
      <c r="ANB184" s="18"/>
      <c r="ANC184" s="18"/>
      <c r="AND184" s="18"/>
      <c r="ANE184" s="18"/>
      <c r="ANF184" s="18"/>
      <c r="ANG184" s="18"/>
      <c r="ANH184" s="18"/>
      <c r="ANI184" s="18"/>
      <c r="ANJ184" s="18"/>
      <c r="ANK184" s="18"/>
      <c r="ANL184" s="18"/>
      <c r="ANM184" s="18"/>
      <c r="ANN184" s="18"/>
      <c r="ANO184" s="18"/>
      <c r="ANP184" s="18"/>
      <c r="ANQ184" s="18"/>
      <c r="ANR184" s="18"/>
      <c r="ANS184" s="18"/>
      <c r="ANT184" s="18"/>
      <c r="ANU184" s="18"/>
      <c r="ANV184" s="18"/>
      <c r="ANW184" s="18"/>
      <c r="ANX184" s="18"/>
      <c r="ANY184" s="18"/>
      <c r="ANZ184" s="18"/>
      <c r="AOA184" s="18"/>
      <c r="AOB184" s="18"/>
      <c r="AOC184" s="18"/>
      <c r="AOD184" s="18"/>
      <c r="AOE184" s="18"/>
      <c r="AOF184" s="18"/>
      <c r="AOG184" s="18"/>
      <c r="AOH184" s="18"/>
      <c r="AOI184" s="18"/>
      <c r="AOJ184" s="18"/>
      <c r="AOK184" s="18"/>
      <c r="AOL184" s="18"/>
      <c r="AOM184" s="18"/>
      <c r="AON184" s="18"/>
      <c r="AOO184" s="18"/>
      <c r="AOP184" s="18"/>
      <c r="AOQ184" s="18"/>
      <c r="AOR184" s="18"/>
      <c r="AOS184" s="18"/>
      <c r="AOT184" s="18"/>
      <c r="AOU184" s="18"/>
      <c r="AOV184" s="18"/>
      <c r="AOW184" s="18"/>
      <c r="AOX184" s="18"/>
      <c r="AOY184" s="18"/>
      <c r="AOZ184" s="18"/>
      <c r="APA184" s="18"/>
      <c r="APB184" s="18"/>
      <c r="APC184" s="18"/>
      <c r="APD184" s="18"/>
      <c r="APE184" s="18"/>
      <c r="APF184" s="18"/>
      <c r="APG184" s="18"/>
      <c r="APH184" s="18"/>
      <c r="API184" s="18"/>
      <c r="APJ184" s="18"/>
      <c r="APK184" s="18"/>
      <c r="APL184" s="18"/>
      <c r="APM184" s="18"/>
      <c r="APN184" s="18"/>
      <c r="APO184" s="18"/>
      <c r="APP184" s="18"/>
      <c r="APQ184" s="18"/>
      <c r="APR184" s="18"/>
      <c r="APS184" s="18"/>
      <c r="APT184" s="18"/>
      <c r="APU184" s="18"/>
      <c r="APV184" s="18"/>
      <c r="APW184" s="18"/>
      <c r="APX184" s="18"/>
      <c r="APY184" s="18"/>
      <c r="APZ184" s="18"/>
      <c r="AQA184" s="18"/>
      <c r="AQB184" s="18"/>
      <c r="AQC184" s="18"/>
      <c r="AQD184" s="18"/>
      <c r="AQE184" s="18"/>
      <c r="AQF184" s="18"/>
      <c r="AQG184" s="18"/>
      <c r="AQH184" s="18"/>
      <c r="AQI184" s="18"/>
      <c r="AQJ184" s="18"/>
      <c r="AQK184" s="18"/>
      <c r="AQL184" s="18"/>
      <c r="AQM184" s="18"/>
      <c r="AQN184" s="18"/>
      <c r="AQO184" s="18"/>
      <c r="AQP184" s="18"/>
      <c r="AQQ184" s="18"/>
      <c r="AQR184" s="18"/>
      <c r="AQS184" s="18"/>
      <c r="AQT184" s="18"/>
      <c r="AQU184" s="18"/>
      <c r="AQV184" s="18"/>
      <c r="AQW184" s="18"/>
      <c r="AQX184" s="18"/>
      <c r="AQY184" s="18"/>
      <c r="AQZ184" s="18"/>
      <c r="ARA184" s="18"/>
      <c r="ARB184" s="18"/>
      <c r="ARC184" s="18"/>
      <c r="ARD184" s="18"/>
      <c r="ARE184" s="18"/>
      <c r="ARF184" s="18"/>
      <c r="ARG184" s="18"/>
      <c r="ARH184" s="18"/>
      <c r="ARI184" s="18"/>
      <c r="ARJ184" s="18"/>
      <c r="ARK184" s="18"/>
      <c r="ARL184" s="18"/>
      <c r="ARM184" s="18"/>
      <c r="ARN184" s="18"/>
      <c r="ARO184" s="18"/>
      <c r="ARP184" s="18"/>
      <c r="ARQ184" s="18"/>
      <c r="ARR184" s="18"/>
      <c r="ARS184" s="18"/>
      <c r="ART184" s="18"/>
      <c r="ARU184" s="18"/>
      <c r="ARV184" s="18"/>
      <c r="ARW184" s="18"/>
      <c r="ARX184" s="18"/>
      <c r="ARY184" s="18"/>
      <c r="ARZ184" s="18"/>
      <c r="ASA184" s="18"/>
      <c r="ASB184" s="18"/>
      <c r="ASC184" s="18"/>
      <c r="ASD184" s="18"/>
      <c r="ASE184" s="18"/>
      <c r="ASF184" s="18"/>
      <c r="ASG184" s="18"/>
      <c r="ASH184" s="18"/>
      <c r="ASI184" s="18"/>
      <c r="ASJ184" s="18"/>
      <c r="ASK184" s="18"/>
      <c r="ASL184" s="18"/>
      <c r="ASM184" s="18"/>
      <c r="ASN184" s="18"/>
      <c r="ASO184" s="18"/>
      <c r="ASP184" s="18"/>
      <c r="ASQ184" s="18"/>
      <c r="ASR184" s="18"/>
      <c r="ASS184" s="18"/>
      <c r="AST184" s="18"/>
      <c r="ASU184" s="18"/>
      <c r="ASV184" s="18"/>
      <c r="ASW184" s="18"/>
      <c r="ASX184" s="18"/>
      <c r="ASY184" s="18"/>
      <c r="ASZ184" s="18"/>
      <c r="ATA184" s="18"/>
      <c r="ATB184" s="18"/>
      <c r="ATC184" s="18"/>
      <c r="ATD184" s="18"/>
      <c r="ATE184" s="18"/>
      <c r="ATF184" s="18"/>
      <c r="ATG184" s="18"/>
      <c r="ATH184" s="18"/>
      <c r="ATI184" s="18"/>
      <c r="ATJ184" s="18"/>
      <c r="ATK184" s="18"/>
      <c r="ATL184" s="18"/>
      <c r="ATM184" s="18"/>
      <c r="ATN184" s="18"/>
      <c r="ATO184" s="18"/>
      <c r="ATP184" s="18"/>
      <c r="ATQ184" s="18"/>
      <c r="ATR184" s="18"/>
      <c r="ATS184" s="18"/>
      <c r="ATT184" s="18"/>
      <c r="ATU184" s="18"/>
      <c r="ATV184" s="18"/>
      <c r="ATW184" s="18"/>
      <c r="ATX184" s="18"/>
      <c r="ATY184" s="18"/>
      <c r="ATZ184" s="18"/>
      <c r="AUA184" s="18"/>
      <c r="AUB184" s="18"/>
      <c r="AUC184" s="18"/>
      <c r="AUD184" s="18"/>
      <c r="AUE184" s="18"/>
      <c r="AUF184" s="18"/>
      <c r="AUG184" s="18"/>
      <c r="AUH184" s="18"/>
      <c r="AUI184" s="18"/>
      <c r="AUJ184" s="18"/>
      <c r="AUK184" s="18"/>
      <c r="AUL184" s="18"/>
      <c r="AUM184" s="18"/>
      <c r="AUN184" s="18"/>
      <c r="AUO184" s="18"/>
      <c r="AUP184" s="18"/>
      <c r="AUQ184" s="18"/>
      <c r="AUR184" s="18"/>
      <c r="AUS184" s="18"/>
      <c r="AUT184" s="18"/>
      <c r="AUU184" s="18"/>
      <c r="AUV184" s="18"/>
      <c r="AUW184" s="18"/>
      <c r="AUX184" s="18"/>
      <c r="AUY184" s="18"/>
      <c r="AUZ184" s="18"/>
      <c r="AVA184" s="18"/>
      <c r="AVB184" s="18"/>
      <c r="AVC184" s="18"/>
      <c r="AVD184" s="18"/>
      <c r="AVE184" s="18"/>
      <c r="AVF184" s="18"/>
      <c r="AVG184" s="18"/>
      <c r="AVH184" s="18"/>
      <c r="AVI184" s="18"/>
      <c r="AVJ184" s="18"/>
      <c r="AVK184" s="18"/>
      <c r="AVL184" s="18"/>
      <c r="AVM184" s="18"/>
      <c r="AVN184" s="18"/>
      <c r="AVO184" s="18"/>
      <c r="AVP184" s="18"/>
      <c r="AVQ184" s="18"/>
      <c r="AVR184" s="18"/>
      <c r="AVS184" s="18"/>
      <c r="AVT184" s="18"/>
      <c r="AVU184" s="18"/>
      <c r="AVV184" s="18"/>
      <c r="AVW184" s="18"/>
      <c r="AVX184" s="18"/>
      <c r="AVY184" s="18"/>
      <c r="AVZ184" s="18"/>
      <c r="AWA184" s="18"/>
      <c r="AWB184" s="18"/>
      <c r="AWC184" s="18"/>
      <c r="AWD184" s="18"/>
      <c r="AWE184" s="18"/>
      <c r="AWF184" s="18"/>
      <c r="AWG184" s="18"/>
      <c r="AWH184" s="18"/>
      <c r="AWI184" s="18"/>
      <c r="AWJ184" s="18"/>
      <c r="AWK184" s="18"/>
      <c r="AWL184" s="18"/>
      <c r="AWM184" s="18"/>
      <c r="AWN184" s="18"/>
      <c r="AWO184" s="18"/>
      <c r="AWP184" s="18"/>
      <c r="AWQ184" s="18"/>
      <c r="AWR184" s="18"/>
      <c r="AWS184" s="18"/>
      <c r="AWT184" s="18"/>
      <c r="AWU184" s="18"/>
      <c r="AWV184" s="18"/>
      <c r="AWW184" s="18"/>
      <c r="AWX184" s="18"/>
      <c r="AWY184" s="18"/>
      <c r="AWZ184" s="18"/>
      <c r="AXA184" s="18"/>
      <c r="AXB184" s="18"/>
      <c r="AXC184" s="18"/>
      <c r="AXD184" s="18"/>
      <c r="AXE184" s="18"/>
      <c r="AXF184" s="18"/>
      <c r="AXG184" s="18"/>
      <c r="AXH184" s="18"/>
      <c r="AXI184" s="18"/>
      <c r="AXJ184" s="18"/>
      <c r="AXK184" s="18"/>
      <c r="AXL184" s="18"/>
      <c r="AXM184" s="18"/>
      <c r="AXN184" s="18"/>
      <c r="AXO184" s="18"/>
      <c r="AXP184" s="18"/>
      <c r="AXQ184" s="18"/>
      <c r="AXR184" s="18"/>
      <c r="AXS184" s="18"/>
      <c r="AXT184" s="18"/>
      <c r="AXU184" s="18"/>
      <c r="AXV184" s="18"/>
      <c r="AXW184" s="18"/>
      <c r="AXX184" s="18"/>
      <c r="AXY184" s="18"/>
      <c r="AXZ184" s="18"/>
      <c r="AYA184" s="18"/>
      <c r="AYB184" s="18"/>
      <c r="AYC184" s="18"/>
      <c r="AYD184" s="18"/>
      <c r="AYE184" s="18"/>
      <c r="AYF184" s="18"/>
      <c r="AYG184" s="18"/>
      <c r="AYH184" s="18"/>
      <c r="AYI184" s="18"/>
      <c r="AYJ184" s="18"/>
      <c r="AYK184" s="18"/>
      <c r="AYL184" s="18"/>
      <c r="AYM184" s="18"/>
      <c r="AYN184" s="18"/>
      <c r="AYO184" s="18"/>
      <c r="AYP184" s="18"/>
      <c r="AYQ184" s="18"/>
      <c r="AYR184" s="18"/>
      <c r="AYS184" s="18"/>
      <c r="AYT184" s="18"/>
      <c r="AYU184" s="18"/>
      <c r="AYV184" s="18"/>
      <c r="AYW184" s="18"/>
      <c r="AYX184" s="18"/>
      <c r="AYY184" s="18"/>
      <c r="AYZ184" s="18"/>
      <c r="AZA184" s="18"/>
      <c r="AZB184" s="18"/>
      <c r="AZC184" s="18"/>
      <c r="AZD184" s="18"/>
      <c r="AZE184" s="18"/>
      <c r="AZF184" s="18"/>
      <c r="AZG184" s="18"/>
      <c r="AZH184" s="18"/>
      <c r="AZI184" s="18"/>
      <c r="AZJ184" s="18"/>
      <c r="AZK184" s="18"/>
      <c r="AZL184" s="18"/>
      <c r="AZM184" s="18"/>
      <c r="AZN184" s="18"/>
      <c r="AZO184" s="18"/>
      <c r="AZP184" s="18"/>
      <c r="AZQ184" s="18"/>
      <c r="AZR184" s="18"/>
      <c r="AZS184" s="18"/>
      <c r="AZT184" s="18"/>
      <c r="AZU184" s="18"/>
      <c r="AZV184" s="18"/>
      <c r="AZW184" s="18"/>
      <c r="AZX184" s="18"/>
      <c r="AZY184" s="18"/>
      <c r="AZZ184" s="18"/>
      <c r="BAA184" s="18"/>
      <c r="BAB184" s="18"/>
      <c r="BAC184" s="18"/>
      <c r="BAD184" s="18"/>
      <c r="BAE184" s="18"/>
      <c r="BAF184" s="18"/>
      <c r="BAG184" s="18"/>
      <c r="BAH184" s="18"/>
      <c r="BAI184" s="18"/>
      <c r="BAJ184" s="18"/>
      <c r="BAK184" s="18"/>
      <c r="BAL184" s="18"/>
      <c r="BAM184" s="18"/>
      <c r="BAN184" s="18"/>
      <c r="BAO184" s="18"/>
      <c r="BAP184" s="18"/>
      <c r="BAQ184" s="18"/>
      <c r="BAR184" s="18"/>
      <c r="BAS184" s="18"/>
      <c r="BAT184" s="18"/>
      <c r="BAU184" s="18"/>
      <c r="BAV184" s="18"/>
      <c r="BAW184" s="18"/>
      <c r="BAX184" s="18"/>
      <c r="BAY184" s="18"/>
      <c r="BAZ184" s="18"/>
      <c r="BBA184" s="18"/>
      <c r="BBB184" s="18"/>
      <c r="BBC184" s="18"/>
      <c r="BBD184" s="18"/>
      <c r="BBE184" s="18"/>
      <c r="BBF184" s="18"/>
      <c r="BBG184" s="18"/>
      <c r="BBH184" s="18"/>
      <c r="BBI184" s="18"/>
      <c r="BBJ184" s="18"/>
      <c r="BBK184" s="18"/>
      <c r="BBL184" s="18"/>
      <c r="BBM184" s="18"/>
      <c r="BBN184" s="18"/>
      <c r="BBO184" s="18"/>
      <c r="BBP184" s="18"/>
      <c r="BBQ184" s="18"/>
      <c r="BBR184" s="18"/>
      <c r="BBS184" s="18"/>
      <c r="BBT184" s="18"/>
      <c r="BBU184" s="18"/>
      <c r="BBV184" s="18"/>
      <c r="BBW184" s="18"/>
      <c r="BBX184" s="18"/>
      <c r="BBY184" s="18"/>
      <c r="BBZ184" s="18"/>
      <c r="BCA184" s="18"/>
      <c r="BCB184" s="18"/>
      <c r="BCC184" s="18"/>
      <c r="BCD184" s="18"/>
      <c r="BCE184" s="18"/>
      <c r="BCF184" s="18"/>
      <c r="BCG184" s="18"/>
      <c r="BCH184" s="18"/>
      <c r="BCI184" s="18"/>
      <c r="BCJ184" s="18"/>
      <c r="BCK184" s="18"/>
      <c r="BCL184" s="18"/>
      <c r="BCM184" s="18"/>
      <c r="BCN184" s="18"/>
      <c r="BCO184" s="18"/>
      <c r="BCP184" s="18"/>
      <c r="BCQ184" s="18"/>
      <c r="BCR184" s="18"/>
      <c r="BCS184" s="18"/>
      <c r="BCT184" s="18"/>
      <c r="BCU184" s="18"/>
      <c r="BCV184" s="18"/>
      <c r="BCW184" s="18"/>
      <c r="BCX184" s="18"/>
      <c r="BCY184" s="18"/>
      <c r="BCZ184" s="18"/>
      <c r="BDA184" s="18"/>
      <c r="BDB184" s="18"/>
      <c r="BDC184" s="18"/>
      <c r="BDD184" s="18"/>
      <c r="BDE184" s="18"/>
      <c r="BDF184" s="18"/>
      <c r="BDG184" s="18"/>
      <c r="BDH184" s="18"/>
      <c r="BDI184" s="18"/>
      <c r="BDJ184" s="18"/>
      <c r="BDK184" s="18"/>
      <c r="BDL184" s="18"/>
      <c r="BDM184" s="18"/>
      <c r="BDN184" s="18"/>
      <c r="BDO184" s="18"/>
      <c r="BDP184" s="18"/>
      <c r="BDQ184" s="18"/>
      <c r="BDR184" s="18"/>
      <c r="BDS184" s="18"/>
      <c r="BDT184" s="18"/>
      <c r="BDU184" s="18"/>
      <c r="BDV184" s="18"/>
      <c r="BDW184" s="18"/>
      <c r="BDX184" s="18"/>
      <c r="BDY184" s="18"/>
      <c r="BDZ184" s="18"/>
      <c r="BEA184" s="18"/>
      <c r="BEB184" s="18"/>
      <c r="BEC184" s="18"/>
      <c r="BED184" s="18"/>
      <c r="BEE184" s="18"/>
      <c r="BEF184" s="18"/>
      <c r="BEG184" s="18"/>
      <c r="BEH184" s="18"/>
      <c r="BEI184" s="18"/>
      <c r="BEJ184" s="18"/>
      <c r="BEK184" s="18"/>
      <c r="BEL184" s="18"/>
      <c r="BEM184" s="18"/>
      <c r="BEN184" s="18"/>
      <c r="BEO184" s="18"/>
      <c r="BEP184" s="18"/>
      <c r="BEQ184" s="18"/>
      <c r="BER184" s="18"/>
      <c r="BES184" s="18"/>
      <c r="BET184" s="18"/>
      <c r="BEU184" s="18"/>
      <c r="BEV184" s="18"/>
      <c r="BEW184" s="18"/>
      <c r="BEX184" s="18"/>
      <c r="BEY184" s="18"/>
      <c r="BEZ184" s="18"/>
      <c r="BFA184" s="18"/>
      <c r="BFB184" s="18"/>
      <c r="BFC184" s="18"/>
      <c r="BFD184" s="18"/>
      <c r="BFE184" s="18"/>
      <c r="BFF184" s="18"/>
      <c r="BFG184" s="18"/>
      <c r="BFH184" s="18"/>
      <c r="BFI184" s="18"/>
      <c r="BFJ184" s="18"/>
      <c r="BFK184" s="18"/>
      <c r="BFL184" s="18"/>
      <c r="BFM184" s="18"/>
      <c r="BFN184" s="18"/>
      <c r="BFO184" s="18"/>
      <c r="BFP184" s="18"/>
      <c r="BFQ184" s="18"/>
      <c r="BFR184" s="18"/>
      <c r="BFS184" s="18"/>
      <c r="BFT184" s="18"/>
      <c r="BFU184" s="18"/>
      <c r="BFV184" s="18"/>
      <c r="BFW184" s="18"/>
      <c r="BFX184" s="18"/>
      <c r="BFY184" s="18"/>
      <c r="BFZ184" s="18"/>
      <c r="BGA184" s="18"/>
      <c r="BGB184" s="18"/>
      <c r="BGC184" s="18"/>
      <c r="BGD184" s="18"/>
      <c r="BGE184" s="18"/>
      <c r="BGF184" s="18"/>
      <c r="BGG184" s="18"/>
      <c r="BGH184" s="18"/>
      <c r="BGI184" s="18"/>
      <c r="BGJ184" s="18"/>
      <c r="BGK184" s="18"/>
      <c r="BGL184" s="18"/>
      <c r="BGM184" s="18"/>
      <c r="BGN184" s="18"/>
      <c r="BGO184" s="18"/>
      <c r="BGP184" s="18"/>
      <c r="BGQ184" s="18"/>
      <c r="BGR184" s="18"/>
      <c r="BGS184" s="18"/>
      <c r="BGT184" s="18"/>
      <c r="BGU184" s="18"/>
      <c r="BGV184" s="18"/>
      <c r="BGW184" s="18"/>
      <c r="BGX184" s="18"/>
      <c r="BGY184" s="18"/>
      <c r="BGZ184" s="18"/>
      <c r="BHA184" s="18"/>
      <c r="BHB184" s="18"/>
      <c r="BHC184" s="18"/>
      <c r="BHD184" s="18"/>
      <c r="BHE184" s="18"/>
      <c r="BHF184" s="18"/>
      <c r="BHG184" s="18"/>
      <c r="BHH184" s="18"/>
      <c r="BHI184" s="18"/>
      <c r="BHJ184" s="18"/>
      <c r="BHK184" s="18"/>
      <c r="BHL184" s="18"/>
      <c r="BHM184" s="18"/>
      <c r="BHN184" s="18"/>
      <c r="BHO184" s="18"/>
      <c r="BHP184" s="18"/>
      <c r="BHQ184" s="18"/>
      <c r="BHR184" s="18"/>
      <c r="BHS184" s="18"/>
      <c r="BHT184" s="18"/>
      <c r="BHU184" s="18"/>
      <c r="BHV184" s="18"/>
      <c r="BHW184" s="18"/>
      <c r="BHX184" s="18"/>
      <c r="BHY184" s="18"/>
      <c r="BHZ184" s="18"/>
      <c r="BIA184" s="18"/>
      <c r="BIB184" s="18"/>
      <c r="BIC184" s="18"/>
      <c r="BID184" s="18"/>
      <c r="BIE184" s="18"/>
      <c r="BIF184" s="18"/>
      <c r="BIG184" s="18"/>
      <c r="BIH184" s="18"/>
      <c r="BII184" s="18"/>
      <c r="BIJ184" s="18"/>
      <c r="BIK184" s="18"/>
      <c r="BIL184" s="18"/>
      <c r="BIM184" s="18"/>
      <c r="BIN184" s="18"/>
      <c r="BIO184" s="18"/>
      <c r="BIP184" s="18"/>
      <c r="BIQ184" s="18"/>
      <c r="BIR184" s="18"/>
      <c r="BIS184" s="18"/>
      <c r="BIT184" s="18"/>
      <c r="BIU184" s="18"/>
      <c r="BIV184" s="18"/>
      <c r="BIW184" s="18"/>
      <c r="BIX184" s="18"/>
      <c r="BIY184" s="18"/>
      <c r="BIZ184" s="18"/>
      <c r="BJA184" s="18"/>
      <c r="BJB184" s="18"/>
      <c r="BJC184" s="18"/>
      <c r="BJD184" s="18"/>
      <c r="BJE184" s="18"/>
      <c r="BJF184" s="18"/>
      <c r="BJG184" s="18"/>
      <c r="BJH184" s="18"/>
      <c r="BJI184" s="18"/>
      <c r="BJJ184" s="18"/>
      <c r="BJK184" s="18"/>
      <c r="BJL184" s="18"/>
      <c r="BJM184" s="18"/>
      <c r="BJN184" s="18"/>
      <c r="BJO184" s="18"/>
      <c r="BJP184" s="18"/>
      <c r="BJQ184" s="18"/>
      <c r="BJR184" s="18"/>
      <c r="BJS184" s="18"/>
      <c r="BJT184" s="18"/>
      <c r="BJU184" s="18"/>
      <c r="BJV184" s="18"/>
      <c r="BJW184" s="18"/>
      <c r="BJX184" s="18"/>
      <c r="BJY184" s="18"/>
      <c r="BJZ184" s="18"/>
      <c r="BKA184" s="18"/>
      <c r="BKB184" s="18"/>
      <c r="BKC184" s="18"/>
      <c r="BKD184" s="18"/>
      <c r="BKE184" s="18"/>
      <c r="BKF184" s="18"/>
      <c r="BKG184" s="18"/>
      <c r="BKH184" s="18"/>
      <c r="BKI184" s="18"/>
      <c r="BKJ184" s="18"/>
      <c r="BKK184" s="18"/>
      <c r="BKL184" s="18"/>
      <c r="BKM184" s="18"/>
      <c r="BKN184" s="18"/>
      <c r="BKO184" s="18"/>
      <c r="BKP184" s="18"/>
      <c r="BKQ184" s="18"/>
      <c r="BKR184" s="18"/>
      <c r="BKS184" s="18"/>
      <c r="BKT184" s="18"/>
      <c r="BKU184" s="18"/>
      <c r="BKV184" s="18"/>
      <c r="BKW184" s="18"/>
      <c r="BKX184" s="18"/>
      <c r="BKY184" s="18"/>
      <c r="BKZ184" s="18"/>
      <c r="BLA184" s="18"/>
      <c r="BLB184" s="18"/>
      <c r="BLC184" s="18"/>
      <c r="BLD184" s="18"/>
      <c r="BLE184" s="18"/>
      <c r="BLF184" s="18"/>
      <c r="BLG184" s="18"/>
      <c r="BLH184" s="18"/>
      <c r="BLI184" s="18"/>
      <c r="BLJ184" s="18"/>
      <c r="BLK184" s="18"/>
      <c r="BLL184" s="18"/>
      <c r="BLM184" s="18"/>
      <c r="BLN184" s="18"/>
      <c r="BLO184" s="18"/>
      <c r="BLP184" s="18"/>
      <c r="BLQ184" s="18"/>
      <c r="BLR184" s="18"/>
      <c r="BLS184" s="18"/>
      <c r="BLT184" s="18"/>
      <c r="BLU184" s="18"/>
      <c r="BLV184" s="18"/>
      <c r="BLW184" s="18"/>
      <c r="BLX184" s="18"/>
      <c r="BLY184" s="18"/>
      <c r="BLZ184" s="18"/>
      <c r="BMA184" s="18"/>
      <c r="BMB184" s="18"/>
      <c r="BMC184" s="18"/>
      <c r="BMD184" s="18"/>
      <c r="BME184" s="18"/>
      <c r="BMF184" s="18"/>
      <c r="BMG184" s="18"/>
      <c r="BMH184" s="18"/>
      <c r="BMI184" s="18"/>
      <c r="BMJ184" s="18"/>
      <c r="BMK184" s="18"/>
      <c r="BML184" s="18"/>
      <c r="BMM184" s="18"/>
      <c r="BMN184" s="18"/>
      <c r="BMO184" s="18"/>
      <c r="BMP184" s="18"/>
      <c r="BMQ184" s="18"/>
      <c r="BMR184" s="18"/>
      <c r="BMS184" s="18"/>
      <c r="BMT184" s="18"/>
      <c r="BMU184" s="18"/>
      <c r="BMV184" s="18"/>
      <c r="BMW184" s="18"/>
      <c r="BMX184" s="18"/>
      <c r="BMY184" s="18"/>
      <c r="BMZ184" s="18"/>
      <c r="BNA184" s="18"/>
      <c r="BNB184" s="18"/>
      <c r="BNC184" s="18"/>
      <c r="BND184" s="18"/>
      <c r="BNE184" s="18"/>
      <c r="BNF184" s="18"/>
      <c r="BNG184" s="18"/>
      <c r="BNH184" s="18"/>
      <c r="BNI184" s="18"/>
      <c r="BNJ184" s="18"/>
      <c r="BNK184" s="18"/>
      <c r="BNL184" s="18"/>
      <c r="BNM184" s="18"/>
      <c r="BNN184" s="18"/>
      <c r="BNO184" s="18"/>
      <c r="BNP184" s="18"/>
      <c r="BNQ184" s="18"/>
      <c r="BNR184" s="18"/>
      <c r="BNS184" s="18"/>
      <c r="BNT184" s="18"/>
      <c r="BNU184" s="18"/>
      <c r="BNV184" s="18"/>
      <c r="BNW184" s="18"/>
      <c r="BNX184" s="18"/>
      <c r="BNY184" s="18"/>
      <c r="BNZ184" s="18"/>
      <c r="BOA184" s="18"/>
      <c r="BOB184" s="18"/>
      <c r="BOC184" s="18"/>
      <c r="BOD184" s="18"/>
      <c r="BOE184" s="18"/>
      <c r="BOF184" s="18"/>
      <c r="BOG184" s="18"/>
      <c r="BOH184" s="18"/>
      <c r="BOI184" s="18"/>
      <c r="BOJ184" s="18"/>
      <c r="BOK184" s="18"/>
      <c r="BOL184" s="18"/>
      <c r="BOM184" s="18"/>
      <c r="BON184" s="18"/>
      <c r="BOO184" s="18"/>
      <c r="BOP184" s="18"/>
      <c r="BOQ184" s="18"/>
      <c r="BOR184" s="18"/>
      <c r="BOS184" s="18"/>
      <c r="BOT184" s="18"/>
      <c r="BOU184" s="18"/>
      <c r="BOV184" s="18"/>
      <c r="BOW184" s="18"/>
      <c r="BOX184" s="18"/>
      <c r="BOY184" s="18"/>
      <c r="BOZ184" s="18"/>
      <c r="BPA184" s="18"/>
      <c r="BPB184" s="18"/>
      <c r="BPC184" s="18"/>
      <c r="BPD184" s="18"/>
      <c r="BPE184" s="18"/>
      <c r="BPF184" s="18"/>
      <c r="BPG184" s="18"/>
      <c r="BPH184" s="18"/>
      <c r="BPI184" s="18"/>
      <c r="BPJ184" s="18"/>
      <c r="BPK184" s="18"/>
      <c r="BPL184" s="18"/>
      <c r="BPM184" s="18"/>
      <c r="BPN184" s="18"/>
      <c r="BPO184" s="18"/>
      <c r="BPP184" s="18"/>
      <c r="BPQ184" s="18"/>
      <c r="BPR184" s="18"/>
      <c r="BPS184" s="18"/>
      <c r="BPT184" s="18"/>
      <c r="BPU184" s="18"/>
      <c r="BPV184" s="18"/>
      <c r="BPW184" s="18"/>
      <c r="BPX184" s="18"/>
      <c r="BPY184" s="18"/>
      <c r="BPZ184" s="18"/>
      <c r="BQA184" s="18"/>
      <c r="BQB184" s="18"/>
      <c r="BQC184" s="18"/>
      <c r="BQD184" s="18"/>
      <c r="BQE184" s="18"/>
      <c r="BQF184" s="18"/>
      <c r="BQG184" s="18"/>
      <c r="BQH184" s="18"/>
      <c r="BQI184" s="18"/>
      <c r="BQJ184" s="18"/>
      <c r="BQK184" s="18"/>
      <c r="BQL184" s="18"/>
      <c r="BQM184" s="18"/>
      <c r="BQN184" s="18"/>
      <c r="BQO184" s="18"/>
      <c r="BQP184" s="18"/>
      <c r="BQQ184" s="18"/>
      <c r="BQR184" s="18"/>
      <c r="BQS184" s="18"/>
      <c r="BQT184" s="18"/>
      <c r="BQU184" s="18"/>
      <c r="BQV184" s="18"/>
      <c r="BQW184" s="18"/>
      <c r="BQX184" s="18"/>
      <c r="BQY184" s="18"/>
      <c r="BQZ184" s="18"/>
      <c r="BRA184" s="18"/>
      <c r="BRB184" s="18"/>
      <c r="BRC184" s="18"/>
      <c r="BRD184" s="18"/>
      <c r="BRE184" s="18"/>
      <c r="BRF184" s="18"/>
      <c r="BRG184" s="18"/>
      <c r="BRH184" s="18"/>
      <c r="BRI184" s="18"/>
      <c r="BRJ184" s="18"/>
      <c r="BRK184" s="18"/>
      <c r="BRL184" s="18"/>
      <c r="BRM184" s="18"/>
      <c r="BRN184" s="18"/>
      <c r="BRO184" s="18"/>
      <c r="BRP184" s="18"/>
      <c r="BRQ184" s="18"/>
      <c r="BRR184" s="18"/>
      <c r="BRS184" s="18"/>
      <c r="BRT184" s="18"/>
      <c r="BRU184" s="18"/>
      <c r="BRV184" s="18"/>
      <c r="BRW184" s="18"/>
      <c r="BRX184" s="18"/>
      <c r="BRY184" s="18"/>
      <c r="BRZ184" s="18"/>
      <c r="BSA184" s="18"/>
      <c r="BSB184" s="18"/>
      <c r="BSC184" s="18"/>
      <c r="BSD184" s="18"/>
      <c r="BSE184" s="18"/>
      <c r="BSF184" s="18"/>
      <c r="BSG184" s="18"/>
      <c r="BSH184" s="18"/>
      <c r="BSI184" s="18"/>
      <c r="BSJ184" s="18"/>
      <c r="BSK184" s="18"/>
      <c r="BSL184" s="18"/>
      <c r="BSM184" s="18"/>
      <c r="BSN184" s="18"/>
      <c r="BSO184" s="18"/>
      <c r="BSP184" s="18"/>
      <c r="BSQ184" s="18"/>
      <c r="BSR184" s="18"/>
      <c r="BSS184" s="18"/>
      <c r="BST184" s="18"/>
      <c r="BSU184" s="18"/>
      <c r="BSV184" s="18"/>
      <c r="BSW184" s="18"/>
      <c r="BSX184" s="18"/>
      <c r="BSY184" s="18"/>
      <c r="BSZ184" s="18"/>
      <c r="BTA184" s="18"/>
      <c r="BTB184" s="18"/>
      <c r="BTC184" s="18"/>
      <c r="BTD184" s="18"/>
      <c r="BTE184" s="18"/>
      <c r="BTF184" s="18"/>
      <c r="BTG184" s="18"/>
      <c r="BTH184" s="18"/>
    </row>
    <row r="185" spans="1:1880" s="399" customFormat="1" ht="30.75" customHeight="1" x14ac:dyDescent="0.3">
      <c r="A185" s="100"/>
      <c r="B185" s="430" t="s">
        <v>240</v>
      </c>
      <c r="C185" s="431"/>
      <c r="D185" s="89"/>
      <c r="E185" s="398"/>
      <c r="F185" s="904"/>
      <c r="G185" s="371"/>
      <c r="H185" s="17"/>
      <c r="I185" s="72"/>
      <c r="J185"/>
      <c r="K185" s="18"/>
      <c r="L185"/>
      <c r="M185" s="18"/>
      <c r="N185" s="176"/>
      <c r="O185" s="18"/>
      <c r="P185" s="18"/>
      <c r="Q185" s="18"/>
      <c r="R185" s="18"/>
      <c r="S185" s="18"/>
      <c r="T185" s="18"/>
      <c r="U185" s="18"/>
      <c r="V185" s="18"/>
      <c r="W185" s="18"/>
      <c r="X185" s="18"/>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s="18"/>
      <c r="DT185" s="18"/>
      <c r="DU185" s="18"/>
      <c r="DV185" s="18"/>
      <c r="DW185" s="18"/>
      <c r="DX185" s="18"/>
      <c r="DY185" s="18"/>
      <c r="DZ185" s="18"/>
      <c r="EA185" s="18"/>
      <c r="EB185" s="18"/>
      <c r="EC185" s="18"/>
      <c r="ED185" s="18"/>
      <c r="EE185" s="18"/>
      <c r="EF185" s="18"/>
      <c r="EG185" s="18"/>
      <c r="EH185" s="18"/>
      <c r="EI185" s="18"/>
      <c r="EJ185" s="18"/>
      <c r="EK185" s="18"/>
      <c r="EL185" s="18"/>
      <c r="EM185" s="18"/>
      <c r="EN185" s="18"/>
      <c r="EO185" s="18"/>
      <c r="EP185" s="18"/>
      <c r="EQ185" s="18"/>
      <c r="ER185" s="18"/>
      <c r="ES185" s="18"/>
      <c r="ET185" s="18"/>
      <c r="EU185" s="18"/>
      <c r="EV185" s="18"/>
      <c r="EW185" s="18"/>
      <c r="EX185" s="18"/>
      <c r="EY185" s="18"/>
      <c r="EZ185" s="18"/>
      <c r="FA185" s="18"/>
      <c r="FB185" s="18"/>
      <c r="FC185" s="18"/>
      <c r="FD185" s="18"/>
      <c r="FE185" s="18"/>
      <c r="FF185" s="18"/>
      <c r="FG185" s="18"/>
      <c r="FH185" s="18"/>
      <c r="FI185" s="18"/>
      <c r="FJ185" s="18"/>
      <c r="FK185" s="18"/>
      <c r="FL185" s="18"/>
      <c r="FM185" s="18"/>
      <c r="FN185" s="18"/>
      <c r="FO185" s="18"/>
      <c r="FP185" s="18"/>
      <c r="FQ185" s="18"/>
      <c r="FR185" s="18"/>
      <c r="FS185" s="18"/>
      <c r="FT185" s="18"/>
      <c r="FU185" s="18"/>
      <c r="FV185" s="18"/>
      <c r="FW185" s="18"/>
      <c r="FX185" s="18"/>
      <c r="FY185" s="18"/>
      <c r="FZ185" s="18"/>
      <c r="GA185" s="18"/>
      <c r="GB185" s="18"/>
      <c r="GC185" s="18"/>
      <c r="GD185" s="18"/>
      <c r="GE185" s="18"/>
      <c r="GF185" s="18"/>
      <c r="GG185" s="18"/>
      <c r="GH185" s="18"/>
      <c r="GI185" s="18"/>
      <c r="GJ185" s="18"/>
      <c r="GK185" s="18"/>
      <c r="GL185" s="18"/>
      <c r="GM185" s="18"/>
      <c r="GN185" s="18"/>
      <c r="GO185" s="18"/>
      <c r="GP185" s="18"/>
      <c r="GQ185" s="18"/>
      <c r="GR185" s="18"/>
      <c r="GS185" s="18"/>
      <c r="GT185" s="18"/>
      <c r="GU185" s="18"/>
      <c r="GV185" s="18"/>
      <c r="GW185" s="18"/>
      <c r="GX185" s="18"/>
      <c r="GY185" s="18"/>
      <c r="GZ185" s="18"/>
      <c r="HA185" s="18"/>
      <c r="HB185" s="18"/>
      <c r="HC185" s="18"/>
      <c r="HD185" s="18"/>
      <c r="HE185" s="18"/>
      <c r="HF185" s="18"/>
      <c r="HG185" s="18"/>
      <c r="HH185" s="18"/>
      <c r="HI185" s="18"/>
      <c r="HJ185" s="18"/>
      <c r="HK185" s="18"/>
      <c r="HL185" s="18"/>
      <c r="HM185" s="18"/>
      <c r="HN185" s="18"/>
      <c r="HO185" s="18"/>
      <c r="HP185" s="18"/>
      <c r="HQ185" s="18"/>
      <c r="HR185" s="18"/>
      <c r="HS185" s="18"/>
      <c r="HT185" s="18"/>
      <c r="HU185" s="18"/>
      <c r="HV185" s="18"/>
      <c r="HW185" s="18"/>
      <c r="HX185" s="18"/>
      <c r="HY185" s="18"/>
      <c r="HZ185" s="18"/>
      <c r="IA185" s="18"/>
      <c r="IB185" s="18"/>
      <c r="IC185" s="18"/>
      <c r="ID185" s="18"/>
      <c r="IE185" s="18"/>
      <c r="IF185" s="18"/>
      <c r="IG185" s="18"/>
      <c r="IH185" s="18"/>
      <c r="II185" s="18"/>
      <c r="IJ185" s="18"/>
      <c r="IK185" s="18"/>
      <c r="IL185" s="18"/>
      <c r="IM185" s="18"/>
      <c r="IN185" s="18"/>
      <c r="IO185" s="18"/>
      <c r="IP185" s="18"/>
      <c r="IQ185" s="18"/>
      <c r="IR185" s="18"/>
      <c r="IS185" s="18"/>
      <c r="IT185" s="18"/>
      <c r="IU185" s="18"/>
      <c r="IV185" s="18"/>
      <c r="IW185" s="18"/>
      <c r="IX185" s="18"/>
      <c r="IY185" s="18"/>
      <c r="IZ185" s="18"/>
      <c r="JA185" s="18"/>
      <c r="JB185" s="18"/>
      <c r="JC185" s="18"/>
      <c r="JD185" s="18"/>
      <c r="JE185" s="18"/>
      <c r="JF185" s="18"/>
      <c r="JG185" s="18"/>
      <c r="JH185" s="18"/>
      <c r="JI185" s="18"/>
      <c r="JJ185" s="18"/>
      <c r="JK185" s="18"/>
      <c r="JL185" s="18"/>
      <c r="JM185" s="18"/>
      <c r="JN185" s="18"/>
      <c r="JO185" s="18"/>
      <c r="JP185" s="18"/>
      <c r="JQ185" s="18"/>
      <c r="JR185" s="18"/>
      <c r="JS185" s="18"/>
      <c r="JT185" s="18"/>
      <c r="JU185" s="18"/>
      <c r="JV185" s="18"/>
      <c r="JW185" s="18"/>
      <c r="JX185" s="18"/>
      <c r="JY185" s="18"/>
      <c r="JZ185" s="18"/>
      <c r="KA185" s="18"/>
      <c r="KB185" s="18"/>
      <c r="KC185" s="18"/>
      <c r="KD185" s="18"/>
      <c r="KE185" s="18"/>
      <c r="KF185" s="18"/>
      <c r="KG185" s="18"/>
      <c r="KH185" s="18"/>
      <c r="KI185" s="18"/>
      <c r="KJ185" s="18"/>
      <c r="KK185" s="18"/>
      <c r="KL185" s="18"/>
      <c r="KM185" s="18"/>
      <c r="KN185" s="18"/>
      <c r="KO185" s="18"/>
      <c r="KP185" s="18"/>
      <c r="KQ185" s="18"/>
      <c r="KR185" s="18"/>
      <c r="KS185" s="18"/>
      <c r="KT185" s="18"/>
      <c r="KU185" s="18"/>
      <c r="KV185" s="18"/>
      <c r="KW185" s="18"/>
      <c r="KX185" s="18"/>
      <c r="KY185" s="18"/>
      <c r="KZ185" s="18"/>
      <c r="LA185" s="18"/>
      <c r="LB185" s="18"/>
      <c r="LC185" s="18"/>
      <c r="LD185" s="18"/>
      <c r="LE185" s="18"/>
      <c r="LF185" s="18"/>
      <c r="LG185" s="18"/>
      <c r="LH185" s="18"/>
      <c r="LI185" s="18"/>
      <c r="LJ185" s="18"/>
      <c r="LK185" s="18"/>
      <c r="LL185" s="18"/>
      <c r="LM185" s="18"/>
      <c r="LN185" s="18"/>
      <c r="LO185" s="18"/>
      <c r="LP185" s="18"/>
      <c r="LQ185" s="18"/>
      <c r="LR185" s="18"/>
      <c r="LS185" s="18"/>
      <c r="LT185" s="18"/>
      <c r="LU185" s="18"/>
      <c r="LV185" s="18"/>
      <c r="LW185" s="18"/>
      <c r="LX185" s="18"/>
      <c r="LY185" s="18"/>
      <c r="LZ185" s="18"/>
      <c r="MA185" s="18"/>
      <c r="MB185" s="18"/>
      <c r="MC185" s="18"/>
      <c r="MD185" s="18"/>
      <c r="ME185" s="18"/>
      <c r="MF185" s="18"/>
      <c r="MG185" s="18"/>
      <c r="MH185" s="18"/>
      <c r="MI185" s="18"/>
      <c r="MJ185" s="18"/>
      <c r="MK185" s="18"/>
      <c r="ML185" s="18"/>
      <c r="MM185" s="18"/>
      <c r="MN185" s="18"/>
      <c r="MO185" s="18"/>
      <c r="MP185" s="18"/>
      <c r="MQ185" s="18"/>
      <c r="MR185" s="18"/>
      <c r="MS185" s="18"/>
      <c r="MT185" s="18"/>
      <c r="MU185" s="18"/>
      <c r="MV185" s="18"/>
      <c r="MW185" s="18"/>
      <c r="MX185" s="18"/>
      <c r="MY185" s="18"/>
      <c r="MZ185" s="18"/>
      <c r="NA185" s="18"/>
      <c r="NB185" s="18"/>
      <c r="NC185" s="18"/>
      <c r="ND185" s="18"/>
      <c r="NE185" s="18"/>
      <c r="NF185" s="18"/>
      <c r="NG185" s="18"/>
      <c r="NH185" s="18"/>
      <c r="NI185" s="18"/>
      <c r="NJ185" s="18"/>
      <c r="NK185" s="18"/>
      <c r="NL185" s="18"/>
      <c r="NM185" s="18"/>
      <c r="NN185" s="18"/>
      <c r="NO185" s="18"/>
      <c r="NP185" s="18"/>
      <c r="NQ185" s="18"/>
      <c r="NR185" s="18"/>
      <c r="NS185" s="18"/>
      <c r="NT185" s="18"/>
      <c r="NU185" s="18"/>
      <c r="NV185" s="18"/>
      <c r="NW185" s="18"/>
      <c r="NX185" s="18"/>
      <c r="NY185" s="18"/>
      <c r="NZ185" s="18"/>
      <c r="OA185" s="18"/>
      <c r="OB185" s="18"/>
      <c r="OC185" s="18"/>
      <c r="OD185" s="18"/>
      <c r="OE185" s="18"/>
      <c r="OF185" s="18"/>
      <c r="OG185" s="18"/>
      <c r="OH185" s="18"/>
      <c r="OI185" s="18"/>
      <c r="OJ185" s="18"/>
      <c r="OK185" s="18"/>
      <c r="OL185" s="18"/>
      <c r="OM185" s="18"/>
      <c r="ON185" s="18"/>
      <c r="OO185" s="18"/>
      <c r="OP185" s="18"/>
      <c r="OQ185" s="18"/>
      <c r="OR185" s="18"/>
      <c r="OS185" s="18"/>
      <c r="OT185" s="18"/>
      <c r="OU185" s="18"/>
      <c r="OV185" s="18"/>
      <c r="OW185" s="18"/>
      <c r="OX185" s="18"/>
      <c r="OY185" s="18"/>
      <c r="OZ185" s="18"/>
      <c r="PA185" s="18"/>
      <c r="PB185" s="18"/>
      <c r="PC185" s="18"/>
      <c r="PD185" s="18"/>
      <c r="PE185" s="18"/>
      <c r="PF185" s="18"/>
      <c r="PG185" s="18"/>
      <c r="PH185" s="18"/>
      <c r="PI185" s="18"/>
      <c r="PJ185" s="18"/>
      <c r="PK185" s="18"/>
      <c r="PL185" s="18"/>
      <c r="PM185" s="18"/>
      <c r="PN185" s="18"/>
      <c r="PO185" s="18"/>
      <c r="PP185" s="18"/>
      <c r="PQ185" s="18"/>
      <c r="PR185" s="18"/>
      <c r="PS185" s="18"/>
      <c r="PT185" s="18"/>
      <c r="PU185" s="18"/>
      <c r="PV185" s="18"/>
      <c r="PW185" s="18"/>
      <c r="PX185" s="18"/>
      <c r="PY185" s="18"/>
      <c r="PZ185" s="18"/>
      <c r="QA185" s="18"/>
      <c r="QB185" s="18"/>
      <c r="QC185" s="18"/>
      <c r="QD185" s="18"/>
      <c r="QE185" s="18"/>
      <c r="QF185" s="18"/>
      <c r="QG185" s="18"/>
      <c r="QH185" s="18"/>
      <c r="QI185" s="18"/>
      <c r="QJ185" s="18"/>
      <c r="QK185" s="18"/>
      <c r="QL185" s="18"/>
      <c r="QM185" s="18"/>
      <c r="QN185" s="18"/>
      <c r="QO185" s="18"/>
      <c r="QP185" s="18"/>
      <c r="QQ185" s="18"/>
      <c r="QR185" s="18"/>
      <c r="QS185" s="18"/>
      <c r="QT185" s="18"/>
      <c r="QU185" s="18"/>
      <c r="QV185" s="18"/>
      <c r="QW185" s="18"/>
      <c r="QX185" s="18"/>
      <c r="QY185" s="18"/>
      <c r="QZ185" s="18"/>
      <c r="RA185" s="18"/>
      <c r="RB185" s="18"/>
      <c r="RC185" s="18"/>
      <c r="RD185" s="18"/>
      <c r="RE185" s="18"/>
      <c r="RF185" s="18"/>
      <c r="RG185" s="18"/>
      <c r="RH185" s="18"/>
      <c r="RI185" s="18"/>
      <c r="RJ185" s="18"/>
      <c r="RK185" s="18"/>
      <c r="RL185" s="18"/>
      <c r="RM185" s="18"/>
      <c r="RN185" s="18"/>
      <c r="RO185" s="18"/>
      <c r="RP185" s="18"/>
      <c r="RQ185" s="18"/>
      <c r="RR185" s="18"/>
      <c r="RS185" s="18"/>
      <c r="RT185" s="18"/>
      <c r="RU185" s="18"/>
      <c r="RV185" s="18"/>
      <c r="RW185" s="18"/>
      <c r="RX185" s="18"/>
      <c r="RY185" s="18"/>
      <c r="RZ185" s="18"/>
      <c r="SA185" s="18"/>
      <c r="SB185" s="18"/>
      <c r="SC185" s="18"/>
      <c r="SD185" s="18"/>
      <c r="SE185" s="18"/>
      <c r="SF185" s="18"/>
      <c r="SG185" s="18"/>
      <c r="SH185" s="18"/>
      <c r="SI185" s="18"/>
      <c r="SJ185" s="18"/>
      <c r="SK185" s="18"/>
      <c r="SL185" s="18"/>
      <c r="SM185" s="18"/>
      <c r="SN185" s="18"/>
      <c r="SO185" s="18"/>
      <c r="SP185" s="18"/>
      <c r="SQ185" s="18"/>
      <c r="SR185" s="18"/>
      <c r="SS185" s="18"/>
      <c r="ST185" s="18"/>
      <c r="SU185" s="18"/>
      <c r="SV185" s="18"/>
      <c r="SW185" s="18"/>
      <c r="SX185" s="18"/>
      <c r="SY185" s="18"/>
      <c r="SZ185" s="18"/>
      <c r="TA185" s="18"/>
      <c r="TB185" s="18"/>
      <c r="TC185" s="18"/>
      <c r="TD185" s="18"/>
      <c r="TE185" s="18"/>
      <c r="TF185" s="18"/>
      <c r="TG185" s="18"/>
      <c r="TH185" s="18"/>
      <c r="TI185" s="18"/>
      <c r="TJ185" s="18"/>
      <c r="TK185" s="18"/>
      <c r="TL185" s="18"/>
      <c r="TM185" s="18"/>
      <c r="TN185" s="18"/>
      <c r="TO185" s="18"/>
      <c r="TP185" s="18"/>
      <c r="TQ185" s="18"/>
      <c r="TR185" s="18"/>
      <c r="TS185" s="18"/>
      <c r="TT185" s="18"/>
      <c r="TU185" s="18"/>
      <c r="TV185" s="18"/>
      <c r="TW185" s="18"/>
      <c r="TX185" s="18"/>
      <c r="TY185" s="18"/>
      <c r="TZ185" s="18"/>
      <c r="UA185" s="18"/>
      <c r="UB185" s="18"/>
      <c r="UC185" s="18"/>
      <c r="UD185" s="18"/>
      <c r="UE185" s="18"/>
      <c r="UF185" s="18"/>
      <c r="UG185" s="18"/>
      <c r="UH185" s="18"/>
      <c r="UI185" s="18"/>
      <c r="UJ185" s="18"/>
      <c r="UK185" s="18"/>
      <c r="UL185" s="18"/>
      <c r="UM185" s="18"/>
      <c r="UN185" s="18"/>
      <c r="UO185" s="18"/>
      <c r="UP185" s="18"/>
      <c r="UQ185" s="18"/>
      <c r="UR185" s="18"/>
      <c r="US185" s="18"/>
      <c r="UT185" s="18"/>
      <c r="UU185" s="18"/>
      <c r="UV185" s="18"/>
      <c r="UW185" s="18"/>
      <c r="UX185" s="18"/>
      <c r="UY185" s="18"/>
      <c r="UZ185" s="18"/>
      <c r="VA185" s="18"/>
      <c r="VB185" s="18"/>
      <c r="VC185" s="18"/>
      <c r="VD185" s="18"/>
      <c r="VE185" s="18"/>
      <c r="VF185" s="18"/>
      <c r="VG185" s="18"/>
      <c r="VH185" s="18"/>
      <c r="VI185" s="18"/>
      <c r="VJ185" s="18"/>
      <c r="VK185" s="18"/>
      <c r="VL185" s="18"/>
      <c r="VM185" s="18"/>
      <c r="VN185" s="18"/>
      <c r="VO185" s="18"/>
      <c r="VP185" s="18"/>
      <c r="VQ185" s="18"/>
      <c r="VR185" s="18"/>
      <c r="VS185" s="18"/>
      <c r="VT185" s="18"/>
      <c r="VU185" s="18"/>
      <c r="VV185" s="18"/>
      <c r="VW185" s="18"/>
      <c r="VX185" s="18"/>
      <c r="VY185" s="18"/>
      <c r="VZ185" s="18"/>
      <c r="WA185" s="18"/>
      <c r="WB185" s="18"/>
      <c r="WC185" s="18"/>
      <c r="WD185" s="18"/>
      <c r="WE185" s="18"/>
      <c r="WF185" s="18"/>
      <c r="WG185" s="18"/>
      <c r="WH185" s="18"/>
      <c r="WI185" s="18"/>
      <c r="WJ185" s="18"/>
      <c r="WK185" s="18"/>
      <c r="WL185" s="18"/>
      <c r="WM185" s="18"/>
      <c r="WN185" s="18"/>
      <c r="WO185" s="18"/>
      <c r="WP185" s="18"/>
      <c r="WQ185" s="18"/>
      <c r="WR185" s="18"/>
      <c r="WS185" s="18"/>
      <c r="WT185" s="18"/>
      <c r="WU185" s="18"/>
      <c r="WV185" s="18"/>
      <c r="WW185" s="18"/>
      <c r="WX185" s="18"/>
      <c r="WY185" s="18"/>
      <c r="WZ185" s="18"/>
      <c r="XA185" s="18"/>
      <c r="XB185" s="18"/>
      <c r="XC185" s="18"/>
      <c r="XD185" s="18"/>
      <c r="XE185" s="18"/>
      <c r="XF185" s="18"/>
      <c r="XG185" s="18"/>
      <c r="XH185" s="18"/>
      <c r="XI185" s="18"/>
      <c r="XJ185" s="18"/>
      <c r="XK185" s="18"/>
      <c r="XL185" s="18"/>
      <c r="XM185" s="18"/>
      <c r="XN185" s="18"/>
      <c r="XO185" s="18"/>
      <c r="XP185" s="18"/>
      <c r="XQ185" s="18"/>
      <c r="XR185" s="18"/>
      <c r="XS185" s="18"/>
      <c r="XT185" s="18"/>
      <c r="XU185" s="18"/>
      <c r="XV185" s="18"/>
      <c r="XW185" s="18"/>
      <c r="XX185" s="18"/>
      <c r="XY185" s="18"/>
      <c r="XZ185" s="18"/>
      <c r="YA185" s="18"/>
      <c r="YB185" s="18"/>
      <c r="YC185" s="18"/>
      <c r="YD185" s="18"/>
      <c r="YE185" s="18"/>
      <c r="YF185" s="18"/>
      <c r="YG185" s="18"/>
      <c r="YH185" s="18"/>
      <c r="YI185" s="18"/>
      <c r="YJ185" s="18"/>
      <c r="YK185" s="18"/>
      <c r="YL185" s="18"/>
      <c r="YM185" s="18"/>
      <c r="YN185" s="18"/>
      <c r="YO185" s="18"/>
      <c r="YP185" s="18"/>
      <c r="YQ185" s="18"/>
      <c r="YR185" s="18"/>
      <c r="YS185" s="18"/>
      <c r="YT185" s="18"/>
      <c r="YU185" s="18"/>
      <c r="YV185" s="18"/>
      <c r="YW185" s="18"/>
      <c r="YX185" s="18"/>
      <c r="YY185" s="18"/>
      <c r="YZ185" s="18"/>
      <c r="ZA185" s="18"/>
      <c r="ZB185" s="18"/>
      <c r="ZC185" s="18"/>
      <c r="ZD185" s="18"/>
      <c r="ZE185" s="18"/>
      <c r="ZF185" s="18"/>
      <c r="ZG185" s="18"/>
      <c r="ZH185" s="18"/>
      <c r="ZI185" s="18"/>
      <c r="ZJ185" s="18"/>
      <c r="ZK185" s="18"/>
      <c r="ZL185" s="18"/>
      <c r="ZM185" s="18"/>
      <c r="ZN185" s="18"/>
      <c r="ZO185" s="18"/>
      <c r="ZP185" s="18"/>
      <c r="ZQ185" s="18"/>
      <c r="ZR185" s="18"/>
      <c r="ZS185" s="18"/>
      <c r="ZT185" s="18"/>
      <c r="ZU185" s="18"/>
      <c r="ZV185" s="18"/>
      <c r="ZW185" s="18"/>
      <c r="ZX185" s="18"/>
      <c r="ZY185" s="18"/>
      <c r="ZZ185" s="18"/>
      <c r="AAA185" s="18"/>
      <c r="AAB185" s="18"/>
      <c r="AAC185" s="18"/>
      <c r="AAD185" s="18"/>
      <c r="AAE185" s="18"/>
      <c r="AAF185" s="18"/>
      <c r="AAG185" s="18"/>
      <c r="AAH185" s="18"/>
      <c r="AAI185" s="18"/>
      <c r="AAJ185" s="18"/>
      <c r="AAK185" s="18"/>
      <c r="AAL185" s="18"/>
      <c r="AAM185" s="18"/>
      <c r="AAN185" s="18"/>
      <c r="AAO185" s="18"/>
      <c r="AAP185" s="18"/>
      <c r="AAQ185" s="18"/>
      <c r="AAR185" s="18"/>
      <c r="AAS185" s="18"/>
      <c r="AAT185" s="18"/>
      <c r="AAU185" s="18"/>
      <c r="AAV185" s="18"/>
      <c r="AAW185" s="18"/>
      <c r="AAX185" s="18"/>
      <c r="AAY185" s="18"/>
      <c r="AAZ185" s="18"/>
      <c r="ABA185" s="18"/>
      <c r="ABB185" s="18"/>
      <c r="ABC185" s="18"/>
      <c r="ABD185" s="18"/>
      <c r="ABE185" s="18"/>
      <c r="ABF185" s="18"/>
      <c r="ABG185" s="18"/>
      <c r="ABH185" s="18"/>
      <c r="ABI185" s="18"/>
      <c r="ABJ185" s="18"/>
      <c r="ABK185" s="18"/>
      <c r="ABL185" s="18"/>
      <c r="ABM185" s="18"/>
      <c r="ABN185" s="18"/>
      <c r="ABO185" s="18"/>
      <c r="ABP185" s="18"/>
      <c r="ABQ185" s="18"/>
      <c r="ABR185" s="18"/>
      <c r="ABS185" s="18"/>
      <c r="ABT185" s="18"/>
      <c r="ABU185" s="18"/>
      <c r="ABV185" s="18"/>
      <c r="ABW185" s="18"/>
      <c r="ABX185" s="18"/>
      <c r="ABY185" s="18"/>
      <c r="ABZ185" s="18"/>
      <c r="ACA185" s="18"/>
      <c r="ACB185" s="18"/>
      <c r="ACC185" s="18"/>
      <c r="ACD185" s="18"/>
      <c r="ACE185" s="18"/>
      <c r="ACF185" s="18"/>
      <c r="ACG185" s="18"/>
      <c r="ACH185" s="18"/>
      <c r="ACI185" s="18"/>
      <c r="ACJ185" s="18"/>
      <c r="ACK185" s="18"/>
      <c r="ACL185" s="18"/>
      <c r="ACM185" s="18"/>
      <c r="ACN185" s="18"/>
      <c r="ACO185" s="18"/>
      <c r="ACP185" s="18"/>
      <c r="ACQ185" s="18"/>
      <c r="ACR185" s="18"/>
      <c r="ACS185" s="18"/>
      <c r="ACT185" s="18"/>
      <c r="ACU185" s="18"/>
      <c r="ACV185" s="18"/>
      <c r="ACW185" s="18"/>
      <c r="ACX185" s="18"/>
      <c r="ACY185" s="18"/>
      <c r="ACZ185" s="18"/>
      <c r="ADA185" s="18"/>
      <c r="ADB185" s="18"/>
      <c r="ADC185" s="18"/>
      <c r="ADD185" s="18"/>
      <c r="ADE185" s="18"/>
      <c r="ADF185" s="18"/>
      <c r="ADG185" s="18"/>
      <c r="ADH185" s="18"/>
      <c r="ADI185" s="18"/>
      <c r="ADJ185" s="18"/>
      <c r="ADK185" s="18"/>
      <c r="ADL185" s="18"/>
      <c r="ADM185" s="18"/>
      <c r="ADN185" s="18"/>
      <c r="ADO185" s="18"/>
      <c r="ADP185" s="18"/>
      <c r="ADQ185" s="18"/>
      <c r="ADR185" s="18"/>
      <c r="ADS185" s="18"/>
      <c r="ADT185" s="18"/>
      <c r="ADU185" s="18"/>
      <c r="ADV185" s="18"/>
      <c r="ADW185" s="18"/>
      <c r="ADX185" s="18"/>
      <c r="ADY185" s="18"/>
      <c r="ADZ185" s="18"/>
      <c r="AEA185" s="18"/>
      <c r="AEB185" s="18"/>
      <c r="AEC185" s="18"/>
      <c r="AED185" s="18"/>
      <c r="AEE185" s="18"/>
      <c r="AEF185" s="18"/>
      <c r="AEG185" s="18"/>
      <c r="AEH185" s="18"/>
      <c r="AEI185" s="18"/>
      <c r="AEJ185" s="18"/>
      <c r="AEK185" s="18"/>
      <c r="AEL185" s="18"/>
      <c r="AEM185" s="18"/>
      <c r="AEN185" s="18"/>
      <c r="AEO185" s="18"/>
      <c r="AEP185" s="18"/>
      <c r="AEQ185" s="18"/>
      <c r="AER185" s="18"/>
      <c r="AES185" s="18"/>
      <c r="AET185" s="18"/>
      <c r="AEU185" s="18"/>
      <c r="AEV185" s="18"/>
      <c r="AEW185" s="18"/>
      <c r="AEX185" s="18"/>
      <c r="AEY185" s="18"/>
      <c r="AEZ185" s="18"/>
      <c r="AFA185" s="18"/>
      <c r="AFB185" s="18"/>
      <c r="AFC185" s="18"/>
      <c r="AFD185" s="18"/>
      <c r="AFE185" s="18"/>
      <c r="AFF185" s="18"/>
      <c r="AFG185" s="18"/>
      <c r="AFH185" s="18"/>
      <c r="AFI185" s="18"/>
      <c r="AFJ185" s="18"/>
      <c r="AFK185" s="18"/>
      <c r="AFL185" s="18"/>
      <c r="AFM185" s="18"/>
      <c r="AFN185" s="18"/>
      <c r="AFO185" s="18"/>
      <c r="AFP185" s="18"/>
      <c r="AFQ185" s="18"/>
      <c r="AFR185" s="18"/>
      <c r="AFS185" s="18"/>
      <c r="AFT185" s="18"/>
      <c r="AFU185" s="18"/>
      <c r="AFV185" s="18"/>
      <c r="AFW185" s="18"/>
      <c r="AFX185" s="18"/>
      <c r="AFY185" s="18"/>
      <c r="AFZ185" s="18"/>
      <c r="AGA185" s="18"/>
      <c r="AGB185" s="18"/>
      <c r="AGC185" s="18"/>
      <c r="AGD185" s="18"/>
      <c r="AGE185" s="18"/>
      <c r="AGF185" s="18"/>
      <c r="AGG185" s="18"/>
      <c r="AGH185" s="18"/>
      <c r="AGI185" s="18"/>
      <c r="AGJ185" s="18"/>
      <c r="AGK185" s="18"/>
      <c r="AGL185" s="18"/>
      <c r="AGM185" s="18"/>
      <c r="AGN185" s="18"/>
      <c r="AGO185" s="18"/>
      <c r="AGP185" s="18"/>
      <c r="AGQ185" s="18"/>
      <c r="AGR185" s="18"/>
      <c r="AGS185" s="18"/>
      <c r="AGT185" s="18"/>
      <c r="AGU185" s="18"/>
      <c r="AGV185" s="18"/>
      <c r="AGW185" s="18"/>
      <c r="AGX185" s="18"/>
      <c r="AGY185" s="18"/>
      <c r="AGZ185" s="18"/>
      <c r="AHA185" s="18"/>
      <c r="AHB185" s="18"/>
      <c r="AHC185" s="18"/>
      <c r="AHD185" s="18"/>
      <c r="AHE185" s="18"/>
      <c r="AHF185" s="18"/>
      <c r="AHG185" s="18"/>
      <c r="AHH185" s="18"/>
      <c r="AHI185" s="18"/>
      <c r="AHJ185" s="18"/>
      <c r="AHK185" s="18"/>
      <c r="AHL185" s="18"/>
      <c r="AHM185" s="18"/>
      <c r="AHN185" s="18"/>
      <c r="AHO185" s="18"/>
      <c r="AHP185" s="18"/>
      <c r="AHQ185" s="18"/>
      <c r="AHR185" s="18"/>
      <c r="AHS185" s="18"/>
      <c r="AHT185" s="18"/>
      <c r="AHU185" s="18"/>
      <c r="AHV185" s="18"/>
      <c r="AHW185" s="18"/>
      <c r="AHX185" s="18"/>
      <c r="AHY185" s="18"/>
      <c r="AHZ185" s="18"/>
      <c r="AIA185" s="18"/>
      <c r="AIB185" s="18"/>
      <c r="AIC185" s="18"/>
      <c r="AID185" s="18"/>
      <c r="AIE185" s="18"/>
      <c r="AIF185" s="18"/>
      <c r="AIG185" s="18"/>
      <c r="AIH185" s="18"/>
      <c r="AII185" s="18"/>
      <c r="AIJ185" s="18"/>
      <c r="AIK185" s="18"/>
      <c r="AIL185" s="18"/>
      <c r="AIM185" s="18"/>
      <c r="AIN185" s="18"/>
      <c r="AIO185" s="18"/>
      <c r="AIP185" s="18"/>
      <c r="AIQ185" s="18"/>
      <c r="AIR185" s="18"/>
      <c r="AIS185" s="18"/>
      <c r="AIT185" s="18"/>
      <c r="AIU185" s="18"/>
      <c r="AIV185" s="18"/>
      <c r="AIW185" s="18"/>
      <c r="AIX185" s="18"/>
      <c r="AIY185" s="18"/>
      <c r="AIZ185" s="18"/>
      <c r="AJA185" s="18"/>
      <c r="AJB185" s="18"/>
      <c r="AJC185" s="18"/>
      <c r="AJD185" s="18"/>
      <c r="AJE185" s="18"/>
      <c r="AJF185" s="18"/>
      <c r="AJG185" s="18"/>
      <c r="AJH185" s="18"/>
      <c r="AJI185" s="18"/>
      <c r="AJJ185" s="18"/>
      <c r="AJK185" s="18"/>
      <c r="AJL185" s="18"/>
      <c r="AJM185" s="18"/>
      <c r="AJN185" s="18"/>
      <c r="AJO185" s="18"/>
      <c r="AJP185" s="18"/>
      <c r="AJQ185" s="18"/>
      <c r="AJR185" s="18"/>
      <c r="AJS185" s="18"/>
      <c r="AJT185" s="18"/>
      <c r="AJU185" s="18"/>
      <c r="AJV185" s="18"/>
      <c r="AJW185" s="18"/>
      <c r="AJX185" s="18"/>
      <c r="AJY185" s="18"/>
      <c r="AJZ185" s="18"/>
      <c r="AKA185" s="18"/>
      <c r="AKB185" s="18"/>
      <c r="AKC185" s="18"/>
      <c r="AKD185" s="18"/>
      <c r="AKE185" s="18"/>
      <c r="AKF185" s="18"/>
      <c r="AKG185" s="18"/>
      <c r="AKH185" s="18"/>
      <c r="AKI185" s="18"/>
      <c r="AKJ185" s="18"/>
      <c r="AKK185" s="18"/>
      <c r="AKL185" s="18"/>
      <c r="AKM185" s="18"/>
      <c r="AKN185" s="18"/>
      <c r="AKO185" s="18"/>
      <c r="AKP185" s="18"/>
      <c r="AKQ185" s="18"/>
      <c r="AKR185" s="18"/>
      <c r="AKS185" s="18"/>
      <c r="AKT185" s="18"/>
      <c r="AKU185" s="18"/>
      <c r="AKV185" s="18"/>
      <c r="AKW185" s="18"/>
      <c r="AKX185" s="18"/>
      <c r="AKY185" s="18"/>
      <c r="AKZ185" s="18"/>
      <c r="ALA185" s="18"/>
      <c r="ALB185" s="18"/>
      <c r="ALC185" s="18"/>
      <c r="ALD185" s="18"/>
      <c r="ALE185" s="18"/>
      <c r="ALF185" s="18"/>
      <c r="ALG185" s="18"/>
      <c r="ALH185" s="18"/>
      <c r="ALI185" s="18"/>
      <c r="ALJ185" s="18"/>
      <c r="ALK185" s="18"/>
      <c r="ALL185" s="18"/>
      <c r="ALM185" s="18"/>
      <c r="ALN185" s="18"/>
      <c r="ALO185" s="18"/>
      <c r="ALP185" s="18"/>
      <c r="ALQ185" s="18"/>
      <c r="ALR185" s="18"/>
      <c r="ALS185" s="18"/>
      <c r="ALT185" s="18"/>
      <c r="ALU185" s="18"/>
      <c r="ALV185" s="18"/>
      <c r="ALW185" s="18"/>
      <c r="ALX185" s="18"/>
      <c r="ALY185" s="18"/>
      <c r="ALZ185" s="18"/>
      <c r="AMA185" s="18"/>
      <c r="AMB185" s="18"/>
      <c r="AMC185" s="18"/>
      <c r="AMD185" s="18"/>
      <c r="AME185" s="18"/>
      <c r="AMF185" s="18"/>
      <c r="AMG185" s="18"/>
      <c r="AMH185" s="18"/>
      <c r="AMI185" s="18"/>
      <c r="AMJ185" s="18"/>
      <c r="AMK185" s="18"/>
      <c r="AML185" s="18"/>
      <c r="AMM185" s="18"/>
      <c r="AMN185" s="18"/>
      <c r="AMO185" s="18"/>
      <c r="AMP185" s="18"/>
      <c r="AMQ185" s="18"/>
      <c r="AMR185" s="18"/>
      <c r="AMS185" s="18"/>
      <c r="AMT185" s="18"/>
      <c r="AMU185" s="18"/>
      <c r="AMV185" s="18"/>
      <c r="AMW185" s="18"/>
      <c r="AMX185" s="18"/>
      <c r="AMY185" s="18"/>
      <c r="AMZ185" s="18"/>
      <c r="ANA185" s="18"/>
      <c r="ANB185" s="18"/>
      <c r="ANC185" s="18"/>
      <c r="AND185" s="18"/>
      <c r="ANE185" s="18"/>
      <c r="ANF185" s="18"/>
      <c r="ANG185" s="18"/>
      <c r="ANH185" s="18"/>
      <c r="ANI185" s="18"/>
      <c r="ANJ185" s="18"/>
      <c r="ANK185" s="18"/>
      <c r="ANL185" s="18"/>
      <c r="ANM185" s="18"/>
      <c r="ANN185" s="18"/>
      <c r="ANO185" s="18"/>
      <c r="ANP185" s="18"/>
      <c r="ANQ185" s="18"/>
      <c r="ANR185" s="18"/>
      <c r="ANS185" s="18"/>
      <c r="ANT185" s="18"/>
      <c r="ANU185" s="18"/>
      <c r="ANV185" s="18"/>
      <c r="ANW185" s="18"/>
      <c r="ANX185" s="18"/>
      <c r="ANY185" s="18"/>
      <c r="ANZ185" s="18"/>
      <c r="AOA185" s="18"/>
      <c r="AOB185" s="18"/>
      <c r="AOC185" s="18"/>
      <c r="AOD185" s="18"/>
      <c r="AOE185" s="18"/>
      <c r="AOF185" s="18"/>
      <c r="AOG185" s="18"/>
      <c r="AOH185" s="18"/>
      <c r="AOI185" s="18"/>
      <c r="AOJ185" s="18"/>
      <c r="AOK185" s="18"/>
      <c r="AOL185" s="18"/>
      <c r="AOM185" s="18"/>
      <c r="AON185" s="18"/>
      <c r="AOO185" s="18"/>
      <c r="AOP185" s="18"/>
      <c r="AOQ185" s="18"/>
      <c r="AOR185" s="18"/>
      <c r="AOS185" s="18"/>
      <c r="AOT185" s="18"/>
      <c r="AOU185" s="18"/>
      <c r="AOV185" s="18"/>
      <c r="AOW185" s="18"/>
      <c r="AOX185" s="18"/>
      <c r="AOY185" s="18"/>
      <c r="AOZ185" s="18"/>
      <c r="APA185" s="18"/>
      <c r="APB185" s="18"/>
      <c r="APC185" s="18"/>
      <c r="APD185" s="18"/>
      <c r="APE185" s="18"/>
      <c r="APF185" s="18"/>
      <c r="APG185" s="18"/>
      <c r="APH185" s="18"/>
      <c r="API185" s="18"/>
      <c r="APJ185" s="18"/>
      <c r="APK185" s="18"/>
      <c r="APL185" s="18"/>
      <c r="APM185" s="18"/>
      <c r="APN185" s="18"/>
      <c r="APO185" s="18"/>
      <c r="APP185" s="18"/>
      <c r="APQ185" s="18"/>
      <c r="APR185" s="18"/>
      <c r="APS185" s="18"/>
      <c r="APT185" s="18"/>
      <c r="APU185" s="18"/>
      <c r="APV185" s="18"/>
      <c r="APW185" s="18"/>
      <c r="APX185" s="18"/>
      <c r="APY185" s="18"/>
      <c r="APZ185" s="18"/>
      <c r="AQA185" s="18"/>
      <c r="AQB185" s="18"/>
      <c r="AQC185" s="18"/>
      <c r="AQD185" s="18"/>
      <c r="AQE185" s="18"/>
      <c r="AQF185" s="18"/>
      <c r="AQG185" s="18"/>
      <c r="AQH185" s="18"/>
      <c r="AQI185" s="18"/>
      <c r="AQJ185" s="18"/>
      <c r="AQK185" s="18"/>
      <c r="AQL185" s="18"/>
      <c r="AQM185" s="18"/>
      <c r="AQN185" s="18"/>
      <c r="AQO185" s="18"/>
      <c r="AQP185" s="18"/>
      <c r="AQQ185" s="18"/>
      <c r="AQR185" s="18"/>
      <c r="AQS185" s="18"/>
      <c r="AQT185" s="18"/>
      <c r="AQU185" s="18"/>
      <c r="AQV185" s="18"/>
      <c r="AQW185" s="18"/>
      <c r="AQX185" s="18"/>
      <c r="AQY185" s="18"/>
      <c r="AQZ185" s="18"/>
      <c r="ARA185" s="18"/>
      <c r="ARB185" s="18"/>
      <c r="ARC185" s="18"/>
      <c r="ARD185" s="18"/>
      <c r="ARE185" s="18"/>
      <c r="ARF185" s="18"/>
      <c r="ARG185" s="18"/>
      <c r="ARH185" s="18"/>
      <c r="ARI185" s="18"/>
      <c r="ARJ185" s="18"/>
      <c r="ARK185" s="18"/>
      <c r="ARL185" s="18"/>
      <c r="ARM185" s="18"/>
      <c r="ARN185" s="18"/>
      <c r="ARO185" s="18"/>
      <c r="ARP185" s="18"/>
      <c r="ARQ185" s="18"/>
      <c r="ARR185" s="18"/>
      <c r="ARS185" s="18"/>
      <c r="ART185" s="18"/>
      <c r="ARU185" s="18"/>
      <c r="ARV185" s="18"/>
      <c r="ARW185" s="18"/>
      <c r="ARX185" s="18"/>
      <c r="ARY185" s="18"/>
      <c r="ARZ185" s="18"/>
      <c r="ASA185" s="18"/>
      <c r="ASB185" s="18"/>
      <c r="ASC185" s="18"/>
      <c r="ASD185" s="18"/>
      <c r="ASE185" s="18"/>
      <c r="ASF185" s="18"/>
      <c r="ASG185" s="18"/>
      <c r="ASH185" s="18"/>
      <c r="ASI185" s="18"/>
      <c r="ASJ185" s="18"/>
      <c r="ASK185" s="18"/>
      <c r="ASL185" s="18"/>
      <c r="ASM185" s="18"/>
      <c r="ASN185" s="18"/>
      <c r="ASO185" s="18"/>
      <c r="ASP185" s="18"/>
      <c r="ASQ185" s="18"/>
      <c r="ASR185" s="18"/>
      <c r="ASS185" s="18"/>
      <c r="AST185" s="18"/>
      <c r="ASU185" s="18"/>
      <c r="ASV185" s="18"/>
      <c r="ASW185" s="18"/>
      <c r="ASX185" s="18"/>
      <c r="ASY185" s="18"/>
      <c r="ASZ185" s="18"/>
      <c r="ATA185" s="18"/>
      <c r="ATB185" s="18"/>
      <c r="ATC185" s="18"/>
      <c r="ATD185" s="18"/>
      <c r="ATE185" s="18"/>
      <c r="ATF185" s="18"/>
      <c r="ATG185" s="18"/>
      <c r="ATH185" s="18"/>
      <c r="ATI185" s="18"/>
      <c r="ATJ185" s="18"/>
      <c r="ATK185" s="18"/>
      <c r="ATL185" s="18"/>
      <c r="ATM185" s="18"/>
      <c r="ATN185" s="18"/>
      <c r="ATO185" s="18"/>
      <c r="ATP185" s="18"/>
      <c r="ATQ185" s="18"/>
      <c r="ATR185" s="18"/>
      <c r="ATS185" s="18"/>
      <c r="ATT185" s="18"/>
      <c r="ATU185" s="18"/>
      <c r="ATV185" s="18"/>
      <c r="ATW185" s="18"/>
      <c r="ATX185" s="18"/>
      <c r="ATY185" s="18"/>
      <c r="ATZ185" s="18"/>
      <c r="AUA185" s="18"/>
      <c r="AUB185" s="18"/>
      <c r="AUC185" s="18"/>
      <c r="AUD185" s="18"/>
      <c r="AUE185" s="18"/>
      <c r="AUF185" s="18"/>
      <c r="AUG185" s="18"/>
      <c r="AUH185" s="18"/>
      <c r="AUI185" s="18"/>
      <c r="AUJ185" s="18"/>
      <c r="AUK185" s="18"/>
      <c r="AUL185" s="18"/>
      <c r="AUM185" s="18"/>
      <c r="AUN185" s="18"/>
      <c r="AUO185" s="18"/>
      <c r="AUP185" s="18"/>
      <c r="AUQ185" s="18"/>
      <c r="AUR185" s="18"/>
      <c r="AUS185" s="18"/>
      <c r="AUT185" s="18"/>
      <c r="AUU185" s="18"/>
      <c r="AUV185" s="18"/>
      <c r="AUW185" s="18"/>
      <c r="AUX185" s="18"/>
      <c r="AUY185" s="18"/>
      <c r="AUZ185" s="18"/>
      <c r="AVA185" s="18"/>
      <c r="AVB185" s="18"/>
      <c r="AVC185" s="18"/>
      <c r="AVD185" s="18"/>
      <c r="AVE185" s="18"/>
      <c r="AVF185" s="18"/>
      <c r="AVG185" s="18"/>
      <c r="AVH185" s="18"/>
      <c r="AVI185" s="18"/>
      <c r="AVJ185" s="18"/>
      <c r="AVK185" s="18"/>
      <c r="AVL185" s="18"/>
      <c r="AVM185" s="18"/>
      <c r="AVN185" s="18"/>
      <c r="AVO185" s="18"/>
      <c r="AVP185" s="18"/>
      <c r="AVQ185" s="18"/>
      <c r="AVR185" s="18"/>
      <c r="AVS185" s="18"/>
      <c r="AVT185" s="18"/>
      <c r="AVU185" s="18"/>
      <c r="AVV185" s="18"/>
      <c r="AVW185" s="18"/>
      <c r="AVX185" s="18"/>
      <c r="AVY185" s="18"/>
      <c r="AVZ185" s="18"/>
      <c r="AWA185" s="18"/>
      <c r="AWB185" s="18"/>
      <c r="AWC185" s="18"/>
      <c r="AWD185" s="18"/>
      <c r="AWE185" s="18"/>
      <c r="AWF185" s="18"/>
      <c r="AWG185" s="18"/>
      <c r="AWH185" s="18"/>
      <c r="AWI185" s="18"/>
      <c r="AWJ185" s="18"/>
      <c r="AWK185" s="18"/>
      <c r="AWL185" s="18"/>
      <c r="AWM185" s="18"/>
      <c r="AWN185" s="18"/>
      <c r="AWO185" s="18"/>
      <c r="AWP185" s="18"/>
      <c r="AWQ185" s="18"/>
      <c r="AWR185" s="18"/>
      <c r="AWS185" s="18"/>
      <c r="AWT185" s="18"/>
      <c r="AWU185" s="18"/>
      <c r="AWV185" s="18"/>
      <c r="AWW185" s="18"/>
      <c r="AWX185" s="18"/>
      <c r="AWY185" s="18"/>
      <c r="AWZ185" s="18"/>
      <c r="AXA185" s="18"/>
      <c r="AXB185" s="18"/>
      <c r="AXC185" s="18"/>
      <c r="AXD185" s="18"/>
      <c r="AXE185" s="18"/>
      <c r="AXF185" s="18"/>
      <c r="AXG185" s="18"/>
      <c r="AXH185" s="18"/>
      <c r="AXI185" s="18"/>
      <c r="AXJ185" s="18"/>
      <c r="AXK185" s="18"/>
      <c r="AXL185" s="18"/>
      <c r="AXM185" s="18"/>
      <c r="AXN185" s="18"/>
      <c r="AXO185" s="18"/>
      <c r="AXP185" s="18"/>
      <c r="AXQ185" s="18"/>
      <c r="AXR185" s="18"/>
      <c r="AXS185" s="18"/>
      <c r="AXT185" s="18"/>
      <c r="AXU185" s="18"/>
      <c r="AXV185" s="18"/>
      <c r="AXW185" s="18"/>
      <c r="AXX185" s="18"/>
      <c r="AXY185" s="18"/>
      <c r="AXZ185" s="18"/>
      <c r="AYA185" s="18"/>
      <c r="AYB185" s="18"/>
      <c r="AYC185" s="18"/>
      <c r="AYD185" s="18"/>
      <c r="AYE185" s="18"/>
      <c r="AYF185" s="18"/>
      <c r="AYG185" s="18"/>
      <c r="AYH185" s="18"/>
      <c r="AYI185" s="18"/>
      <c r="AYJ185" s="18"/>
      <c r="AYK185" s="18"/>
      <c r="AYL185" s="18"/>
      <c r="AYM185" s="18"/>
      <c r="AYN185" s="18"/>
      <c r="AYO185" s="18"/>
      <c r="AYP185" s="18"/>
      <c r="AYQ185" s="18"/>
      <c r="AYR185" s="18"/>
      <c r="AYS185" s="18"/>
      <c r="AYT185" s="18"/>
      <c r="AYU185" s="18"/>
      <c r="AYV185" s="18"/>
      <c r="AYW185" s="18"/>
      <c r="AYX185" s="18"/>
      <c r="AYY185" s="18"/>
      <c r="AYZ185" s="18"/>
      <c r="AZA185" s="18"/>
      <c r="AZB185" s="18"/>
      <c r="AZC185" s="18"/>
      <c r="AZD185" s="18"/>
      <c r="AZE185" s="18"/>
      <c r="AZF185" s="18"/>
      <c r="AZG185" s="18"/>
      <c r="AZH185" s="18"/>
      <c r="AZI185" s="18"/>
      <c r="AZJ185" s="18"/>
      <c r="AZK185" s="18"/>
      <c r="AZL185" s="18"/>
      <c r="AZM185" s="18"/>
      <c r="AZN185" s="18"/>
      <c r="AZO185" s="18"/>
      <c r="AZP185" s="18"/>
      <c r="AZQ185" s="18"/>
      <c r="AZR185" s="18"/>
      <c r="AZS185" s="18"/>
      <c r="AZT185" s="18"/>
      <c r="AZU185" s="18"/>
      <c r="AZV185" s="18"/>
      <c r="AZW185" s="18"/>
      <c r="AZX185" s="18"/>
      <c r="AZY185" s="18"/>
      <c r="AZZ185" s="18"/>
      <c r="BAA185" s="18"/>
      <c r="BAB185" s="18"/>
      <c r="BAC185" s="18"/>
      <c r="BAD185" s="18"/>
      <c r="BAE185" s="18"/>
      <c r="BAF185" s="18"/>
      <c r="BAG185" s="18"/>
      <c r="BAH185" s="18"/>
      <c r="BAI185" s="18"/>
      <c r="BAJ185" s="18"/>
      <c r="BAK185" s="18"/>
      <c r="BAL185" s="18"/>
      <c r="BAM185" s="18"/>
      <c r="BAN185" s="18"/>
      <c r="BAO185" s="18"/>
      <c r="BAP185" s="18"/>
      <c r="BAQ185" s="18"/>
      <c r="BAR185" s="18"/>
      <c r="BAS185" s="18"/>
      <c r="BAT185" s="18"/>
      <c r="BAU185" s="18"/>
      <c r="BAV185" s="18"/>
      <c r="BAW185" s="18"/>
      <c r="BAX185" s="18"/>
      <c r="BAY185" s="18"/>
      <c r="BAZ185" s="18"/>
      <c r="BBA185" s="18"/>
      <c r="BBB185" s="18"/>
      <c r="BBC185" s="18"/>
      <c r="BBD185" s="18"/>
      <c r="BBE185" s="18"/>
      <c r="BBF185" s="18"/>
      <c r="BBG185" s="18"/>
      <c r="BBH185" s="18"/>
      <c r="BBI185" s="18"/>
      <c r="BBJ185" s="18"/>
      <c r="BBK185" s="18"/>
      <c r="BBL185" s="18"/>
      <c r="BBM185" s="18"/>
      <c r="BBN185" s="18"/>
      <c r="BBO185" s="18"/>
      <c r="BBP185" s="18"/>
      <c r="BBQ185" s="18"/>
      <c r="BBR185" s="18"/>
      <c r="BBS185" s="18"/>
      <c r="BBT185" s="18"/>
      <c r="BBU185" s="18"/>
      <c r="BBV185" s="18"/>
      <c r="BBW185" s="18"/>
      <c r="BBX185" s="18"/>
      <c r="BBY185" s="18"/>
      <c r="BBZ185" s="18"/>
      <c r="BCA185" s="18"/>
      <c r="BCB185" s="18"/>
      <c r="BCC185" s="18"/>
      <c r="BCD185" s="18"/>
      <c r="BCE185" s="18"/>
      <c r="BCF185" s="18"/>
      <c r="BCG185" s="18"/>
      <c r="BCH185" s="18"/>
      <c r="BCI185" s="18"/>
      <c r="BCJ185" s="18"/>
      <c r="BCK185" s="18"/>
      <c r="BCL185" s="18"/>
      <c r="BCM185" s="18"/>
      <c r="BCN185" s="18"/>
      <c r="BCO185" s="18"/>
      <c r="BCP185" s="18"/>
      <c r="BCQ185" s="18"/>
      <c r="BCR185" s="18"/>
      <c r="BCS185" s="18"/>
      <c r="BCT185" s="18"/>
      <c r="BCU185" s="18"/>
      <c r="BCV185" s="18"/>
      <c r="BCW185" s="18"/>
      <c r="BCX185" s="18"/>
      <c r="BCY185" s="18"/>
      <c r="BCZ185" s="18"/>
      <c r="BDA185" s="18"/>
      <c r="BDB185" s="18"/>
      <c r="BDC185" s="18"/>
      <c r="BDD185" s="18"/>
      <c r="BDE185" s="18"/>
      <c r="BDF185" s="18"/>
      <c r="BDG185" s="18"/>
      <c r="BDH185" s="18"/>
      <c r="BDI185" s="18"/>
      <c r="BDJ185" s="18"/>
      <c r="BDK185" s="18"/>
      <c r="BDL185" s="18"/>
      <c r="BDM185" s="18"/>
      <c r="BDN185" s="18"/>
      <c r="BDO185" s="18"/>
      <c r="BDP185" s="18"/>
      <c r="BDQ185" s="18"/>
      <c r="BDR185" s="18"/>
      <c r="BDS185" s="18"/>
      <c r="BDT185" s="18"/>
      <c r="BDU185" s="18"/>
      <c r="BDV185" s="18"/>
      <c r="BDW185" s="18"/>
      <c r="BDX185" s="18"/>
      <c r="BDY185" s="18"/>
      <c r="BDZ185" s="18"/>
      <c r="BEA185" s="18"/>
      <c r="BEB185" s="18"/>
      <c r="BEC185" s="18"/>
      <c r="BED185" s="18"/>
      <c r="BEE185" s="18"/>
      <c r="BEF185" s="18"/>
      <c r="BEG185" s="18"/>
      <c r="BEH185" s="18"/>
      <c r="BEI185" s="18"/>
      <c r="BEJ185" s="18"/>
      <c r="BEK185" s="18"/>
      <c r="BEL185" s="18"/>
      <c r="BEM185" s="18"/>
      <c r="BEN185" s="18"/>
      <c r="BEO185" s="18"/>
      <c r="BEP185" s="18"/>
      <c r="BEQ185" s="18"/>
      <c r="BER185" s="18"/>
      <c r="BES185" s="18"/>
      <c r="BET185" s="18"/>
      <c r="BEU185" s="18"/>
      <c r="BEV185" s="18"/>
      <c r="BEW185" s="18"/>
      <c r="BEX185" s="18"/>
      <c r="BEY185" s="18"/>
      <c r="BEZ185" s="18"/>
      <c r="BFA185" s="18"/>
      <c r="BFB185" s="18"/>
      <c r="BFC185" s="18"/>
      <c r="BFD185" s="18"/>
      <c r="BFE185" s="18"/>
      <c r="BFF185" s="18"/>
      <c r="BFG185" s="18"/>
      <c r="BFH185" s="18"/>
      <c r="BFI185" s="18"/>
      <c r="BFJ185" s="18"/>
      <c r="BFK185" s="18"/>
      <c r="BFL185" s="18"/>
      <c r="BFM185" s="18"/>
      <c r="BFN185" s="18"/>
      <c r="BFO185" s="18"/>
      <c r="BFP185" s="18"/>
      <c r="BFQ185" s="18"/>
      <c r="BFR185" s="18"/>
      <c r="BFS185" s="18"/>
      <c r="BFT185" s="18"/>
      <c r="BFU185" s="18"/>
      <c r="BFV185" s="18"/>
      <c r="BFW185" s="18"/>
      <c r="BFX185" s="18"/>
      <c r="BFY185" s="18"/>
      <c r="BFZ185" s="18"/>
      <c r="BGA185" s="18"/>
      <c r="BGB185" s="18"/>
      <c r="BGC185" s="18"/>
      <c r="BGD185" s="18"/>
      <c r="BGE185" s="18"/>
      <c r="BGF185" s="18"/>
      <c r="BGG185" s="18"/>
      <c r="BGH185" s="18"/>
      <c r="BGI185" s="18"/>
      <c r="BGJ185" s="18"/>
      <c r="BGK185" s="18"/>
      <c r="BGL185" s="18"/>
      <c r="BGM185" s="18"/>
      <c r="BGN185" s="18"/>
      <c r="BGO185" s="18"/>
      <c r="BGP185" s="18"/>
      <c r="BGQ185" s="18"/>
      <c r="BGR185" s="18"/>
      <c r="BGS185" s="18"/>
      <c r="BGT185" s="18"/>
      <c r="BGU185" s="18"/>
      <c r="BGV185" s="18"/>
      <c r="BGW185" s="18"/>
      <c r="BGX185" s="18"/>
      <c r="BGY185" s="18"/>
      <c r="BGZ185" s="18"/>
      <c r="BHA185" s="18"/>
      <c r="BHB185" s="18"/>
      <c r="BHC185" s="18"/>
      <c r="BHD185" s="18"/>
      <c r="BHE185" s="18"/>
      <c r="BHF185" s="18"/>
      <c r="BHG185" s="18"/>
      <c r="BHH185" s="18"/>
      <c r="BHI185" s="18"/>
      <c r="BHJ185" s="18"/>
      <c r="BHK185" s="18"/>
      <c r="BHL185" s="18"/>
      <c r="BHM185" s="18"/>
      <c r="BHN185" s="18"/>
      <c r="BHO185" s="18"/>
      <c r="BHP185" s="18"/>
      <c r="BHQ185" s="18"/>
      <c r="BHR185" s="18"/>
      <c r="BHS185" s="18"/>
      <c r="BHT185" s="18"/>
      <c r="BHU185" s="18"/>
      <c r="BHV185" s="18"/>
      <c r="BHW185" s="18"/>
      <c r="BHX185" s="18"/>
      <c r="BHY185" s="18"/>
      <c r="BHZ185" s="18"/>
      <c r="BIA185" s="18"/>
      <c r="BIB185" s="18"/>
      <c r="BIC185" s="18"/>
      <c r="BID185" s="18"/>
      <c r="BIE185" s="18"/>
      <c r="BIF185" s="18"/>
      <c r="BIG185" s="18"/>
      <c r="BIH185" s="18"/>
      <c r="BII185" s="18"/>
      <c r="BIJ185" s="18"/>
      <c r="BIK185" s="18"/>
      <c r="BIL185" s="18"/>
      <c r="BIM185" s="18"/>
      <c r="BIN185" s="18"/>
      <c r="BIO185" s="18"/>
      <c r="BIP185" s="18"/>
      <c r="BIQ185" s="18"/>
      <c r="BIR185" s="18"/>
      <c r="BIS185" s="18"/>
      <c r="BIT185" s="18"/>
      <c r="BIU185" s="18"/>
      <c r="BIV185" s="18"/>
      <c r="BIW185" s="18"/>
      <c r="BIX185" s="18"/>
      <c r="BIY185" s="18"/>
      <c r="BIZ185" s="18"/>
      <c r="BJA185" s="18"/>
      <c r="BJB185" s="18"/>
      <c r="BJC185" s="18"/>
      <c r="BJD185" s="18"/>
      <c r="BJE185" s="18"/>
      <c r="BJF185" s="18"/>
      <c r="BJG185" s="18"/>
      <c r="BJH185" s="18"/>
      <c r="BJI185" s="18"/>
      <c r="BJJ185" s="18"/>
      <c r="BJK185" s="18"/>
      <c r="BJL185" s="18"/>
      <c r="BJM185" s="18"/>
      <c r="BJN185" s="18"/>
      <c r="BJO185" s="18"/>
      <c r="BJP185" s="18"/>
      <c r="BJQ185" s="18"/>
      <c r="BJR185" s="18"/>
      <c r="BJS185" s="18"/>
      <c r="BJT185" s="18"/>
      <c r="BJU185" s="18"/>
      <c r="BJV185" s="18"/>
      <c r="BJW185" s="18"/>
      <c r="BJX185" s="18"/>
      <c r="BJY185" s="18"/>
      <c r="BJZ185" s="18"/>
      <c r="BKA185" s="18"/>
      <c r="BKB185" s="18"/>
      <c r="BKC185" s="18"/>
      <c r="BKD185" s="18"/>
      <c r="BKE185" s="18"/>
      <c r="BKF185" s="18"/>
      <c r="BKG185" s="18"/>
      <c r="BKH185" s="18"/>
      <c r="BKI185" s="18"/>
      <c r="BKJ185" s="18"/>
      <c r="BKK185" s="18"/>
      <c r="BKL185" s="18"/>
      <c r="BKM185" s="18"/>
      <c r="BKN185" s="18"/>
      <c r="BKO185" s="18"/>
      <c r="BKP185" s="18"/>
      <c r="BKQ185" s="18"/>
      <c r="BKR185" s="18"/>
      <c r="BKS185" s="18"/>
      <c r="BKT185" s="18"/>
      <c r="BKU185" s="18"/>
      <c r="BKV185" s="18"/>
      <c r="BKW185" s="18"/>
      <c r="BKX185" s="18"/>
      <c r="BKY185" s="18"/>
      <c r="BKZ185" s="18"/>
      <c r="BLA185" s="18"/>
      <c r="BLB185" s="18"/>
      <c r="BLC185" s="18"/>
      <c r="BLD185" s="18"/>
      <c r="BLE185" s="18"/>
      <c r="BLF185" s="18"/>
      <c r="BLG185" s="18"/>
      <c r="BLH185" s="18"/>
      <c r="BLI185" s="18"/>
      <c r="BLJ185" s="18"/>
      <c r="BLK185" s="18"/>
      <c r="BLL185" s="18"/>
      <c r="BLM185" s="18"/>
      <c r="BLN185" s="18"/>
      <c r="BLO185" s="18"/>
      <c r="BLP185" s="18"/>
      <c r="BLQ185" s="18"/>
      <c r="BLR185" s="18"/>
      <c r="BLS185" s="18"/>
      <c r="BLT185" s="18"/>
      <c r="BLU185" s="18"/>
      <c r="BLV185" s="18"/>
      <c r="BLW185" s="18"/>
      <c r="BLX185" s="18"/>
      <c r="BLY185" s="18"/>
      <c r="BLZ185" s="18"/>
      <c r="BMA185" s="18"/>
      <c r="BMB185" s="18"/>
      <c r="BMC185" s="18"/>
      <c r="BMD185" s="18"/>
      <c r="BME185" s="18"/>
      <c r="BMF185" s="18"/>
      <c r="BMG185" s="18"/>
      <c r="BMH185" s="18"/>
      <c r="BMI185" s="18"/>
      <c r="BMJ185" s="18"/>
      <c r="BMK185" s="18"/>
      <c r="BML185" s="18"/>
      <c r="BMM185" s="18"/>
      <c r="BMN185" s="18"/>
      <c r="BMO185" s="18"/>
      <c r="BMP185" s="18"/>
      <c r="BMQ185" s="18"/>
      <c r="BMR185" s="18"/>
      <c r="BMS185" s="18"/>
      <c r="BMT185" s="18"/>
      <c r="BMU185" s="18"/>
      <c r="BMV185" s="18"/>
      <c r="BMW185" s="18"/>
      <c r="BMX185" s="18"/>
      <c r="BMY185" s="18"/>
      <c r="BMZ185" s="18"/>
      <c r="BNA185" s="18"/>
      <c r="BNB185" s="18"/>
      <c r="BNC185" s="18"/>
      <c r="BND185" s="18"/>
      <c r="BNE185" s="18"/>
      <c r="BNF185" s="18"/>
      <c r="BNG185" s="18"/>
      <c r="BNH185" s="18"/>
      <c r="BNI185" s="18"/>
      <c r="BNJ185" s="18"/>
      <c r="BNK185" s="18"/>
      <c r="BNL185" s="18"/>
      <c r="BNM185" s="18"/>
      <c r="BNN185" s="18"/>
      <c r="BNO185" s="18"/>
      <c r="BNP185" s="18"/>
      <c r="BNQ185" s="18"/>
      <c r="BNR185" s="18"/>
      <c r="BNS185" s="18"/>
      <c r="BNT185" s="18"/>
      <c r="BNU185" s="18"/>
      <c r="BNV185" s="18"/>
      <c r="BNW185" s="18"/>
      <c r="BNX185" s="18"/>
      <c r="BNY185" s="18"/>
      <c r="BNZ185" s="18"/>
      <c r="BOA185" s="18"/>
      <c r="BOB185" s="18"/>
      <c r="BOC185" s="18"/>
      <c r="BOD185" s="18"/>
      <c r="BOE185" s="18"/>
      <c r="BOF185" s="18"/>
      <c r="BOG185" s="18"/>
      <c r="BOH185" s="18"/>
      <c r="BOI185" s="18"/>
      <c r="BOJ185" s="18"/>
      <c r="BOK185" s="18"/>
      <c r="BOL185" s="18"/>
      <c r="BOM185" s="18"/>
      <c r="BON185" s="18"/>
      <c r="BOO185" s="18"/>
      <c r="BOP185" s="18"/>
      <c r="BOQ185" s="18"/>
      <c r="BOR185" s="18"/>
      <c r="BOS185" s="18"/>
      <c r="BOT185" s="18"/>
      <c r="BOU185" s="18"/>
      <c r="BOV185" s="18"/>
      <c r="BOW185" s="18"/>
      <c r="BOX185" s="18"/>
      <c r="BOY185" s="18"/>
      <c r="BOZ185" s="18"/>
      <c r="BPA185" s="18"/>
      <c r="BPB185" s="18"/>
      <c r="BPC185" s="18"/>
      <c r="BPD185" s="18"/>
      <c r="BPE185" s="18"/>
      <c r="BPF185" s="18"/>
      <c r="BPG185" s="18"/>
      <c r="BPH185" s="18"/>
      <c r="BPI185" s="18"/>
      <c r="BPJ185" s="18"/>
      <c r="BPK185" s="18"/>
      <c r="BPL185" s="18"/>
      <c r="BPM185" s="18"/>
      <c r="BPN185" s="18"/>
      <c r="BPO185" s="18"/>
      <c r="BPP185" s="18"/>
      <c r="BPQ185" s="18"/>
      <c r="BPR185" s="18"/>
      <c r="BPS185" s="18"/>
      <c r="BPT185" s="18"/>
      <c r="BPU185" s="18"/>
      <c r="BPV185" s="18"/>
      <c r="BPW185" s="18"/>
      <c r="BPX185" s="18"/>
      <c r="BPY185" s="18"/>
      <c r="BPZ185" s="18"/>
      <c r="BQA185" s="18"/>
      <c r="BQB185" s="18"/>
      <c r="BQC185" s="18"/>
      <c r="BQD185" s="18"/>
      <c r="BQE185" s="18"/>
      <c r="BQF185" s="18"/>
      <c r="BQG185" s="18"/>
      <c r="BQH185" s="18"/>
      <c r="BQI185" s="18"/>
      <c r="BQJ185" s="18"/>
      <c r="BQK185" s="18"/>
      <c r="BQL185" s="18"/>
      <c r="BQM185" s="18"/>
      <c r="BQN185" s="18"/>
      <c r="BQO185" s="18"/>
      <c r="BQP185" s="18"/>
      <c r="BQQ185" s="18"/>
      <c r="BQR185" s="18"/>
      <c r="BQS185" s="18"/>
      <c r="BQT185" s="18"/>
      <c r="BQU185" s="18"/>
      <c r="BQV185" s="18"/>
      <c r="BQW185" s="18"/>
      <c r="BQX185" s="18"/>
      <c r="BQY185" s="18"/>
      <c r="BQZ185" s="18"/>
      <c r="BRA185" s="18"/>
      <c r="BRB185" s="18"/>
      <c r="BRC185" s="18"/>
      <c r="BRD185" s="18"/>
      <c r="BRE185" s="18"/>
      <c r="BRF185" s="18"/>
      <c r="BRG185" s="18"/>
      <c r="BRH185" s="18"/>
      <c r="BRI185" s="18"/>
      <c r="BRJ185" s="18"/>
      <c r="BRK185" s="18"/>
      <c r="BRL185" s="18"/>
      <c r="BRM185" s="18"/>
      <c r="BRN185" s="18"/>
      <c r="BRO185" s="18"/>
      <c r="BRP185" s="18"/>
      <c r="BRQ185" s="18"/>
      <c r="BRR185" s="18"/>
      <c r="BRS185" s="18"/>
      <c r="BRT185" s="18"/>
      <c r="BRU185" s="18"/>
      <c r="BRV185" s="18"/>
      <c r="BRW185" s="18"/>
      <c r="BRX185" s="18"/>
      <c r="BRY185" s="18"/>
      <c r="BRZ185" s="18"/>
      <c r="BSA185" s="18"/>
      <c r="BSB185" s="18"/>
      <c r="BSC185" s="18"/>
      <c r="BSD185" s="18"/>
      <c r="BSE185" s="18"/>
      <c r="BSF185" s="18"/>
      <c r="BSG185" s="18"/>
      <c r="BSH185" s="18"/>
      <c r="BSI185" s="18"/>
      <c r="BSJ185" s="18"/>
      <c r="BSK185" s="18"/>
      <c r="BSL185" s="18"/>
      <c r="BSM185" s="18"/>
      <c r="BSN185" s="18"/>
      <c r="BSO185" s="18"/>
      <c r="BSP185" s="18"/>
      <c r="BSQ185" s="18"/>
      <c r="BSR185" s="18"/>
      <c r="BSS185" s="18"/>
      <c r="BST185" s="18"/>
      <c r="BSU185" s="18"/>
      <c r="BSV185" s="18"/>
      <c r="BSW185" s="18"/>
      <c r="BSX185" s="18"/>
      <c r="BSY185" s="18"/>
      <c r="BSZ185" s="18"/>
      <c r="BTA185" s="18"/>
      <c r="BTB185" s="18"/>
      <c r="BTC185" s="18"/>
      <c r="BTD185" s="18"/>
      <c r="BTE185" s="18"/>
      <c r="BTF185" s="18"/>
      <c r="BTG185" s="18"/>
      <c r="BTH185" s="18"/>
    </row>
    <row r="186" spans="1:1880" s="399" customFormat="1" ht="81.75" customHeight="1" x14ac:dyDescent="0.3">
      <c r="A186" s="100">
        <v>598</v>
      </c>
      <c r="B186" s="343" t="s">
        <v>53</v>
      </c>
      <c r="C186" s="343" t="s">
        <v>241</v>
      </c>
      <c r="D186" s="352" t="s">
        <v>289</v>
      </c>
      <c r="E186" s="341" t="e">
        <f>INDEX('PY1 Data(H)'!$A$1:$CZ$231,MATCH('Unit Data from Audit Worksheet'!$A186,'PY1 Data(H)'!$A$1:$A$231,0),MATCH('Unit Data from Audit Worksheet'!$D$2,'PY1 Data(H)'!$A$1:$CZ$1,0))</f>
        <v>#N/A</v>
      </c>
      <c r="F186" s="897">
        <v>0</v>
      </c>
      <c r="G186" s="372">
        <f>IF(F186&lt;0,"Error: Enter as positive.",)</f>
        <v>0</v>
      </c>
      <c r="H186" s="372"/>
      <c r="I186" s="397"/>
      <c r="J186"/>
      <c r="K186" s="18"/>
      <c r="L186"/>
      <c r="M186" s="18"/>
      <c r="N186" s="176"/>
      <c r="O186" s="18"/>
      <c r="P186" s="18"/>
      <c r="Q186" s="18"/>
      <c r="R186" s="18"/>
      <c r="S186" s="18"/>
      <c r="T186" s="18"/>
      <c r="U186" s="18"/>
      <c r="V186" s="18"/>
      <c r="W186" s="18"/>
      <c r="X186" s="18"/>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8"/>
      <c r="ER186" s="18"/>
      <c r="ES186" s="18"/>
      <c r="ET186" s="18"/>
      <c r="EU186" s="18"/>
      <c r="EV186" s="18"/>
      <c r="EW186" s="18"/>
      <c r="EX186" s="18"/>
      <c r="EY186" s="18"/>
      <c r="EZ186" s="18"/>
      <c r="FA186" s="18"/>
      <c r="FB186" s="18"/>
      <c r="FC186" s="18"/>
      <c r="FD186" s="18"/>
      <c r="FE186" s="18"/>
      <c r="FF186" s="18"/>
      <c r="FG186" s="18"/>
      <c r="FH186" s="18"/>
      <c r="FI186" s="18"/>
      <c r="FJ186" s="18"/>
      <c r="FK186" s="18"/>
      <c r="FL186" s="18"/>
      <c r="FM186" s="18"/>
      <c r="FN186" s="18"/>
      <c r="FO186" s="18"/>
      <c r="FP186" s="18"/>
      <c r="FQ186" s="18"/>
      <c r="FR186" s="18"/>
      <c r="FS186" s="18"/>
      <c r="FT186" s="18"/>
      <c r="FU186" s="18"/>
      <c r="FV186" s="18"/>
      <c r="FW186" s="18"/>
      <c r="FX186" s="18"/>
      <c r="FY186" s="18"/>
      <c r="FZ186" s="18"/>
      <c r="GA186" s="18"/>
      <c r="GB186" s="18"/>
      <c r="GC186" s="18"/>
      <c r="GD186" s="18"/>
      <c r="GE186" s="18"/>
      <c r="GF186" s="18"/>
      <c r="GG186" s="18"/>
      <c r="GH186" s="18"/>
      <c r="GI186" s="18"/>
      <c r="GJ186" s="18"/>
      <c r="GK186" s="18"/>
      <c r="GL186" s="18"/>
      <c r="GM186" s="18"/>
      <c r="GN186" s="18"/>
      <c r="GO186" s="18"/>
      <c r="GP186" s="18"/>
      <c r="GQ186" s="18"/>
      <c r="GR186" s="18"/>
      <c r="GS186" s="18"/>
      <c r="GT186" s="18"/>
      <c r="GU186" s="18"/>
      <c r="GV186" s="18"/>
      <c r="GW186" s="18"/>
      <c r="GX186" s="18"/>
      <c r="GY186" s="18"/>
      <c r="GZ186" s="18"/>
      <c r="HA186" s="18"/>
      <c r="HB186" s="18"/>
      <c r="HC186" s="18"/>
      <c r="HD186" s="18"/>
      <c r="HE186" s="18"/>
      <c r="HF186" s="18"/>
      <c r="HG186" s="18"/>
      <c r="HH186" s="18"/>
      <c r="HI186" s="18"/>
      <c r="HJ186" s="18"/>
      <c r="HK186" s="18"/>
      <c r="HL186" s="18"/>
      <c r="HM186" s="18"/>
      <c r="HN186" s="18"/>
      <c r="HO186" s="18"/>
      <c r="HP186" s="18"/>
      <c r="HQ186" s="18"/>
      <c r="HR186" s="18"/>
      <c r="HS186" s="18"/>
      <c r="HT186" s="18"/>
      <c r="HU186" s="18"/>
      <c r="HV186" s="18"/>
      <c r="HW186" s="18"/>
      <c r="HX186" s="18"/>
      <c r="HY186" s="18"/>
      <c r="HZ186" s="18"/>
      <c r="IA186" s="18"/>
      <c r="IB186" s="18"/>
      <c r="IC186" s="18"/>
      <c r="ID186" s="18"/>
      <c r="IE186" s="18"/>
      <c r="IF186" s="18"/>
      <c r="IG186" s="18"/>
      <c r="IH186" s="18"/>
      <c r="II186" s="18"/>
      <c r="IJ186" s="18"/>
      <c r="IK186" s="18"/>
      <c r="IL186" s="18"/>
      <c r="IM186" s="18"/>
      <c r="IN186" s="18"/>
      <c r="IO186" s="18"/>
      <c r="IP186" s="18"/>
      <c r="IQ186" s="18"/>
      <c r="IR186" s="18"/>
      <c r="IS186" s="18"/>
      <c r="IT186" s="18"/>
      <c r="IU186" s="18"/>
      <c r="IV186" s="18"/>
      <c r="IW186" s="18"/>
      <c r="IX186" s="18"/>
      <c r="IY186" s="18"/>
      <c r="IZ186" s="18"/>
      <c r="JA186" s="18"/>
      <c r="JB186" s="18"/>
      <c r="JC186" s="18"/>
      <c r="JD186" s="18"/>
      <c r="JE186" s="18"/>
      <c r="JF186" s="18"/>
      <c r="JG186" s="18"/>
      <c r="JH186" s="18"/>
      <c r="JI186" s="18"/>
      <c r="JJ186" s="18"/>
      <c r="JK186" s="18"/>
      <c r="JL186" s="18"/>
      <c r="JM186" s="18"/>
      <c r="JN186" s="18"/>
      <c r="JO186" s="18"/>
      <c r="JP186" s="18"/>
      <c r="JQ186" s="18"/>
      <c r="JR186" s="18"/>
      <c r="JS186" s="18"/>
      <c r="JT186" s="18"/>
      <c r="JU186" s="18"/>
      <c r="JV186" s="18"/>
      <c r="JW186" s="18"/>
      <c r="JX186" s="18"/>
      <c r="JY186" s="18"/>
      <c r="JZ186" s="18"/>
      <c r="KA186" s="18"/>
      <c r="KB186" s="18"/>
      <c r="KC186" s="18"/>
      <c r="KD186" s="18"/>
      <c r="KE186" s="18"/>
      <c r="KF186" s="18"/>
      <c r="KG186" s="18"/>
      <c r="KH186" s="18"/>
      <c r="KI186" s="18"/>
      <c r="KJ186" s="18"/>
      <c r="KK186" s="18"/>
      <c r="KL186" s="18"/>
      <c r="KM186" s="18"/>
      <c r="KN186" s="18"/>
      <c r="KO186" s="18"/>
      <c r="KP186" s="18"/>
      <c r="KQ186" s="18"/>
      <c r="KR186" s="18"/>
      <c r="KS186" s="18"/>
      <c r="KT186" s="18"/>
      <c r="KU186" s="18"/>
      <c r="KV186" s="18"/>
      <c r="KW186" s="18"/>
      <c r="KX186" s="18"/>
      <c r="KY186" s="18"/>
      <c r="KZ186" s="18"/>
      <c r="LA186" s="18"/>
      <c r="LB186" s="18"/>
      <c r="LC186" s="18"/>
      <c r="LD186" s="18"/>
      <c r="LE186" s="18"/>
      <c r="LF186" s="18"/>
      <c r="LG186" s="18"/>
      <c r="LH186" s="18"/>
      <c r="LI186" s="18"/>
      <c r="LJ186" s="18"/>
      <c r="LK186" s="18"/>
      <c r="LL186" s="18"/>
      <c r="LM186" s="18"/>
      <c r="LN186" s="18"/>
      <c r="LO186" s="18"/>
      <c r="LP186" s="18"/>
      <c r="LQ186" s="18"/>
      <c r="LR186" s="18"/>
      <c r="LS186" s="18"/>
      <c r="LT186" s="18"/>
      <c r="LU186" s="18"/>
      <c r="LV186" s="18"/>
      <c r="LW186" s="18"/>
      <c r="LX186" s="18"/>
      <c r="LY186" s="18"/>
      <c r="LZ186" s="18"/>
      <c r="MA186" s="18"/>
      <c r="MB186" s="18"/>
      <c r="MC186" s="18"/>
      <c r="MD186" s="18"/>
      <c r="ME186" s="18"/>
      <c r="MF186" s="18"/>
      <c r="MG186" s="18"/>
      <c r="MH186" s="18"/>
      <c r="MI186" s="18"/>
      <c r="MJ186" s="18"/>
      <c r="MK186" s="18"/>
      <c r="ML186" s="18"/>
      <c r="MM186" s="18"/>
      <c r="MN186" s="18"/>
      <c r="MO186" s="18"/>
      <c r="MP186" s="18"/>
      <c r="MQ186" s="18"/>
      <c r="MR186" s="18"/>
      <c r="MS186" s="18"/>
      <c r="MT186" s="18"/>
      <c r="MU186" s="18"/>
      <c r="MV186" s="18"/>
      <c r="MW186" s="18"/>
      <c r="MX186" s="18"/>
      <c r="MY186" s="18"/>
      <c r="MZ186" s="18"/>
      <c r="NA186" s="18"/>
      <c r="NB186" s="18"/>
      <c r="NC186" s="18"/>
      <c r="ND186" s="18"/>
      <c r="NE186" s="18"/>
      <c r="NF186" s="18"/>
      <c r="NG186" s="18"/>
      <c r="NH186" s="18"/>
      <c r="NI186" s="18"/>
      <c r="NJ186" s="18"/>
      <c r="NK186" s="18"/>
      <c r="NL186" s="18"/>
      <c r="NM186" s="18"/>
      <c r="NN186" s="18"/>
      <c r="NO186" s="18"/>
      <c r="NP186" s="18"/>
      <c r="NQ186" s="18"/>
      <c r="NR186" s="18"/>
      <c r="NS186" s="18"/>
      <c r="NT186" s="18"/>
      <c r="NU186" s="18"/>
      <c r="NV186" s="18"/>
      <c r="NW186" s="18"/>
      <c r="NX186" s="18"/>
      <c r="NY186" s="18"/>
      <c r="NZ186" s="18"/>
      <c r="OA186" s="18"/>
      <c r="OB186" s="18"/>
      <c r="OC186" s="18"/>
      <c r="OD186" s="18"/>
      <c r="OE186" s="18"/>
      <c r="OF186" s="18"/>
      <c r="OG186" s="18"/>
      <c r="OH186" s="18"/>
      <c r="OI186" s="18"/>
      <c r="OJ186" s="18"/>
      <c r="OK186" s="18"/>
      <c r="OL186" s="18"/>
      <c r="OM186" s="18"/>
      <c r="ON186" s="18"/>
      <c r="OO186" s="18"/>
      <c r="OP186" s="18"/>
      <c r="OQ186" s="18"/>
      <c r="OR186" s="18"/>
      <c r="OS186" s="18"/>
      <c r="OT186" s="18"/>
      <c r="OU186" s="18"/>
      <c r="OV186" s="18"/>
      <c r="OW186" s="18"/>
      <c r="OX186" s="18"/>
      <c r="OY186" s="18"/>
      <c r="OZ186" s="18"/>
      <c r="PA186" s="18"/>
      <c r="PB186" s="18"/>
      <c r="PC186" s="18"/>
      <c r="PD186" s="18"/>
      <c r="PE186" s="18"/>
      <c r="PF186" s="18"/>
      <c r="PG186" s="18"/>
      <c r="PH186" s="18"/>
      <c r="PI186" s="18"/>
      <c r="PJ186" s="18"/>
      <c r="PK186" s="18"/>
      <c r="PL186" s="18"/>
      <c r="PM186" s="18"/>
      <c r="PN186" s="18"/>
      <c r="PO186" s="18"/>
      <c r="PP186" s="18"/>
      <c r="PQ186" s="18"/>
      <c r="PR186" s="18"/>
      <c r="PS186" s="18"/>
      <c r="PT186" s="18"/>
      <c r="PU186" s="18"/>
      <c r="PV186" s="18"/>
      <c r="PW186" s="18"/>
      <c r="PX186" s="18"/>
      <c r="PY186" s="18"/>
      <c r="PZ186" s="18"/>
      <c r="QA186" s="18"/>
      <c r="QB186" s="18"/>
      <c r="QC186" s="18"/>
      <c r="QD186" s="18"/>
      <c r="QE186" s="18"/>
      <c r="QF186" s="18"/>
      <c r="QG186" s="18"/>
      <c r="QH186" s="18"/>
      <c r="QI186" s="18"/>
      <c r="QJ186" s="18"/>
      <c r="QK186" s="18"/>
      <c r="QL186" s="18"/>
      <c r="QM186" s="18"/>
      <c r="QN186" s="18"/>
      <c r="QO186" s="18"/>
      <c r="QP186" s="18"/>
      <c r="QQ186" s="18"/>
      <c r="QR186" s="18"/>
      <c r="QS186" s="18"/>
      <c r="QT186" s="18"/>
      <c r="QU186" s="18"/>
      <c r="QV186" s="18"/>
      <c r="QW186" s="18"/>
      <c r="QX186" s="18"/>
      <c r="QY186" s="18"/>
      <c r="QZ186" s="18"/>
      <c r="RA186" s="18"/>
      <c r="RB186" s="18"/>
      <c r="RC186" s="18"/>
      <c r="RD186" s="18"/>
      <c r="RE186" s="18"/>
      <c r="RF186" s="18"/>
      <c r="RG186" s="18"/>
      <c r="RH186" s="18"/>
      <c r="RI186" s="18"/>
      <c r="RJ186" s="18"/>
      <c r="RK186" s="18"/>
      <c r="RL186" s="18"/>
      <c r="RM186" s="18"/>
      <c r="RN186" s="18"/>
      <c r="RO186" s="18"/>
      <c r="RP186" s="18"/>
      <c r="RQ186" s="18"/>
      <c r="RR186" s="18"/>
      <c r="RS186" s="18"/>
      <c r="RT186" s="18"/>
      <c r="RU186" s="18"/>
      <c r="RV186" s="18"/>
      <c r="RW186" s="18"/>
      <c r="RX186" s="18"/>
      <c r="RY186" s="18"/>
      <c r="RZ186" s="18"/>
      <c r="SA186" s="18"/>
      <c r="SB186" s="18"/>
      <c r="SC186" s="18"/>
      <c r="SD186" s="18"/>
      <c r="SE186" s="18"/>
      <c r="SF186" s="18"/>
      <c r="SG186" s="18"/>
      <c r="SH186" s="18"/>
      <c r="SI186" s="18"/>
      <c r="SJ186" s="18"/>
      <c r="SK186" s="18"/>
      <c r="SL186" s="18"/>
      <c r="SM186" s="18"/>
      <c r="SN186" s="18"/>
      <c r="SO186" s="18"/>
      <c r="SP186" s="18"/>
      <c r="SQ186" s="18"/>
      <c r="SR186" s="18"/>
      <c r="SS186" s="18"/>
      <c r="ST186" s="18"/>
      <c r="SU186" s="18"/>
      <c r="SV186" s="18"/>
      <c r="SW186" s="18"/>
      <c r="SX186" s="18"/>
      <c r="SY186" s="18"/>
      <c r="SZ186" s="18"/>
      <c r="TA186" s="18"/>
      <c r="TB186" s="18"/>
      <c r="TC186" s="18"/>
      <c r="TD186" s="18"/>
      <c r="TE186" s="18"/>
      <c r="TF186" s="18"/>
      <c r="TG186" s="18"/>
      <c r="TH186" s="18"/>
      <c r="TI186" s="18"/>
      <c r="TJ186" s="18"/>
      <c r="TK186" s="18"/>
      <c r="TL186" s="18"/>
      <c r="TM186" s="18"/>
      <c r="TN186" s="18"/>
      <c r="TO186" s="18"/>
      <c r="TP186" s="18"/>
      <c r="TQ186" s="18"/>
      <c r="TR186" s="18"/>
      <c r="TS186" s="18"/>
      <c r="TT186" s="18"/>
      <c r="TU186" s="18"/>
      <c r="TV186" s="18"/>
      <c r="TW186" s="18"/>
      <c r="TX186" s="18"/>
      <c r="TY186" s="18"/>
      <c r="TZ186" s="18"/>
      <c r="UA186" s="18"/>
      <c r="UB186" s="18"/>
      <c r="UC186" s="18"/>
      <c r="UD186" s="18"/>
      <c r="UE186" s="18"/>
      <c r="UF186" s="18"/>
      <c r="UG186" s="18"/>
      <c r="UH186" s="18"/>
      <c r="UI186" s="18"/>
      <c r="UJ186" s="18"/>
      <c r="UK186" s="18"/>
      <c r="UL186" s="18"/>
      <c r="UM186" s="18"/>
      <c r="UN186" s="18"/>
      <c r="UO186" s="18"/>
      <c r="UP186" s="18"/>
      <c r="UQ186" s="18"/>
      <c r="UR186" s="18"/>
      <c r="US186" s="18"/>
      <c r="UT186" s="18"/>
      <c r="UU186" s="18"/>
      <c r="UV186" s="18"/>
      <c r="UW186" s="18"/>
      <c r="UX186" s="18"/>
      <c r="UY186" s="18"/>
      <c r="UZ186" s="18"/>
      <c r="VA186" s="18"/>
      <c r="VB186" s="18"/>
      <c r="VC186" s="18"/>
      <c r="VD186" s="18"/>
      <c r="VE186" s="18"/>
      <c r="VF186" s="18"/>
      <c r="VG186" s="18"/>
      <c r="VH186" s="18"/>
      <c r="VI186" s="18"/>
      <c r="VJ186" s="18"/>
      <c r="VK186" s="18"/>
      <c r="VL186" s="18"/>
      <c r="VM186" s="18"/>
      <c r="VN186" s="18"/>
      <c r="VO186" s="18"/>
      <c r="VP186" s="18"/>
      <c r="VQ186" s="18"/>
      <c r="VR186" s="18"/>
      <c r="VS186" s="18"/>
      <c r="VT186" s="18"/>
      <c r="VU186" s="18"/>
      <c r="VV186" s="18"/>
      <c r="VW186" s="18"/>
      <c r="VX186" s="18"/>
      <c r="VY186" s="18"/>
      <c r="VZ186" s="18"/>
      <c r="WA186" s="18"/>
      <c r="WB186" s="18"/>
      <c r="WC186" s="18"/>
      <c r="WD186" s="18"/>
      <c r="WE186" s="18"/>
      <c r="WF186" s="18"/>
      <c r="WG186" s="18"/>
      <c r="WH186" s="18"/>
      <c r="WI186" s="18"/>
      <c r="WJ186" s="18"/>
      <c r="WK186" s="18"/>
      <c r="WL186" s="18"/>
      <c r="WM186" s="18"/>
      <c r="WN186" s="18"/>
      <c r="WO186" s="18"/>
      <c r="WP186" s="18"/>
      <c r="WQ186" s="18"/>
      <c r="WR186" s="18"/>
      <c r="WS186" s="18"/>
      <c r="WT186" s="18"/>
      <c r="WU186" s="18"/>
      <c r="WV186" s="18"/>
      <c r="WW186" s="18"/>
      <c r="WX186" s="18"/>
      <c r="WY186" s="18"/>
      <c r="WZ186" s="18"/>
      <c r="XA186" s="18"/>
      <c r="XB186" s="18"/>
      <c r="XC186" s="18"/>
      <c r="XD186" s="18"/>
      <c r="XE186" s="18"/>
      <c r="XF186" s="18"/>
      <c r="XG186" s="18"/>
      <c r="XH186" s="18"/>
      <c r="XI186" s="18"/>
      <c r="XJ186" s="18"/>
      <c r="XK186" s="18"/>
      <c r="XL186" s="18"/>
      <c r="XM186" s="18"/>
      <c r="XN186" s="18"/>
      <c r="XO186" s="18"/>
      <c r="XP186" s="18"/>
      <c r="XQ186" s="18"/>
      <c r="XR186" s="18"/>
      <c r="XS186" s="18"/>
      <c r="XT186" s="18"/>
      <c r="XU186" s="18"/>
      <c r="XV186" s="18"/>
      <c r="XW186" s="18"/>
      <c r="XX186" s="18"/>
      <c r="XY186" s="18"/>
      <c r="XZ186" s="18"/>
      <c r="YA186" s="18"/>
      <c r="YB186" s="18"/>
      <c r="YC186" s="18"/>
      <c r="YD186" s="18"/>
      <c r="YE186" s="18"/>
      <c r="YF186" s="18"/>
      <c r="YG186" s="18"/>
      <c r="YH186" s="18"/>
      <c r="YI186" s="18"/>
      <c r="YJ186" s="18"/>
      <c r="YK186" s="18"/>
      <c r="YL186" s="18"/>
      <c r="YM186" s="18"/>
      <c r="YN186" s="18"/>
      <c r="YO186" s="18"/>
      <c r="YP186" s="18"/>
      <c r="YQ186" s="18"/>
      <c r="YR186" s="18"/>
      <c r="YS186" s="18"/>
      <c r="YT186" s="18"/>
      <c r="YU186" s="18"/>
      <c r="YV186" s="18"/>
      <c r="YW186" s="18"/>
      <c r="YX186" s="18"/>
      <c r="YY186" s="18"/>
      <c r="YZ186" s="18"/>
      <c r="ZA186" s="18"/>
      <c r="ZB186" s="18"/>
      <c r="ZC186" s="18"/>
      <c r="ZD186" s="18"/>
      <c r="ZE186" s="18"/>
      <c r="ZF186" s="18"/>
      <c r="ZG186" s="18"/>
      <c r="ZH186" s="18"/>
      <c r="ZI186" s="18"/>
      <c r="ZJ186" s="18"/>
      <c r="ZK186" s="18"/>
      <c r="ZL186" s="18"/>
      <c r="ZM186" s="18"/>
      <c r="ZN186" s="18"/>
      <c r="ZO186" s="18"/>
      <c r="ZP186" s="18"/>
      <c r="ZQ186" s="18"/>
      <c r="ZR186" s="18"/>
      <c r="ZS186" s="18"/>
      <c r="ZT186" s="18"/>
      <c r="ZU186" s="18"/>
      <c r="ZV186" s="18"/>
      <c r="ZW186" s="18"/>
      <c r="ZX186" s="18"/>
      <c r="ZY186" s="18"/>
      <c r="ZZ186" s="18"/>
      <c r="AAA186" s="18"/>
      <c r="AAB186" s="18"/>
      <c r="AAC186" s="18"/>
      <c r="AAD186" s="18"/>
      <c r="AAE186" s="18"/>
      <c r="AAF186" s="18"/>
      <c r="AAG186" s="18"/>
      <c r="AAH186" s="18"/>
      <c r="AAI186" s="18"/>
      <c r="AAJ186" s="18"/>
      <c r="AAK186" s="18"/>
      <c r="AAL186" s="18"/>
      <c r="AAM186" s="18"/>
      <c r="AAN186" s="18"/>
      <c r="AAO186" s="18"/>
      <c r="AAP186" s="18"/>
      <c r="AAQ186" s="18"/>
      <c r="AAR186" s="18"/>
      <c r="AAS186" s="18"/>
      <c r="AAT186" s="18"/>
      <c r="AAU186" s="18"/>
      <c r="AAV186" s="18"/>
      <c r="AAW186" s="18"/>
      <c r="AAX186" s="18"/>
      <c r="AAY186" s="18"/>
      <c r="AAZ186" s="18"/>
      <c r="ABA186" s="18"/>
      <c r="ABB186" s="18"/>
      <c r="ABC186" s="18"/>
      <c r="ABD186" s="18"/>
      <c r="ABE186" s="18"/>
      <c r="ABF186" s="18"/>
      <c r="ABG186" s="18"/>
      <c r="ABH186" s="18"/>
      <c r="ABI186" s="18"/>
      <c r="ABJ186" s="18"/>
      <c r="ABK186" s="18"/>
      <c r="ABL186" s="18"/>
      <c r="ABM186" s="18"/>
      <c r="ABN186" s="18"/>
      <c r="ABO186" s="18"/>
      <c r="ABP186" s="18"/>
      <c r="ABQ186" s="18"/>
      <c r="ABR186" s="18"/>
      <c r="ABS186" s="18"/>
      <c r="ABT186" s="18"/>
      <c r="ABU186" s="18"/>
      <c r="ABV186" s="18"/>
      <c r="ABW186" s="18"/>
      <c r="ABX186" s="18"/>
      <c r="ABY186" s="18"/>
      <c r="ABZ186" s="18"/>
      <c r="ACA186" s="18"/>
      <c r="ACB186" s="18"/>
      <c r="ACC186" s="18"/>
      <c r="ACD186" s="18"/>
      <c r="ACE186" s="18"/>
      <c r="ACF186" s="18"/>
      <c r="ACG186" s="18"/>
      <c r="ACH186" s="18"/>
      <c r="ACI186" s="18"/>
      <c r="ACJ186" s="18"/>
      <c r="ACK186" s="18"/>
      <c r="ACL186" s="18"/>
      <c r="ACM186" s="18"/>
      <c r="ACN186" s="18"/>
      <c r="ACO186" s="18"/>
      <c r="ACP186" s="18"/>
      <c r="ACQ186" s="18"/>
      <c r="ACR186" s="18"/>
      <c r="ACS186" s="18"/>
      <c r="ACT186" s="18"/>
      <c r="ACU186" s="18"/>
      <c r="ACV186" s="18"/>
      <c r="ACW186" s="18"/>
      <c r="ACX186" s="18"/>
      <c r="ACY186" s="18"/>
      <c r="ACZ186" s="18"/>
      <c r="ADA186" s="18"/>
      <c r="ADB186" s="18"/>
      <c r="ADC186" s="18"/>
      <c r="ADD186" s="18"/>
      <c r="ADE186" s="18"/>
      <c r="ADF186" s="18"/>
      <c r="ADG186" s="18"/>
      <c r="ADH186" s="18"/>
      <c r="ADI186" s="18"/>
      <c r="ADJ186" s="18"/>
      <c r="ADK186" s="18"/>
      <c r="ADL186" s="18"/>
      <c r="ADM186" s="18"/>
      <c r="ADN186" s="18"/>
      <c r="ADO186" s="18"/>
      <c r="ADP186" s="18"/>
      <c r="ADQ186" s="18"/>
      <c r="ADR186" s="18"/>
      <c r="ADS186" s="18"/>
      <c r="ADT186" s="18"/>
      <c r="ADU186" s="18"/>
      <c r="ADV186" s="18"/>
      <c r="ADW186" s="18"/>
      <c r="ADX186" s="18"/>
      <c r="ADY186" s="18"/>
      <c r="ADZ186" s="18"/>
      <c r="AEA186" s="18"/>
      <c r="AEB186" s="18"/>
      <c r="AEC186" s="18"/>
      <c r="AED186" s="18"/>
      <c r="AEE186" s="18"/>
      <c r="AEF186" s="18"/>
      <c r="AEG186" s="18"/>
      <c r="AEH186" s="18"/>
      <c r="AEI186" s="18"/>
      <c r="AEJ186" s="18"/>
      <c r="AEK186" s="18"/>
      <c r="AEL186" s="18"/>
      <c r="AEM186" s="18"/>
      <c r="AEN186" s="18"/>
      <c r="AEO186" s="18"/>
      <c r="AEP186" s="18"/>
      <c r="AEQ186" s="18"/>
      <c r="AER186" s="18"/>
      <c r="AES186" s="18"/>
      <c r="AET186" s="18"/>
      <c r="AEU186" s="18"/>
      <c r="AEV186" s="18"/>
      <c r="AEW186" s="18"/>
      <c r="AEX186" s="18"/>
      <c r="AEY186" s="18"/>
      <c r="AEZ186" s="18"/>
      <c r="AFA186" s="18"/>
      <c r="AFB186" s="18"/>
      <c r="AFC186" s="18"/>
      <c r="AFD186" s="18"/>
      <c r="AFE186" s="18"/>
      <c r="AFF186" s="18"/>
      <c r="AFG186" s="18"/>
      <c r="AFH186" s="18"/>
      <c r="AFI186" s="18"/>
      <c r="AFJ186" s="18"/>
      <c r="AFK186" s="18"/>
      <c r="AFL186" s="18"/>
      <c r="AFM186" s="18"/>
      <c r="AFN186" s="18"/>
      <c r="AFO186" s="18"/>
      <c r="AFP186" s="18"/>
      <c r="AFQ186" s="18"/>
      <c r="AFR186" s="18"/>
      <c r="AFS186" s="18"/>
      <c r="AFT186" s="18"/>
      <c r="AFU186" s="18"/>
      <c r="AFV186" s="18"/>
      <c r="AFW186" s="18"/>
      <c r="AFX186" s="18"/>
      <c r="AFY186" s="18"/>
      <c r="AFZ186" s="18"/>
      <c r="AGA186" s="18"/>
      <c r="AGB186" s="18"/>
      <c r="AGC186" s="18"/>
      <c r="AGD186" s="18"/>
      <c r="AGE186" s="18"/>
      <c r="AGF186" s="18"/>
      <c r="AGG186" s="18"/>
      <c r="AGH186" s="18"/>
      <c r="AGI186" s="18"/>
      <c r="AGJ186" s="18"/>
      <c r="AGK186" s="18"/>
      <c r="AGL186" s="18"/>
      <c r="AGM186" s="18"/>
      <c r="AGN186" s="18"/>
      <c r="AGO186" s="18"/>
      <c r="AGP186" s="18"/>
      <c r="AGQ186" s="18"/>
      <c r="AGR186" s="18"/>
      <c r="AGS186" s="18"/>
      <c r="AGT186" s="18"/>
      <c r="AGU186" s="18"/>
      <c r="AGV186" s="18"/>
      <c r="AGW186" s="18"/>
      <c r="AGX186" s="18"/>
      <c r="AGY186" s="18"/>
      <c r="AGZ186" s="18"/>
      <c r="AHA186" s="18"/>
      <c r="AHB186" s="18"/>
      <c r="AHC186" s="18"/>
      <c r="AHD186" s="18"/>
      <c r="AHE186" s="18"/>
      <c r="AHF186" s="18"/>
      <c r="AHG186" s="18"/>
      <c r="AHH186" s="18"/>
      <c r="AHI186" s="18"/>
      <c r="AHJ186" s="18"/>
      <c r="AHK186" s="18"/>
      <c r="AHL186" s="18"/>
      <c r="AHM186" s="18"/>
      <c r="AHN186" s="18"/>
      <c r="AHO186" s="18"/>
      <c r="AHP186" s="18"/>
      <c r="AHQ186" s="18"/>
      <c r="AHR186" s="18"/>
      <c r="AHS186" s="18"/>
      <c r="AHT186" s="18"/>
      <c r="AHU186" s="18"/>
      <c r="AHV186" s="18"/>
      <c r="AHW186" s="18"/>
      <c r="AHX186" s="18"/>
      <c r="AHY186" s="18"/>
      <c r="AHZ186" s="18"/>
      <c r="AIA186" s="18"/>
      <c r="AIB186" s="18"/>
      <c r="AIC186" s="18"/>
      <c r="AID186" s="18"/>
      <c r="AIE186" s="18"/>
      <c r="AIF186" s="18"/>
      <c r="AIG186" s="18"/>
      <c r="AIH186" s="18"/>
      <c r="AII186" s="18"/>
      <c r="AIJ186" s="18"/>
      <c r="AIK186" s="18"/>
      <c r="AIL186" s="18"/>
      <c r="AIM186" s="18"/>
      <c r="AIN186" s="18"/>
      <c r="AIO186" s="18"/>
      <c r="AIP186" s="18"/>
      <c r="AIQ186" s="18"/>
      <c r="AIR186" s="18"/>
      <c r="AIS186" s="18"/>
      <c r="AIT186" s="18"/>
      <c r="AIU186" s="18"/>
      <c r="AIV186" s="18"/>
      <c r="AIW186" s="18"/>
      <c r="AIX186" s="18"/>
      <c r="AIY186" s="18"/>
      <c r="AIZ186" s="18"/>
      <c r="AJA186" s="18"/>
      <c r="AJB186" s="18"/>
      <c r="AJC186" s="18"/>
      <c r="AJD186" s="18"/>
      <c r="AJE186" s="18"/>
      <c r="AJF186" s="18"/>
      <c r="AJG186" s="18"/>
      <c r="AJH186" s="18"/>
      <c r="AJI186" s="18"/>
      <c r="AJJ186" s="18"/>
      <c r="AJK186" s="18"/>
      <c r="AJL186" s="18"/>
      <c r="AJM186" s="18"/>
      <c r="AJN186" s="18"/>
      <c r="AJO186" s="18"/>
      <c r="AJP186" s="18"/>
      <c r="AJQ186" s="18"/>
      <c r="AJR186" s="18"/>
      <c r="AJS186" s="18"/>
      <c r="AJT186" s="18"/>
      <c r="AJU186" s="18"/>
      <c r="AJV186" s="18"/>
      <c r="AJW186" s="18"/>
      <c r="AJX186" s="18"/>
      <c r="AJY186" s="18"/>
      <c r="AJZ186" s="18"/>
      <c r="AKA186" s="18"/>
      <c r="AKB186" s="18"/>
      <c r="AKC186" s="18"/>
      <c r="AKD186" s="18"/>
      <c r="AKE186" s="18"/>
      <c r="AKF186" s="18"/>
      <c r="AKG186" s="18"/>
      <c r="AKH186" s="18"/>
      <c r="AKI186" s="18"/>
      <c r="AKJ186" s="18"/>
      <c r="AKK186" s="18"/>
      <c r="AKL186" s="18"/>
      <c r="AKM186" s="18"/>
      <c r="AKN186" s="18"/>
      <c r="AKO186" s="18"/>
      <c r="AKP186" s="18"/>
      <c r="AKQ186" s="18"/>
      <c r="AKR186" s="18"/>
      <c r="AKS186" s="18"/>
      <c r="AKT186" s="18"/>
      <c r="AKU186" s="18"/>
      <c r="AKV186" s="18"/>
      <c r="AKW186" s="18"/>
      <c r="AKX186" s="18"/>
      <c r="AKY186" s="18"/>
      <c r="AKZ186" s="18"/>
      <c r="ALA186" s="18"/>
      <c r="ALB186" s="18"/>
      <c r="ALC186" s="18"/>
      <c r="ALD186" s="18"/>
      <c r="ALE186" s="18"/>
      <c r="ALF186" s="18"/>
      <c r="ALG186" s="18"/>
      <c r="ALH186" s="18"/>
      <c r="ALI186" s="18"/>
      <c r="ALJ186" s="18"/>
      <c r="ALK186" s="18"/>
      <c r="ALL186" s="18"/>
      <c r="ALM186" s="18"/>
      <c r="ALN186" s="18"/>
      <c r="ALO186" s="18"/>
      <c r="ALP186" s="18"/>
      <c r="ALQ186" s="18"/>
      <c r="ALR186" s="18"/>
      <c r="ALS186" s="18"/>
      <c r="ALT186" s="18"/>
      <c r="ALU186" s="18"/>
      <c r="ALV186" s="18"/>
      <c r="ALW186" s="18"/>
      <c r="ALX186" s="18"/>
      <c r="ALY186" s="18"/>
      <c r="ALZ186" s="18"/>
      <c r="AMA186" s="18"/>
      <c r="AMB186" s="18"/>
      <c r="AMC186" s="18"/>
      <c r="AMD186" s="18"/>
      <c r="AME186" s="18"/>
      <c r="AMF186" s="18"/>
      <c r="AMG186" s="18"/>
      <c r="AMH186" s="18"/>
      <c r="AMI186" s="18"/>
      <c r="AMJ186" s="18"/>
      <c r="AMK186" s="18"/>
      <c r="AML186" s="18"/>
      <c r="AMM186" s="18"/>
      <c r="AMN186" s="18"/>
      <c r="AMO186" s="18"/>
      <c r="AMP186" s="18"/>
      <c r="AMQ186" s="18"/>
      <c r="AMR186" s="18"/>
      <c r="AMS186" s="18"/>
      <c r="AMT186" s="18"/>
      <c r="AMU186" s="18"/>
      <c r="AMV186" s="18"/>
      <c r="AMW186" s="18"/>
      <c r="AMX186" s="18"/>
      <c r="AMY186" s="18"/>
      <c r="AMZ186" s="18"/>
      <c r="ANA186" s="18"/>
      <c r="ANB186" s="18"/>
      <c r="ANC186" s="18"/>
      <c r="AND186" s="18"/>
      <c r="ANE186" s="18"/>
      <c r="ANF186" s="18"/>
      <c r="ANG186" s="18"/>
      <c r="ANH186" s="18"/>
      <c r="ANI186" s="18"/>
      <c r="ANJ186" s="18"/>
      <c r="ANK186" s="18"/>
      <c r="ANL186" s="18"/>
      <c r="ANM186" s="18"/>
      <c r="ANN186" s="18"/>
      <c r="ANO186" s="18"/>
      <c r="ANP186" s="18"/>
      <c r="ANQ186" s="18"/>
      <c r="ANR186" s="18"/>
      <c r="ANS186" s="18"/>
      <c r="ANT186" s="18"/>
      <c r="ANU186" s="18"/>
      <c r="ANV186" s="18"/>
      <c r="ANW186" s="18"/>
      <c r="ANX186" s="18"/>
      <c r="ANY186" s="18"/>
      <c r="ANZ186" s="18"/>
      <c r="AOA186" s="18"/>
      <c r="AOB186" s="18"/>
      <c r="AOC186" s="18"/>
      <c r="AOD186" s="18"/>
      <c r="AOE186" s="18"/>
      <c r="AOF186" s="18"/>
      <c r="AOG186" s="18"/>
      <c r="AOH186" s="18"/>
      <c r="AOI186" s="18"/>
      <c r="AOJ186" s="18"/>
      <c r="AOK186" s="18"/>
      <c r="AOL186" s="18"/>
      <c r="AOM186" s="18"/>
      <c r="AON186" s="18"/>
      <c r="AOO186" s="18"/>
      <c r="AOP186" s="18"/>
      <c r="AOQ186" s="18"/>
      <c r="AOR186" s="18"/>
      <c r="AOS186" s="18"/>
      <c r="AOT186" s="18"/>
      <c r="AOU186" s="18"/>
      <c r="AOV186" s="18"/>
      <c r="AOW186" s="18"/>
      <c r="AOX186" s="18"/>
      <c r="AOY186" s="18"/>
      <c r="AOZ186" s="18"/>
      <c r="APA186" s="18"/>
      <c r="APB186" s="18"/>
      <c r="APC186" s="18"/>
      <c r="APD186" s="18"/>
      <c r="APE186" s="18"/>
      <c r="APF186" s="18"/>
      <c r="APG186" s="18"/>
      <c r="APH186" s="18"/>
      <c r="API186" s="18"/>
      <c r="APJ186" s="18"/>
      <c r="APK186" s="18"/>
      <c r="APL186" s="18"/>
      <c r="APM186" s="18"/>
      <c r="APN186" s="18"/>
      <c r="APO186" s="18"/>
      <c r="APP186" s="18"/>
      <c r="APQ186" s="18"/>
      <c r="APR186" s="18"/>
      <c r="APS186" s="18"/>
      <c r="APT186" s="18"/>
      <c r="APU186" s="18"/>
      <c r="APV186" s="18"/>
      <c r="APW186" s="18"/>
      <c r="APX186" s="18"/>
      <c r="APY186" s="18"/>
      <c r="APZ186" s="18"/>
      <c r="AQA186" s="18"/>
      <c r="AQB186" s="18"/>
      <c r="AQC186" s="18"/>
      <c r="AQD186" s="18"/>
      <c r="AQE186" s="18"/>
      <c r="AQF186" s="18"/>
      <c r="AQG186" s="18"/>
      <c r="AQH186" s="18"/>
      <c r="AQI186" s="18"/>
      <c r="AQJ186" s="18"/>
      <c r="AQK186" s="18"/>
      <c r="AQL186" s="18"/>
      <c r="AQM186" s="18"/>
      <c r="AQN186" s="18"/>
      <c r="AQO186" s="18"/>
      <c r="AQP186" s="18"/>
      <c r="AQQ186" s="18"/>
      <c r="AQR186" s="18"/>
      <c r="AQS186" s="18"/>
      <c r="AQT186" s="18"/>
      <c r="AQU186" s="18"/>
      <c r="AQV186" s="18"/>
      <c r="AQW186" s="18"/>
      <c r="AQX186" s="18"/>
      <c r="AQY186" s="18"/>
      <c r="AQZ186" s="18"/>
      <c r="ARA186" s="18"/>
      <c r="ARB186" s="18"/>
      <c r="ARC186" s="18"/>
      <c r="ARD186" s="18"/>
      <c r="ARE186" s="18"/>
      <c r="ARF186" s="18"/>
      <c r="ARG186" s="18"/>
      <c r="ARH186" s="18"/>
      <c r="ARI186" s="18"/>
      <c r="ARJ186" s="18"/>
      <c r="ARK186" s="18"/>
      <c r="ARL186" s="18"/>
      <c r="ARM186" s="18"/>
      <c r="ARN186" s="18"/>
      <c r="ARO186" s="18"/>
      <c r="ARP186" s="18"/>
      <c r="ARQ186" s="18"/>
      <c r="ARR186" s="18"/>
      <c r="ARS186" s="18"/>
      <c r="ART186" s="18"/>
      <c r="ARU186" s="18"/>
      <c r="ARV186" s="18"/>
      <c r="ARW186" s="18"/>
      <c r="ARX186" s="18"/>
      <c r="ARY186" s="18"/>
      <c r="ARZ186" s="18"/>
      <c r="ASA186" s="18"/>
      <c r="ASB186" s="18"/>
      <c r="ASC186" s="18"/>
      <c r="ASD186" s="18"/>
      <c r="ASE186" s="18"/>
      <c r="ASF186" s="18"/>
      <c r="ASG186" s="18"/>
      <c r="ASH186" s="18"/>
      <c r="ASI186" s="18"/>
      <c r="ASJ186" s="18"/>
      <c r="ASK186" s="18"/>
      <c r="ASL186" s="18"/>
      <c r="ASM186" s="18"/>
      <c r="ASN186" s="18"/>
      <c r="ASO186" s="18"/>
      <c r="ASP186" s="18"/>
      <c r="ASQ186" s="18"/>
      <c r="ASR186" s="18"/>
      <c r="ASS186" s="18"/>
      <c r="AST186" s="18"/>
      <c r="ASU186" s="18"/>
      <c r="ASV186" s="18"/>
      <c r="ASW186" s="18"/>
      <c r="ASX186" s="18"/>
      <c r="ASY186" s="18"/>
      <c r="ASZ186" s="18"/>
      <c r="ATA186" s="18"/>
      <c r="ATB186" s="18"/>
      <c r="ATC186" s="18"/>
      <c r="ATD186" s="18"/>
      <c r="ATE186" s="18"/>
      <c r="ATF186" s="18"/>
      <c r="ATG186" s="18"/>
      <c r="ATH186" s="18"/>
      <c r="ATI186" s="18"/>
      <c r="ATJ186" s="18"/>
      <c r="ATK186" s="18"/>
      <c r="ATL186" s="18"/>
      <c r="ATM186" s="18"/>
      <c r="ATN186" s="18"/>
      <c r="ATO186" s="18"/>
      <c r="ATP186" s="18"/>
      <c r="ATQ186" s="18"/>
      <c r="ATR186" s="18"/>
      <c r="ATS186" s="18"/>
      <c r="ATT186" s="18"/>
      <c r="ATU186" s="18"/>
      <c r="ATV186" s="18"/>
      <c r="ATW186" s="18"/>
      <c r="ATX186" s="18"/>
      <c r="ATY186" s="18"/>
      <c r="ATZ186" s="18"/>
      <c r="AUA186" s="18"/>
      <c r="AUB186" s="18"/>
      <c r="AUC186" s="18"/>
      <c r="AUD186" s="18"/>
      <c r="AUE186" s="18"/>
      <c r="AUF186" s="18"/>
      <c r="AUG186" s="18"/>
      <c r="AUH186" s="18"/>
      <c r="AUI186" s="18"/>
      <c r="AUJ186" s="18"/>
      <c r="AUK186" s="18"/>
      <c r="AUL186" s="18"/>
      <c r="AUM186" s="18"/>
      <c r="AUN186" s="18"/>
      <c r="AUO186" s="18"/>
      <c r="AUP186" s="18"/>
      <c r="AUQ186" s="18"/>
      <c r="AUR186" s="18"/>
      <c r="AUS186" s="18"/>
      <c r="AUT186" s="18"/>
      <c r="AUU186" s="18"/>
      <c r="AUV186" s="18"/>
      <c r="AUW186" s="18"/>
      <c r="AUX186" s="18"/>
      <c r="AUY186" s="18"/>
      <c r="AUZ186" s="18"/>
      <c r="AVA186" s="18"/>
      <c r="AVB186" s="18"/>
      <c r="AVC186" s="18"/>
      <c r="AVD186" s="18"/>
      <c r="AVE186" s="18"/>
      <c r="AVF186" s="18"/>
      <c r="AVG186" s="18"/>
      <c r="AVH186" s="18"/>
      <c r="AVI186" s="18"/>
      <c r="AVJ186" s="18"/>
      <c r="AVK186" s="18"/>
      <c r="AVL186" s="18"/>
      <c r="AVM186" s="18"/>
      <c r="AVN186" s="18"/>
      <c r="AVO186" s="18"/>
      <c r="AVP186" s="18"/>
      <c r="AVQ186" s="18"/>
      <c r="AVR186" s="18"/>
      <c r="AVS186" s="18"/>
      <c r="AVT186" s="18"/>
      <c r="AVU186" s="18"/>
      <c r="AVV186" s="18"/>
      <c r="AVW186" s="18"/>
      <c r="AVX186" s="18"/>
      <c r="AVY186" s="18"/>
      <c r="AVZ186" s="18"/>
      <c r="AWA186" s="18"/>
      <c r="AWB186" s="18"/>
      <c r="AWC186" s="18"/>
      <c r="AWD186" s="18"/>
      <c r="AWE186" s="18"/>
      <c r="AWF186" s="18"/>
      <c r="AWG186" s="18"/>
      <c r="AWH186" s="18"/>
      <c r="AWI186" s="18"/>
      <c r="AWJ186" s="18"/>
      <c r="AWK186" s="18"/>
      <c r="AWL186" s="18"/>
      <c r="AWM186" s="18"/>
      <c r="AWN186" s="18"/>
      <c r="AWO186" s="18"/>
      <c r="AWP186" s="18"/>
      <c r="AWQ186" s="18"/>
      <c r="AWR186" s="18"/>
      <c r="AWS186" s="18"/>
      <c r="AWT186" s="18"/>
      <c r="AWU186" s="18"/>
      <c r="AWV186" s="18"/>
      <c r="AWW186" s="18"/>
      <c r="AWX186" s="18"/>
      <c r="AWY186" s="18"/>
      <c r="AWZ186" s="18"/>
      <c r="AXA186" s="18"/>
      <c r="AXB186" s="18"/>
      <c r="AXC186" s="18"/>
      <c r="AXD186" s="18"/>
      <c r="AXE186" s="18"/>
      <c r="AXF186" s="18"/>
      <c r="AXG186" s="18"/>
      <c r="AXH186" s="18"/>
      <c r="AXI186" s="18"/>
      <c r="AXJ186" s="18"/>
      <c r="AXK186" s="18"/>
      <c r="AXL186" s="18"/>
      <c r="AXM186" s="18"/>
      <c r="AXN186" s="18"/>
      <c r="AXO186" s="18"/>
      <c r="AXP186" s="18"/>
      <c r="AXQ186" s="18"/>
      <c r="AXR186" s="18"/>
      <c r="AXS186" s="18"/>
      <c r="AXT186" s="18"/>
      <c r="AXU186" s="18"/>
      <c r="AXV186" s="18"/>
      <c r="AXW186" s="18"/>
      <c r="AXX186" s="18"/>
      <c r="AXY186" s="18"/>
      <c r="AXZ186" s="18"/>
      <c r="AYA186" s="18"/>
      <c r="AYB186" s="18"/>
      <c r="AYC186" s="18"/>
      <c r="AYD186" s="18"/>
      <c r="AYE186" s="18"/>
      <c r="AYF186" s="18"/>
      <c r="AYG186" s="18"/>
      <c r="AYH186" s="18"/>
      <c r="AYI186" s="18"/>
      <c r="AYJ186" s="18"/>
      <c r="AYK186" s="18"/>
      <c r="AYL186" s="18"/>
      <c r="AYM186" s="18"/>
      <c r="AYN186" s="18"/>
      <c r="AYO186" s="18"/>
      <c r="AYP186" s="18"/>
      <c r="AYQ186" s="18"/>
      <c r="AYR186" s="18"/>
      <c r="AYS186" s="18"/>
      <c r="AYT186" s="18"/>
      <c r="AYU186" s="18"/>
      <c r="AYV186" s="18"/>
      <c r="AYW186" s="18"/>
      <c r="AYX186" s="18"/>
      <c r="AYY186" s="18"/>
      <c r="AYZ186" s="18"/>
      <c r="AZA186" s="18"/>
      <c r="AZB186" s="18"/>
      <c r="AZC186" s="18"/>
      <c r="AZD186" s="18"/>
      <c r="AZE186" s="18"/>
      <c r="AZF186" s="18"/>
      <c r="AZG186" s="18"/>
      <c r="AZH186" s="18"/>
      <c r="AZI186" s="18"/>
      <c r="AZJ186" s="18"/>
      <c r="AZK186" s="18"/>
      <c r="AZL186" s="18"/>
      <c r="AZM186" s="18"/>
      <c r="AZN186" s="18"/>
      <c r="AZO186" s="18"/>
      <c r="AZP186" s="18"/>
      <c r="AZQ186" s="18"/>
      <c r="AZR186" s="18"/>
      <c r="AZS186" s="18"/>
      <c r="AZT186" s="18"/>
      <c r="AZU186" s="18"/>
      <c r="AZV186" s="18"/>
      <c r="AZW186" s="18"/>
      <c r="AZX186" s="18"/>
      <c r="AZY186" s="18"/>
      <c r="AZZ186" s="18"/>
      <c r="BAA186" s="18"/>
      <c r="BAB186" s="18"/>
      <c r="BAC186" s="18"/>
      <c r="BAD186" s="18"/>
      <c r="BAE186" s="18"/>
      <c r="BAF186" s="18"/>
      <c r="BAG186" s="18"/>
      <c r="BAH186" s="18"/>
      <c r="BAI186" s="18"/>
      <c r="BAJ186" s="18"/>
      <c r="BAK186" s="18"/>
      <c r="BAL186" s="18"/>
      <c r="BAM186" s="18"/>
      <c r="BAN186" s="18"/>
      <c r="BAO186" s="18"/>
      <c r="BAP186" s="18"/>
      <c r="BAQ186" s="18"/>
      <c r="BAR186" s="18"/>
      <c r="BAS186" s="18"/>
      <c r="BAT186" s="18"/>
      <c r="BAU186" s="18"/>
      <c r="BAV186" s="18"/>
      <c r="BAW186" s="18"/>
      <c r="BAX186" s="18"/>
      <c r="BAY186" s="18"/>
      <c r="BAZ186" s="18"/>
      <c r="BBA186" s="18"/>
      <c r="BBB186" s="18"/>
      <c r="BBC186" s="18"/>
      <c r="BBD186" s="18"/>
      <c r="BBE186" s="18"/>
      <c r="BBF186" s="18"/>
      <c r="BBG186" s="18"/>
      <c r="BBH186" s="18"/>
      <c r="BBI186" s="18"/>
      <c r="BBJ186" s="18"/>
      <c r="BBK186" s="18"/>
      <c r="BBL186" s="18"/>
      <c r="BBM186" s="18"/>
      <c r="BBN186" s="18"/>
      <c r="BBO186" s="18"/>
      <c r="BBP186" s="18"/>
      <c r="BBQ186" s="18"/>
      <c r="BBR186" s="18"/>
      <c r="BBS186" s="18"/>
      <c r="BBT186" s="18"/>
      <c r="BBU186" s="18"/>
      <c r="BBV186" s="18"/>
      <c r="BBW186" s="18"/>
      <c r="BBX186" s="18"/>
      <c r="BBY186" s="18"/>
      <c r="BBZ186" s="18"/>
      <c r="BCA186" s="18"/>
      <c r="BCB186" s="18"/>
      <c r="BCC186" s="18"/>
      <c r="BCD186" s="18"/>
      <c r="BCE186" s="18"/>
      <c r="BCF186" s="18"/>
      <c r="BCG186" s="18"/>
      <c r="BCH186" s="18"/>
      <c r="BCI186" s="18"/>
      <c r="BCJ186" s="18"/>
      <c r="BCK186" s="18"/>
      <c r="BCL186" s="18"/>
      <c r="BCM186" s="18"/>
      <c r="BCN186" s="18"/>
      <c r="BCO186" s="18"/>
      <c r="BCP186" s="18"/>
      <c r="BCQ186" s="18"/>
      <c r="BCR186" s="18"/>
      <c r="BCS186" s="18"/>
      <c r="BCT186" s="18"/>
      <c r="BCU186" s="18"/>
      <c r="BCV186" s="18"/>
      <c r="BCW186" s="18"/>
      <c r="BCX186" s="18"/>
      <c r="BCY186" s="18"/>
      <c r="BCZ186" s="18"/>
      <c r="BDA186" s="18"/>
      <c r="BDB186" s="18"/>
      <c r="BDC186" s="18"/>
      <c r="BDD186" s="18"/>
      <c r="BDE186" s="18"/>
      <c r="BDF186" s="18"/>
      <c r="BDG186" s="18"/>
      <c r="BDH186" s="18"/>
      <c r="BDI186" s="18"/>
      <c r="BDJ186" s="18"/>
      <c r="BDK186" s="18"/>
      <c r="BDL186" s="18"/>
      <c r="BDM186" s="18"/>
      <c r="BDN186" s="18"/>
      <c r="BDO186" s="18"/>
      <c r="BDP186" s="18"/>
      <c r="BDQ186" s="18"/>
      <c r="BDR186" s="18"/>
      <c r="BDS186" s="18"/>
      <c r="BDT186" s="18"/>
      <c r="BDU186" s="18"/>
      <c r="BDV186" s="18"/>
      <c r="BDW186" s="18"/>
      <c r="BDX186" s="18"/>
      <c r="BDY186" s="18"/>
      <c r="BDZ186" s="18"/>
      <c r="BEA186" s="18"/>
      <c r="BEB186" s="18"/>
      <c r="BEC186" s="18"/>
      <c r="BED186" s="18"/>
      <c r="BEE186" s="18"/>
      <c r="BEF186" s="18"/>
      <c r="BEG186" s="18"/>
      <c r="BEH186" s="18"/>
      <c r="BEI186" s="18"/>
      <c r="BEJ186" s="18"/>
      <c r="BEK186" s="18"/>
      <c r="BEL186" s="18"/>
      <c r="BEM186" s="18"/>
      <c r="BEN186" s="18"/>
      <c r="BEO186" s="18"/>
      <c r="BEP186" s="18"/>
      <c r="BEQ186" s="18"/>
      <c r="BER186" s="18"/>
      <c r="BES186" s="18"/>
      <c r="BET186" s="18"/>
      <c r="BEU186" s="18"/>
      <c r="BEV186" s="18"/>
      <c r="BEW186" s="18"/>
      <c r="BEX186" s="18"/>
      <c r="BEY186" s="18"/>
      <c r="BEZ186" s="18"/>
      <c r="BFA186" s="18"/>
      <c r="BFB186" s="18"/>
      <c r="BFC186" s="18"/>
      <c r="BFD186" s="18"/>
      <c r="BFE186" s="18"/>
      <c r="BFF186" s="18"/>
      <c r="BFG186" s="18"/>
      <c r="BFH186" s="18"/>
      <c r="BFI186" s="18"/>
      <c r="BFJ186" s="18"/>
      <c r="BFK186" s="18"/>
      <c r="BFL186" s="18"/>
      <c r="BFM186" s="18"/>
      <c r="BFN186" s="18"/>
      <c r="BFO186" s="18"/>
      <c r="BFP186" s="18"/>
      <c r="BFQ186" s="18"/>
      <c r="BFR186" s="18"/>
      <c r="BFS186" s="18"/>
      <c r="BFT186" s="18"/>
      <c r="BFU186" s="18"/>
      <c r="BFV186" s="18"/>
      <c r="BFW186" s="18"/>
      <c r="BFX186" s="18"/>
      <c r="BFY186" s="18"/>
      <c r="BFZ186" s="18"/>
      <c r="BGA186" s="18"/>
      <c r="BGB186" s="18"/>
      <c r="BGC186" s="18"/>
      <c r="BGD186" s="18"/>
      <c r="BGE186" s="18"/>
      <c r="BGF186" s="18"/>
      <c r="BGG186" s="18"/>
      <c r="BGH186" s="18"/>
      <c r="BGI186" s="18"/>
      <c r="BGJ186" s="18"/>
      <c r="BGK186" s="18"/>
      <c r="BGL186" s="18"/>
      <c r="BGM186" s="18"/>
      <c r="BGN186" s="18"/>
      <c r="BGO186" s="18"/>
      <c r="BGP186" s="18"/>
      <c r="BGQ186" s="18"/>
      <c r="BGR186" s="18"/>
      <c r="BGS186" s="18"/>
      <c r="BGT186" s="18"/>
      <c r="BGU186" s="18"/>
      <c r="BGV186" s="18"/>
      <c r="BGW186" s="18"/>
      <c r="BGX186" s="18"/>
      <c r="BGY186" s="18"/>
      <c r="BGZ186" s="18"/>
      <c r="BHA186" s="18"/>
      <c r="BHB186" s="18"/>
      <c r="BHC186" s="18"/>
      <c r="BHD186" s="18"/>
      <c r="BHE186" s="18"/>
      <c r="BHF186" s="18"/>
      <c r="BHG186" s="18"/>
      <c r="BHH186" s="18"/>
      <c r="BHI186" s="18"/>
      <c r="BHJ186" s="18"/>
      <c r="BHK186" s="18"/>
      <c r="BHL186" s="18"/>
      <c r="BHM186" s="18"/>
      <c r="BHN186" s="18"/>
      <c r="BHO186" s="18"/>
      <c r="BHP186" s="18"/>
      <c r="BHQ186" s="18"/>
      <c r="BHR186" s="18"/>
      <c r="BHS186" s="18"/>
      <c r="BHT186" s="18"/>
      <c r="BHU186" s="18"/>
      <c r="BHV186" s="18"/>
      <c r="BHW186" s="18"/>
      <c r="BHX186" s="18"/>
      <c r="BHY186" s="18"/>
      <c r="BHZ186" s="18"/>
      <c r="BIA186" s="18"/>
      <c r="BIB186" s="18"/>
      <c r="BIC186" s="18"/>
      <c r="BID186" s="18"/>
      <c r="BIE186" s="18"/>
      <c r="BIF186" s="18"/>
      <c r="BIG186" s="18"/>
      <c r="BIH186" s="18"/>
      <c r="BII186" s="18"/>
      <c r="BIJ186" s="18"/>
      <c r="BIK186" s="18"/>
      <c r="BIL186" s="18"/>
      <c r="BIM186" s="18"/>
      <c r="BIN186" s="18"/>
      <c r="BIO186" s="18"/>
      <c r="BIP186" s="18"/>
      <c r="BIQ186" s="18"/>
      <c r="BIR186" s="18"/>
      <c r="BIS186" s="18"/>
      <c r="BIT186" s="18"/>
      <c r="BIU186" s="18"/>
      <c r="BIV186" s="18"/>
      <c r="BIW186" s="18"/>
      <c r="BIX186" s="18"/>
      <c r="BIY186" s="18"/>
      <c r="BIZ186" s="18"/>
      <c r="BJA186" s="18"/>
      <c r="BJB186" s="18"/>
      <c r="BJC186" s="18"/>
      <c r="BJD186" s="18"/>
      <c r="BJE186" s="18"/>
      <c r="BJF186" s="18"/>
      <c r="BJG186" s="18"/>
      <c r="BJH186" s="18"/>
      <c r="BJI186" s="18"/>
      <c r="BJJ186" s="18"/>
      <c r="BJK186" s="18"/>
      <c r="BJL186" s="18"/>
      <c r="BJM186" s="18"/>
      <c r="BJN186" s="18"/>
      <c r="BJO186" s="18"/>
      <c r="BJP186" s="18"/>
      <c r="BJQ186" s="18"/>
      <c r="BJR186" s="18"/>
      <c r="BJS186" s="18"/>
      <c r="BJT186" s="18"/>
      <c r="BJU186" s="18"/>
      <c r="BJV186" s="18"/>
      <c r="BJW186" s="18"/>
      <c r="BJX186" s="18"/>
      <c r="BJY186" s="18"/>
      <c r="BJZ186" s="18"/>
      <c r="BKA186" s="18"/>
      <c r="BKB186" s="18"/>
      <c r="BKC186" s="18"/>
      <c r="BKD186" s="18"/>
      <c r="BKE186" s="18"/>
      <c r="BKF186" s="18"/>
      <c r="BKG186" s="18"/>
      <c r="BKH186" s="18"/>
      <c r="BKI186" s="18"/>
      <c r="BKJ186" s="18"/>
      <c r="BKK186" s="18"/>
      <c r="BKL186" s="18"/>
      <c r="BKM186" s="18"/>
      <c r="BKN186" s="18"/>
      <c r="BKO186" s="18"/>
      <c r="BKP186" s="18"/>
      <c r="BKQ186" s="18"/>
      <c r="BKR186" s="18"/>
      <c r="BKS186" s="18"/>
      <c r="BKT186" s="18"/>
      <c r="BKU186" s="18"/>
      <c r="BKV186" s="18"/>
      <c r="BKW186" s="18"/>
      <c r="BKX186" s="18"/>
      <c r="BKY186" s="18"/>
      <c r="BKZ186" s="18"/>
      <c r="BLA186" s="18"/>
      <c r="BLB186" s="18"/>
      <c r="BLC186" s="18"/>
      <c r="BLD186" s="18"/>
      <c r="BLE186" s="18"/>
      <c r="BLF186" s="18"/>
      <c r="BLG186" s="18"/>
      <c r="BLH186" s="18"/>
      <c r="BLI186" s="18"/>
      <c r="BLJ186" s="18"/>
      <c r="BLK186" s="18"/>
      <c r="BLL186" s="18"/>
      <c r="BLM186" s="18"/>
      <c r="BLN186" s="18"/>
      <c r="BLO186" s="18"/>
      <c r="BLP186" s="18"/>
      <c r="BLQ186" s="18"/>
      <c r="BLR186" s="18"/>
      <c r="BLS186" s="18"/>
      <c r="BLT186" s="18"/>
      <c r="BLU186" s="18"/>
      <c r="BLV186" s="18"/>
      <c r="BLW186" s="18"/>
      <c r="BLX186" s="18"/>
      <c r="BLY186" s="18"/>
      <c r="BLZ186" s="18"/>
      <c r="BMA186" s="18"/>
      <c r="BMB186" s="18"/>
      <c r="BMC186" s="18"/>
      <c r="BMD186" s="18"/>
      <c r="BME186" s="18"/>
      <c r="BMF186" s="18"/>
      <c r="BMG186" s="18"/>
      <c r="BMH186" s="18"/>
      <c r="BMI186" s="18"/>
      <c r="BMJ186" s="18"/>
      <c r="BMK186" s="18"/>
      <c r="BML186" s="18"/>
      <c r="BMM186" s="18"/>
      <c r="BMN186" s="18"/>
      <c r="BMO186" s="18"/>
      <c r="BMP186" s="18"/>
      <c r="BMQ186" s="18"/>
      <c r="BMR186" s="18"/>
      <c r="BMS186" s="18"/>
      <c r="BMT186" s="18"/>
      <c r="BMU186" s="18"/>
      <c r="BMV186" s="18"/>
      <c r="BMW186" s="18"/>
      <c r="BMX186" s="18"/>
      <c r="BMY186" s="18"/>
      <c r="BMZ186" s="18"/>
      <c r="BNA186" s="18"/>
      <c r="BNB186" s="18"/>
      <c r="BNC186" s="18"/>
      <c r="BND186" s="18"/>
      <c r="BNE186" s="18"/>
      <c r="BNF186" s="18"/>
      <c r="BNG186" s="18"/>
      <c r="BNH186" s="18"/>
      <c r="BNI186" s="18"/>
      <c r="BNJ186" s="18"/>
      <c r="BNK186" s="18"/>
      <c r="BNL186" s="18"/>
      <c r="BNM186" s="18"/>
      <c r="BNN186" s="18"/>
      <c r="BNO186" s="18"/>
      <c r="BNP186" s="18"/>
      <c r="BNQ186" s="18"/>
      <c r="BNR186" s="18"/>
      <c r="BNS186" s="18"/>
      <c r="BNT186" s="18"/>
      <c r="BNU186" s="18"/>
      <c r="BNV186" s="18"/>
      <c r="BNW186" s="18"/>
      <c r="BNX186" s="18"/>
      <c r="BNY186" s="18"/>
      <c r="BNZ186" s="18"/>
      <c r="BOA186" s="18"/>
      <c r="BOB186" s="18"/>
      <c r="BOC186" s="18"/>
      <c r="BOD186" s="18"/>
      <c r="BOE186" s="18"/>
      <c r="BOF186" s="18"/>
      <c r="BOG186" s="18"/>
      <c r="BOH186" s="18"/>
      <c r="BOI186" s="18"/>
      <c r="BOJ186" s="18"/>
      <c r="BOK186" s="18"/>
      <c r="BOL186" s="18"/>
      <c r="BOM186" s="18"/>
      <c r="BON186" s="18"/>
      <c r="BOO186" s="18"/>
      <c r="BOP186" s="18"/>
      <c r="BOQ186" s="18"/>
      <c r="BOR186" s="18"/>
      <c r="BOS186" s="18"/>
      <c r="BOT186" s="18"/>
      <c r="BOU186" s="18"/>
      <c r="BOV186" s="18"/>
      <c r="BOW186" s="18"/>
      <c r="BOX186" s="18"/>
      <c r="BOY186" s="18"/>
      <c r="BOZ186" s="18"/>
      <c r="BPA186" s="18"/>
      <c r="BPB186" s="18"/>
      <c r="BPC186" s="18"/>
      <c r="BPD186" s="18"/>
      <c r="BPE186" s="18"/>
      <c r="BPF186" s="18"/>
      <c r="BPG186" s="18"/>
      <c r="BPH186" s="18"/>
      <c r="BPI186" s="18"/>
      <c r="BPJ186" s="18"/>
      <c r="BPK186" s="18"/>
      <c r="BPL186" s="18"/>
      <c r="BPM186" s="18"/>
      <c r="BPN186" s="18"/>
      <c r="BPO186" s="18"/>
      <c r="BPP186" s="18"/>
      <c r="BPQ186" s="18"/>
      <c r="BPR186" s="18"/>
      <c r="BPS186" s="18"/>
      <c r="BPT186" s="18"/>
      <c r="BPU186" s="18"/>
      <c r="BPV186" s="18"/>
      <c r="BPW186" s="18"/>
      <c r="BPX186" s="18"/>
      <c r="BPY186" s="18"/>
      <c r="BPZ186" s="18"/>
      <c r="BQA186" s="18"/>
      <c r="BQB186" s="18"/>
      <c r="BQC186" s="18"/>
      <c r="BQD186" s="18"/>
      <c r="BQE186" s="18"/>
      <c r="BQF186" s="18"/>
      <c r="BQG186" s="18"/>
      <c r="BQH186" s="18"/>
      <c r="BQI186" s="18"/>
      <c r="BQJ186" s="18"/>
      <c r="BQK186" s="18"/>
      <c r="BQL186" s="18"/>
      <c r="BQM186" s="18"/>
      <c r="BQN186" s="18"/>
      <c r="BQO186" s="18"/>
      <c r="BQP186" s="18"/>
      <c r="BQQ186" s="18"/>
      <c r="BQR186" s="18"/>
      <c r="BQS186" s="18"/>
      <c r="BQT186" s="18"/>
      <c r="BQU186" s="18"/>
      <c r="BQV186" s="18"/>
      <c r="BQW186" s="18"/>
      <c r="BQX186" s="18"/>
      <c r="BQY186" s="18"/>
      <c r="BQZ186" s="18"/>
      <c r="BRA186" s="18"/>
      <c r="BRB186" s="18"/>
      <c r="BRC186" s="18"/>
      <c r="BRD186" s="18"/>
      <c r="BRE186" s="18"/>
      <c r="BRF186" s="18"/>
      <c r="BRG186" s="18"/>
      <c r="BRH186" s="18"/>
      <c r="BRI186" s="18"/>
      <c r="BRJ186" s="18"/>
      <c r="BRK186" s="18"/>
      <c r="BRL186" s="18"/>
      <c r="BRM186" s="18"/>
      <c r="BRN186" s="18"/>
      <c r="BRO186" s="18"/>
      <c r="BRP186" s="18"/>
      <c r="BRQ186" s="18"/>
      <c r="BRR186" s="18"/>
      <c r="BRS186" s="18"/>
      <c r="BRT186" s="18"/>
      <c r="BRU186" s="18"/>
      <c r="BRV186" s="18"/>
      <c r="BRW186" s="18"/>
      <c r="BRX186" s="18"/>
      <c r="BRY186" s="18"/>
      <c r="BRZ186" s="18"/>
      <c r="BSA186" s="18"/>
      <c r="BSB186" s="18"/>
      <c r="BSC186" s="18"/>
      <c r="BSD186" s="18"/>
      <c r="BSE186" s="18"/>
      <c r="BSF186" s="18"/>
      <c r="BSG186" s="18"/>
      <c r="BSH186" s="18"/>
      <c r="BSI186" s="18"/>
      <c r="BSJ186" s="18"/>
      <c r="BSK186" s="18"/>
      <c r="BSL186" s="18"/>
      <c r="BSM186" s="18"/>
      <c r="BSN186" s="18"/>
      <c r="BSO186" s="18"/>
      <c r="BSP186" s="18"/>
      <c r="BSQ186" s="18"/>
      <c r="BSR186" s="18"/>
      <c r="BSS186" s="18"/>
      <c r="BST186" s="18"/>
      <c r="BSU186" s="18"/>
      <c r="BSV186" s="18"/>
      <c r="BSW186" s="18"/>
      <c r="BSX186" s="18"/>
      <c r="BSY186" s="18"/>
      <c r="BSZ186" s="18"/>
      <c r="BTA186" s="18"/>
      <c r="BTB186" s="18"/>
      <c r="BTC186" s="18"/>
      <c r="BTD186" s="18"/>
      <c r="BTE186" s="18"/>
      <c r="BTF186" s="18"/>
      <c r="BTG186" s="18"/>
      <c r="BTH186" s="18"/>
    </row>
    <row r="187" spans="1:1880" s="399" customFormat="1" ht="53.25" customHeight="1" x14ac:dyDescent="0.3">
      <c r="A187" s="100">
        <v>599</v>
      </c>
      <c r="B187" s="343" t="s">
        <v>53</v>
      </c>
      <c r="C187" s="343" t="s">
        <v>241</v>
      </c>
      <c r="D187" s="25" t="s">
        <v>290</v>
      </c>
      <c r="E187" s="341" t="e">
        <f>INDEX('PY1 Data(H)'!$A$1:$CZ$231,MATCH('Unit Data from Audit Worksheet'!$A187,'PY1 Data(H)'!$A$1:$A$231,0),MATCH('Unit Data from Audit Worksheet'!$D$2,'PY1 Data(H)'!$A$1:$CZ$1,0))</f>
        <v>#N/A</v>
      </c>
      <c r="F187" s="897">
        <v>0</v>
      </c>
      <c r="G187" s="401" t="str">
        <f>IF(ISBLANK(F187),"Please do not leave blank","")</f>
        <v/>
      </c>
      <c r="H187" s="372">
        <f>IF(F187&lt;0,"Error: Enter as positive.",)</f>
        <v>0</v>
      </c>
      <c r="I187" s="72"/>
      <c r="J187"/>
      <c r="K187" s="18"/>
      <c r="L187"/>
      <c r="M187" s="18"/>
      <c r="N187" s="176"/>
      <c r="O187" s="18"/>
      <c r="P187" s="18"/>
      <c r="Q187" s="18"/>
      <c r="R187" s="18"/>
      <c r="S187" s="18"/>
      <c r="T187" s="18"/>
      <c r="U187" s="18"/>
      <c r="V187" s="18"/>
      <c r="W187" s="18"/>
      <c r="X187" s="18"/>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s="18"/>
      <c r="DT187" s="18"/>
      <c r="DU187" s="18"/>
      <c r="DV187" s="18"/>
      <c r="DW187" s="18"/>
      <c r="DX187" s="18"/>
      <c r="DY187" s="18"/>
      <c r="DZ187" s="18"/>
      <c r="EA187" s="18"/>
      <c r="EB187" s="18"/>
      <c r="EC187" s="18"/>
      <c r="ED187" s="18"/>
      <c r="EE187" s="18"/>
      <c r="EF187" s="18"/>
      <c r="EG187" s="18"/>
      <c r="EH187" s="18"/>
      <c r="EI187" s="18"/>
      <c r="EJ187" s="18"/>
      <c r="EK187" s="18"/>
      <c r="EL187" s="18"/>
      <c r="EM187" s="18"/>
      <c r="EN187" s="18"/>
      <c r="EO187" s="18"/>
      <c r="EP187" s="18"/>
      <c r="EQ187" s="18"/>
      <c r="ER187" s="18"/>
      <c r="ES187" s="18"/>
      <c r="ET187" s="18"/>
      <c r="EU187" s="18"/>
      <c r="EV187" s="18"/>
      <c r="EW187" s="18"/>
      <c r="EX187" s="18"/>
      <c r="EY187" s="18"/>
      <c r="EZ187" s="18"/>
      <c r="FA187" s="18"/>
      <c r="FB187" s="18"/>
      <c r="FC187" s="18"/>
      <c r="FD187" s="18"/>
      <c r="FE187" s="18"/>
      <c r="FF187" s="18"/>
      <c r="FG187" s="18"/>
      <c r="FH187" s="18"/>
      <c r="FI187" s="18"/>
      <c r="FJ187" s="18"/>
      <c r="FK187" s="18"/>
      <c r="FL187" s="18"/>
      <c r="FM187" s="18"/>
      <c r="FN187" s="18"/>
      <c r="FO187" s="18"/>
      <c r="FP187" s="18"/>
      <c r="FQ187" s="18"/>
      <c r="FR187" s="18"/>
      <c r="FS187" s="18"/>
      <c r="FT187" s="18"/>
      <c r="FU187" s="18"/>
      <c r="FV187" s="18"/>
      <c r="FW187" s="18"/>
      <c r="FX187" s="18"/>
      <c r="FY187" s="18"/>
      <c r="FZ187" s="18"/>
      <c r="GA187" s="18"/>
      <c r="GB187" s="18"/>
      <c r="GC187" s="18"/>
      <c r="GD187" s="18"/>
      <c r="GE187" s="18"/>
      <c r="GF187" s="18"/>
      <c r="GG187" s="18"/>
      <c r="GH187" s="18"/>
      <c r="GI187" s="18"/>
      <c r="GJ187" s="18"/>
      <c r="GK187" s="18"/>
      <c r="GL187" s="18"/>
      <c r="GM187" s="18"/>
      <c r="GN187" s="18"/>
      <c r="GO187" s="18"/>
      <c r="GP187" s="18"/>
      <c r="GQ187" s="18"/>
      <c r="GR187" s="18"/>
      <c r="GS187" s="18"/>
      <c r="GT187" s="18"/>
      <c r="GU187" s="18"/>
      <c r="GV187" s="18"/>
      <c r="GW187" s="18"/>
      <c r="GX187" s="18"/>
      <c r="GY187" s="18"/>
      <c r="GZ187" s="18"/>
      <c r="HA187" s="18"/>
      <c r="HB187" s="18"/>
      <c r="HC187" s="18"/>
      <c r="HD187" s="18"/>
      <c r="HE187" s="18"/>
      <c r="HF187" s="18"/>
      <c r="HG187" s="18"/>
      <c r="HH187" s="18"/>
      <c r="HI187" s="18"/>
      <c r="HJ187" s="18"/>
      <c r="HK187" s="18"/>
      <c r="HL187" s="18"/>
      <c r="HM187" s="18"/>
      <c r="HN187" s="18"/>
      <c r="HO187" s="18"/>
      <c r="HP187" s="18"/>
      <c r="HQ187" s="18"/>
      <c r="HR187" s="18"/>
      <c r="HS187" s="18"/>
      <c r="HT187" s="18"/>
      <c r="HU187" s="18"/>
      <c r="HV187" s="18"/>
      <c r="HW187" s="18"/>
      <c r="HX187" s="18"/>
      <c r="HY187" s="18"/>
      <c r="HZ187" s="18"/>
      <c r="IA187" s="18"/>
      <c r="IB187" s="18"/>
      <c r="IC187" s="18"/>
      <c r="ID187" s="18"/>
      <c r="IE187" s="18"/>
      <c r="IF187" s="18"/>
      <c r="IG187" s="18"/>
      <c r="IH187" s="18"/>
      <c r="II187" s="18"/>
      <c r="IJ187" s="18"/>
      <c r="IK187" s="18"/>
      <c r="IL187" s="18"/>
      <c r="IM187" s="18"/>
      <c r="IN187" s="18"/>
      <c r="IO187" s="18"/>
      <c r="IP187" s="18"/>
      <c r="IQ187" s="18"/>
      <c r="IR187" s="18"/>
      <c r="IS187" s="18"/>
      <c r="IT187" s="18"/>
      <c r="IU187" s="18"/>
      <c r="IV187" s="18"/>
      <c r="IW187" s="18"/>
      <c r="IX187" s="18"/>
      <c r="IY187" s="18"/>
      <c r="IZ187" s="18"/>
      <c r="JA187" s="18"/>
      <c r="JB187" s="18"/>
      <c r="JC187" s="18"/>
      <c r="JD187" s="18"/>
      <c r="JE187" s="18"/>
      <c r="JF187" s="18"/>
      <c r="JG187" s="18"/>
      <c r="JH187" s="18"/>
      <c r="JI187" s="18"/>
      <c r="JJ187" s="18"/>
      <c r="JK187" s="18"/>
      <c r="JL187" s="18"/>
      <c r="JM187" s="18"/>
      <c r="JN187" s="18"/>
      <c r="JO187" s="18"/>
      <c r="JP187" s="18"/>
      <c r="JQ187" s="18"/>
      <c r="JR187" s="18"/>
      <c r="JS187" s="18"/>
      <c r="JT187" s="18"/>
      <c r="JU187" s="18"/>
      <c r="JV187" s="18"/>
      <c r="JW187" s="18"/>
      <c r="JX187" s="18"/>
      <c r="JY187" s="18"/>
      <c r="JZ187" s="18"/>
      <c r="KA187" s="18"/>
      <c r="KB187" s="18"/>
      <c r="KC187" s="18"/>
      <c r="KD187" s="18"/>
      <c r="KE187" s="18"/>
      <c r="KF187" s="18"/>
      <c r="KG187" s="18"/>
      <c r="KH187" s="18"/>
      <c r="KI187" s="18"/>
      <c r="KJ187" s="18"/>
      <c r="KK187" s="18"/>
      <c r="KL187" s="18"/>
      <c r="KM187" s="18"/>
      <c r="KN187" s="18"/>
      <c r="KO187" s="18"/>
      <c r="KP187" s="18"/>
      <c r="KQ187" s="18"/>
      <c r="KR187" s="18"/>
      <c r="KS187" s="18"/>
      <c r="KT187" s="18"/>
      <c r="KU187" s="18"/>
      <c r="KV187" s="18"/>
      <c r="KW187" s="18"/>
      <c r="KX187" s="18"/>
      <c r="KY187" s="18"/>
      <c r="KZ187" s="18"/>
      <c r="LA187" s="18"/>
      <c r="LB187" s="18"/>
      <c r="LC187" s="18"/>
      <c r="LD187" s="18"/>
      <c r="LE187" s="18"/>
      <c r="LF187" s="18"/>
      <c r="LG187" s="18"/>
      <c r="LH187" s="18"/>
      <c r="LI187" s="18"/>
      <c r="LJ187" s="18"/>
      <c r="LK187" s="18"/>
      <c r="LL187" s="18"/>
      <c r="LM187" s="18"/>
      <c r="LN187" s="18"/>
      <c r="LO187" s="18"/>
      <c r="LP187" s="18"/>
      <c r="LQ187" s="18"/>
      <c r="LR187" s="18"/>
      <c r="LS187" s="18"/>
      <c r="LT187" s="18"/>
      <c r="LU187" s="18"/>
      <c r="LV187" s="18"/>
      <c r="LW187" s="18"/>
      <c r="LX187" s="18"/>
      <c r="LY187" s="18"/>
      <c r="LZ187" s="18"/>
      <c r="MA187" s="18"/>
      <c r="MB187" s="18"/>
      <c r="MC187" s="18"/>
      <c r="MD187" s="18"/>
      <c r="ME187" s="18"/>
      <c r="MF187" s="18"/>
      <c r="MG187" s="18"/>
      <c r="MH187" s="18"/>
      <c r="MI187" s="18"/>
      <c r="MJ187" s="18"/>
      <c r="MK187" s="18"/>
      <c r="ML187" s="18"/>
      <c r="MM187" s="18"/>
      <c r="MN187" s="18"/>
      <c r="MO187" s="18"/>
      <c r="MP187" s="18"/>
      <c r="MQ187" s="18"/>
      <c r="MR187" s="18"/>
      <c r="MS187" s="18"/>
      <c r="MT187" s="18"/>
      <c r="MU187" s="18"/>
      <c r="MV187" s="18"/>
      <c r="MW187" s="18"/>
      <c r="MX187" s="18"/>
      <c r="MY187" s="18"/>
      <c r="MZ187" s="18"/>
      <c r="NA187" s="18"/>
      <c r="NB187" s="18"/>
      <c r="NC187" s="18"/>
      <c r="ND187" s="18"/>
      <c r="NE187" s="18"/>
      <c r="NF187" s="18"/>
      <c r="NG187" s="18"/>
      <c r="NH187" s="18"/>
      <c r="NI187" s="18"/>
      <c r="NJ187" s="18"/>
      <c r="NK187" s="18"/>
      <c r="NL187" s="18"/>
      <c r="NM187" s="18"/>
      <c r="NN187" s="18"/>
      <c r="NO187" s="18"/>
      <c r="NP187" s="18"/>
      <c r="NQ187" s="18"/>
      <c r="NR187" s="18"/>
      <c r="NS187" s="18"/>
      <c r="NT187" s="18"/>
      <c r="NU187" s="18"/>
      <c r="NV187" s="18"/>
      <c r="NW187" s="18"/>
      <c r="NX187" s="18"/>
      <c r="NY187" s="18"/>
      <c r="NZ187" s="18"/>
      <c r="OA187" s="18"/>
      <c r="OB187" s="18"/>
      <c r="OC187" s="18"/>
      <c r="OD187" s="18"/>
      <c r="OE187" s="18"/>
      <c r="OF187" s="18"/>
      <c r="OG187" s="18"/>
      <c r="OH187" s="18"/>
      <c r="OI187" s="18"/>
      <c r="OJ187" s="18"/>
      <c r="OK187" s="18"/>
      <c r="OL187" s="18"/>
      <c r="OM187" s="18"/>
      <c r="ON187" s="18"/>
      <c r="OO187" s="18"/>
      <c r="OP187" s="18"/>
      <c r="OQ187" s="18"/>
      <c r="OR187" s="18"/>
      <c r="OS187" s="18"/>
      <c r="OT187" s="18"/>
      <c r="OU187" s="18"/>
      <c r="OV187" s="18"/>
      <c r="OW187" s="18"/>
      <c r="OX187" s="18"/>
      <c r="OY187" s="18"/>
      <c r="OZ187" s="18"/>
      <c r="PA187" s="18"/>
      <c r="PB187" s="18"/>
      <c r="PC187" s="18"/>
      <c r="PD187" s="18"/>
      <c r="PE187" s="18"/>
      <c r="PF187" s="18"/>
      <c r="PG187" s="18"/>
      <c r="PH187" s="18"/>
      <c r="PI187" s="18"/>
      <c r="PJ187" s="18"/>
      <c r="PK187" s="18"/>
      <c r="PL187" s="18"/>
      <c r="PM187" s="18"/>
      <c r="PN187" s="18"/>
      <c r="PO187" s="18"/>
      <c r="PP187" s="18"/>
      <c r="PQ187" s="18"/>
      <c r="PR187" s="18"/>
      <c r="PS187" s="18"/>
      <c r="PT187" s="18"/>
      <c r="PU187" s="18"/>
      <c r="PV187" s="18"/>
      <c r="PW187" s="18"/>
      <c r="PX187" s="18"/>
      <c r="PY187" s="18"/>
      <c r="PZ187" s="18"/>
      <c r="QA187" s="18"/>
      <c r="QB187" s="18"/>
      <c r="QC187" s="18"/>
      <c r="QD187" s="18"/>
      <c r="QE187" s="18"/>
      <c r="QF187" s="18"/>
      <c r="QG187" s="18"/>
      <c r="QH187" s="18"/>
      <c r="QI187" s="18"/>
      <c r="QJ187" s="18"/>
      <c r="QK187" s="18"/>
      <c r="QL187" s="18"/>
      <c r="QM187" s="18"/>
      <c r="QN187" s="18"/>
      <c r="QO187" s="18"/>
      <c r="QP187" s="18"/>
      <c r="QQ187" s="18"/>
      <c r="QR187" s="18"/>
      <c r="QS187" s="18"/>
      <c r="QT187" s="18"/>
      <c r="QU187" s="18"/>
      <c r="QV187" s="18"/>
      <c r="QW187" s="18"/>
      <c r="QX187" s="18"/>
      <c r="QY187" s="18"/>
      <c r="QZ187" s="18"/>
      <c r="RA187" s="18"/>
      <c r="RB187" s="18"/>
      <c r="RC187" s="18"/>
      <c r="RD187" s="18"/>
      <c r="RE187" s="18"/>
      <c r="RF187" s="18"/>
      <c r="RG187" s="18"/>
      <c r="RH187" s="18"/>
      <c r="RI187" s="18"/>
      <c r="RJ187" s="18"/>
      <c r="RK187" s="18"/>
      <c r="RL187" s="18"/>
      <c r="RM187" s="18"/>
      <c r="RN187" s="18"/>
      <c r="RO187" s="18"/>
      <c r="RP187" s="18"/>
      <c r="RQ187" s="18"/>
      <c r="RR187" s="18"/>
      <c r="RS187" s="18"/>
      <c r="RT187" s="18"/>
      <c r="RU187" s="18"/>
      <c r="RV187" s="18"/>
      <c r="RW187" s="18"/>
      <c r="RX187" s="18"/>
      <c r="RY187" s="18"/>
      <c r="RZ187" s="18"/>
      <c r="SA187" s="18"/>
      <c r="SB187" s="18"/>
      <c r="SC187" s="18"/>
      <c r="SD187" s="18"/>
      <c r="SE187" s="18"/>
      <c r="SF187" s="18"/>
      <c r="SG187" s="18"/>
      <c r="SH187" s="18"/>
      <c r="SI187" s="18"/>
      <c r="SJ187" s="18"/>
      <c r="SK187" s="18"/>
      <c r="SL187" s="18"/>
      <c r="SM187" s="18"/>
      <c r="SN187" s="18"/>
      <c r="SO187" s="18"/>
      <c r="SP187" s="18"/>
      <c r="SQ187" s="18"/>
      <c r="SR187" s="18"/>
      <c r="SS187" s="18"/>
      <c r="ST187" s="18"/>
      <c r="SU187" s="18"/>
      <c r="SV187" s="18"/>
      <c r="SW187" s="18"/>
      <c r="SX187" s="18"/>
      <c r="SY187" s="18"/>
      <c r="SZ187" s="18"/>
      <c r="TA187" s="18"/>
      <c r="TB187" s="18"/>
      <c r="TC187" s="18"/>
      <c r="TD187" s="18"/>
      <c r="TE187" s="18"/>
      <c r="TF187" s="18"/>
      <c r="TG187" s="18"/>
      <c r="TH187" s="18"/>
      <c r="TI187" s="18"/>
      <c r="TJ187" s="18"/>
      <c r="TK187" s="18"/>
      <c r="TL187" s="18"/>
      <c r="TM187" s="18"/>
      <c r="TN187" s="18"/>
      <c r="TO187" s="18"/>
      <c r="TP187" s="18"/>
      <c r="TQ187" s="18"/>
      <c r="TR187" s="18"/>
      <c r="TS187" s="18"/>
      <c r="TT187" s="18"/>
      <c r="TU187" s="18"/>
      <c r="TV187" s="18"/>
      <c r="TW187" s="18"/>
      <c r="TX187" s="18"/>
      <c r="TY187" s="18"/>
      <c r="TZ187" s="18"/>
      <c r="UA187" s="18"/>
      <c r="UB187" s="18"/>
      <c r="UC187" s="18"/>
      <c r="UD187" s="18"/>
      <c r="UE187" s="18"/>
      <c r="UF187" s="18"/>
      <c r="UG187" s="18"/>
      <c r="UH187" s="18"/>
      <c r="UI187" s="18"/>
      <c r="UJ187" s="18"/>
      <c r="UK187" s="18"/>
      <c r="UL187" s="18"/>
      <c r="UM187" s="18"/>
      <c r="UN187" s="18"/>
      <c r="UO187" s="18"/>
      <c r="UP187" s="18"/>
      <c r="UQ187" s="18"/>
      <c r="UR187" s="18"/>
      <c r="US187" s="18"/>
      <c r="UT187" s="18"/>
      <c r="UU187" s="18"/>
      <c r="UV187" s="18"/>
      <c r="UW187" s="18"/>
      <c r="UX187" s="18"/>
      <c r="UY187" s="18"/>
      <c r="UZ187" s="18"/>
      <c r="VA187" s="18"/>
      <c r="VB187" s="18"/>
      <c r="VC187" s="18"/>
      <c r="VD187" s="18"/>
      <c r="VE187" s="18"/>
      <c r="VF187" s="18"/>
      <c r="VG187" s="18"/>
      <c r="VH187" s="18"/>
      <c r="VI187" s="18"/>
      <c r="VJ187" s="18"/>
      <c r="VK187" s="18"/>
      <c r="VL187" s="18"/>
      <c r="VM187" s="18"/>
      <c r="VN187" s="18"/>
      <c r="VO187" s="18"/>
      <c r="VP187" s="18"/>
      <c r="VQ187" s="18"/>
      <c r="VR187" s="18"/>
      <c r="VS187" s="18"/>
      <c r="VT187" s="18"/>
      <c r="VU187" s="18"/>
      <c r="VV187" s="18"/>
      <c r="VW187" s="18"/>
      <c r="VX187" s="18"/>
      <c r="VY187" s="18"/>
      <c r="VZ187" s="18"/>
      <c r="WA187" s="18"/>
      <c r="WB187" s="18"/>
      <c r="WC187" s="18"/>
      <c r="WD187" s="18"/>
      <c r="WE187" s="18"/>
      <c r="WF187" s="18"/>
      <c r="WG187" s="18"/>
      <c r="WH187" s="18"/>
      <c r="WI187" s="18"/>
      <c r="WJ187" s="18"/>
      <c r="WK187" s="18"/>
      <c r="WL187" s="18"/>
      <c r="WM187" s="18"/>
      <c r="WN187" s="18"/>
      <c r="WO187" s="18"/>
      <c r="WP187" s="18"/>
      <c r="WQ187" s="18"/>
      <c r="WR187" s="18"/>
      <c r="WS187" s="18"/>
      <c r="WT187" s="18"/>
      <c r="WU187" s="18"/>
      <c r="WV187" s="18"/>
      <c r="WW187" s="18"/>
      <c r="WX187" s="18"/>
      <c r="WY187" s="18"/>
      <c r="WZ187" s="18"/>
      <c r="XA187" s="18"/>
      <c r="XB187" s="18"/>
      <c r="XC187" s="18"/>
      <c r="XD187" s="18"/>
      <c r="XE187" s="18"/>
      <c r="XF187" s="18"/>
      <c r="XG187" s="18"/>
      <c r="XH187" s="18"/>
      <c r="XI187" s="18"/>
      <c r="XJ187" s="18"/>
      <c r="XK187" s="18"/>
      <c r="XL187" s="18"/>
      <c r="XM187" s="18"/>
      <c r="XN187" s="18"/>
      <c r="XO187" s="18"/>
      <c r="XP187" s="18"/>
      <c r="XQ187" s="18"/>
      <c r="XR187" s="18"/>
      <c r="XS187" s="18"/>
      <c r="XT187" s="18"/>
      <c r="XU187" s="18"/>
      <c r="XV187" s="18"/>
      <c r="XW187" s="18"/>
      <c r="XX187" s="18"/>
      <c r="XY187" s="18"/>
      <c r="XZ187" s="18"/>
      <c r="YA187" s="18"/>
      <c r="YB187" s="18"/>
      <c r="YC187" s="18"/>
      <c r="YD187" s="18"/>
      <c r="YE187" s="18"/>
      <c r="YF187" s="18"/>
      <c r="YG187" s="18"/>
      <c r="YH187" s="18"/>
      <c r="YI187" s="18"/>
      <c r="YJ187" s="18"/>
      <c r="YK187" s="18"/>
      <c r="YL187" s="18"/>
      <c r="YM187" s="18"/>
      <c r="YN187" s="18"/>
      <c r="YO187" s="18"/>
      <c r="YP187" s="18"/>
      <c r="YQ187" s="18"/>
      <c r="YR187" s="18"/>
      <c r="YS187" s="18"/>
      <c r="YT187" s="18"/>
      <c r="YU187" s="18"/>
      <c r="YV187" s="18"/>
      <c r="YW187" s="18"/>
      <c r="YX187" s="18"/>
      <c r="YY187" s="18"/>
      <c r="YZ187" s="18"/>
      <c r="ZA187" s="18"/>
      <c r="ZB187" s="18"/>
      <c r="ZC187" s="18"/>
      <c r="ZD187" s="18"/>
      <c r="ZE187" s="18"/>
      <c r="ZF187" s="18"/>
      <c r="ZG187" s="18"/>
      <c r="ZH187" s="18"/>
      <c r="ZI187" s="18"/>
      <c r="ZJ187" s="18"/>
      <c r="ZK187" s="18"/>
      <c r="ZL187" s="18"/>
      <c r="ZM187" s="18"/>
      <c r="ZN187" s="18"/>
      <c r="ZO187" s="18"/>
      <c r="ZP187" s="18"/>
      <c r="ZQ187" s="18"/>
      <c r="ZR187" s="18"/>
      <c r="ZS187" s="18"/>
      <c r="ZT187" s="18"/>
      <c r="ZU187" s="18"/>
      <c r="ZV187" s="18"/>
      <c r="ZW187" s="18"/>
      <c r="ZX187" s="18"/>
      <c r="ZY187" s="18"/>
      <c r="ZZ187" s="18"/>
      <c r="AAA187" s="18"/>
      <c r="AAB187" s="18"/>
      <c r="AAC187" s="18"/>
      <c r="AAD187" s="18"/>
      <c r="AAE187" s="18"/>
      <c r="AAF187" s="18"/>
      <c r="AAG187" s="18"/>
      <c r="AAH187" s="18"/>
      <c r="AAI187" s="18"/>
      <c r="AAJ187" s="18"/>
      <c r="AAK187" s="18"/>
      <c r="AAL187" s="18"/>
      <c r="AAM187" s="18"/>
      <c r="AAN187" s="18"/>
      <c r="AAO187" s="18"/>
      <c r="AAP187" s="18"/>
      <c r="AAQ187" s="18"/>
      <c r="AAR187" s="18"/>
      <c r="AAS187" s="18"/>
      <c r="AAT187" s="18"/>
      <c r="AAU187" s="18"/>
      <c r="AAV187" s="18"/>
      <c r="AAW187" s="18"/>
      <c r="AAX187" s="18"/>
      <c r="AAY187" s="18"/>
      <c r="AAZ187" s="18"/>
      <c r="ABA187" s="18"/>
      <c r="ABB187" s="18"/>
      <c r="ABC187" s="18"/>
      <c r="ABD187" s="18"/>
      <c r="ABE187" s="18"/>
      <c r="ABF187" s="18"/>
      <c r="ABG187" s="18"/>
      <c r="ABH187" s="18"/>
      <c r="ABI187" s="18"/>
      <c r="ABJ187" s="18"/>
      <c r="ABK187" s="18"/>
      <c r="ABL187" s="18"/>
      <c r="ABM187" s="18"/>
      <c r="ABN187" s="18"/>
      <c r="ABO187" s="18"/>
      <c r="ABP187" s="18"/>
      <c r="ABQ187" s="18"/>
      <c r="ABR187" s="18"/>
      <c r="ABS187" s="18"/>
      <c r="ABT187" s="18"/>
      <c r="ABU187" s="18"/>
      <c r="ABV187" s="18"/>
      <c r="ABW187" s="18"/>
      <c r="ABX187" s="18"/>
      <c r="ABY187" s="18"/>
      <c r="ABZ187" s="18"/>
      <c r="ACA187" s="18"/>
      <c r="ACB187" s="18"/>
      <c r="ACC187" s="18"/>
      <c r="ACD187" s="18"/>
      <c r="ACE187" s="18"/>
      <c r="ACF187" s="18"/>
      <c r="ACG187" s="18"/>
      <c r="ACH187" s="18"/>
      <c r="ACI187" s="18"/>
      <c r="ACJ187" s="18"/>
      <c r="ACK187" s="18"/>
      <c r="ACL187" s="18"/>
      <c r="ACM187" s="18"/>
      <c r="ACN187" s="18"/>
      <c r="ACO187" s="18"/>
      <c r="ACP187" s="18"/>
      <c r="ACQ187" s="18"/>
      <c r="ACR187" s="18"/>
      <c r="ACS187" s="18"/>
      <c r="ACT187" s="18"/>
      <c r="ACU187" s="18"/>
      <c r="ACV187" s="18"/>
      <c r="ACW187" s="18"/>
      <c r="ACX187" s="18"/>
      <c r="ACY187" s="18"/>
      <c r="ACZ187" s="18"/>
      <c r="ADA187" s="18"/>
      <c r="ADB187" s="18"/>
      <c r="ADC187" s="18"/>
      <c r="ADD187" s="18"/>
      <c r="ADE187" s="18"/>
      <c r="ADF187" s="18"/>
      <c r="ADG187" s="18"/>
      <c r="ADH187" s="18"/>
      <c r="ADI187" s="18"/>
      <c r="ADJ187" s="18"/>
      <c r="ADK187" s="18"/>
      <c r="ADL187" s="18"/>
      <c r="ADM187" s="18"/>
      <c r="ADN187" s="18"/>
      <c r="ADO187" s="18"/>
      <c r="ADP187" s="18"/>
      <c r="ADQ187" s="18"/>
      <c r="ADR187" s="18"/>
      <c r="ADS187" s="18"/>
      <c r="ADT187" s="18"/>
      <c r="ADU187" s="18"/>
      <c r="ADV187" s="18"/>
      <c r="ADW187" s="18"/>
      <c r="ADX187" s="18"/>
      <c r="ADY187" s="18"/>
      <c r="ADZ187" s="18"/>
      <c r="AEA187" s="18"/>
      <c r="AEB187" s="18"/>
      <c r="AEC187" s="18"/>
      <c r="AED187" s="18"/>
      <c r="AEE187" s="18"/>
      <c r="AEF187" s="18"/>
      <c r="AEG187" s="18"/>
      <c r="AEH187" s="18"/>
      <c r="AEI187" s="18"/>
      <c r="AEJ187" s="18"/>
      <c r="AEK187" s="18"/>
      <c r="AEL187" s="18"/>
      <c r="AEM187" s="18"/>
      <c r="AEN187" s="18"/>
      <c r="AEO187" s="18"/>
      <c r="AEP187" s="18"/>
      <c r="AEQ187" s="18"/>
      <c r="AER187" s="18"/>
      <c r="AES187" s="18"/>
      <c r="AET187" s="18"/>
      <c r="AEU187" s="18"/>
      <c r="AEV187" s="18"/>
      <c r="AEW187" s="18"/>
      <c r="AEX187" s="18"/>
      <c r="AEY187" s="18"/>
      <c r="AEZ187" s="18"/>
      <c r="AFA187" s="18"/>
      <c r="AFB187" s="18"/>
      <c r="AFC187" s="18"/>
      <c r="AFD187" s="18"/>
      <c r="AFE187" s="18"/>
      <c r="AFF187" s="18"/>
      <c r="AFG187" s="18"/>
      <c r="AFH187" s="18"/>
      <c r="AFI187" s="18"/>
      <c r="AFJ187" s="18"/>
      <c r="AFK187" s="18"/>
      <c r="AFL187" s="18"/>
      <c r="AFM187" s="18"/>
      <c r="AFN187" s="18"/>
      <c r="AFO187" s="18"/>
      <c r="AFP187" s="18"/>
      <c r="AFQ187" s="18"/>
      <c r="AFR187" s="18"/>
      <c r="AFS187" s="18"/>
      <c r="AFT187" s="18"/>
      <c r="AFU187" s="18"/>
      <c r="AFV187" s="18"/>
      <c r="AFW187" s="18"/>
      <c r="AFX187" s="18"/>
      <c r="AFY187" s="18"/>
      <c r="AFZ187" s="18"/>
      <c r="AGA187" s="18"/>
      <c r="AGB187" s="18"/>
      <c r="AGC187" s="18"/>
      <c r="AGD187" s="18"/>
      <c r="AGE187" s="18"/>
      <c r="AGF187" s="18"/>
      <c r="AGG187" s="18"/>
      <c r="AGH187" s="18"/>
      <c r="AGI187" s="18"/>
      <c r="AGJ187" s="18"/>
      <c r="AGK187" s="18"/>
      <c r="AGL187" s="18"/>
      <c r="AGM187" s="18"/>
      <c r="AGN187" s="18"/>
      <c r="AGO187" s="18"/>
      <c r="AGP187" s="18"/>
      <c r="AGQ187" s="18"/>
      <c r="AGR187" s="18"/>
      <c r="AGS187" s="18"/>
      <c r="AGT187" s="18"/>
      <c r="AGU187" s="18"/>
      <c r="AGV187" s="18"/>
      <c r="AGW187" s="18"/>
      <c r="AGX187" s="18"/>
      <c r="AGY187" s="18"/>
      <c r="AGZ187" s="18"/>
      <c r="AHA187" s="18"/>
      <c r="AHB187" s="18"/>
      <c r="AHC187" s="18"/>
      <c r="AHD187" s="18"/>
      <c r="AHE187" s="18"/>
      <c r="AHF187" s="18"/>
      <c r="AHG187" s="18"/>
      <c r="AHH187" s="18"/>
      <c r="AHI187" s="18"/>
      <c r="AHJ187" s="18"/>
      <c r="AHK187" s="18"/>
      <c r="AHL187" s="18"/>
      <c r="AHM187" s="18"/>
      <c r="AHN187" s="18"/>
      <c r="AHO187" s="18"/>
      <c r="AHP187" s="18"/>
      <c r="AHQ187" s="18"/>
      <c r="AHR187" s="18"/>
      <c r="AHS187" s="18"/>
      <c r="AHT187" s="18"/>
      <c r="AHU187" s="18"/>
      <c r="AHV187" s="18"/>
      <c r="AHW187" s="18"/>
      <c r="AHX187" s="18"/>
      <c r="AHY187" s="18"/>
      <c r="AHZ187" s="18"/>
      <c r="AIA187" s="18"/>
      <c r="AIB187" s="18"/>
      <c r="AIC187" s="18"/>
      <c r="AID187" s="18"/>
      <c r="AIE187" s="18"/>
      <c r="AIF187" s="18"/>
      <c r="AIG187" s="18"/>
      <c r="AIH187" s="18"/>
      <c r="AII187" s="18"/>
      <c r="AIJ187" s="18"/>
      <c r="AIK187" s="18"/>
      <c r="AIL187" s="18"/>
      <c r="AIM187" s="18"/>
      <c r="AIN187" s="18"/>
      <c r="AIO187" s="18"/>
      <c r="AIP187" s="18"/>
      <c r="AIQ187" s="18"/>
      <c r="AIR187" s="18"/>
      <c r="AIS187" s="18"/>
      <c r="AIT187" s="18"/>
      <c r="AIU187" s="18"/>
      <c r="AIV187" s="18"/>
      <c r="AIW187" s="18"/>
      <c r="AIX187" s="18"/>
      <c r="AIY187" s="18"/>
      <c r="AIZ187" s="18"/>
      <c r="AJA187" s="18"/>
      <c r="AJB187" s="18"/>
      <c r="AJC187" s="18"/>
      <c r="AJD187" s="18"/>
      <c r="AJE187" s="18"/>
      <c r="AJF187" s="18"/>
      <c r="AJG187" s="18"/>
      <c r="AJH187" s="18"/>
      <c r="AJI187" s="18"/>
      <c r="AJJ187" s="18"/>
      <c r="AJK187" s="18"/>
      <c r="AJL187" s="18"/>
      <c r="AJM187" s="18"/>
      <c r="AJN187" s="18"/>
      <c r="AJO187" s="18"/>
      <c r="AJP187" s="18"/>
      <c r="AJQ187" s="18"/>
      <c r="AJR187" s="18"/>
      <c r="AJS187" s="18"/>
      <c r="AJT187" s="18"/>
      <c r="AJU187" s="18"/>
      <c r="AJV187" s="18"/>
      <c r="AJW187" s="18"/>
      <c r="AJX187" s="18"/>
      <c r="AJY187" s="18"/>
      <c r="AJZ187" s="18"/>
      <c r="AKA187" s="18"/>
      <c r="AKB187" s="18"/>
      <c r="AKC187" s="18"/>
      <c r="AKD187" s="18"/>
      <c r="AKE187" s="18"/>
      <c r="AKF187" s="18"/>
      <c r="AKG187" s="18"/>
      <c r="AKH187" s="18"/>
      <c r="AKI187" s="18"/>
      <c r="AKJ187" s="18"/>
      <c r="AKK187" s="18"/>
      <c r="AKL187" s="18"/>
      <c r="AKM187" s="18"/>
      <c r="AKN187" s="18"/>
      <c r="AKO187" s="18"/>
      <c r="AKP187" s="18"/>
      <c r="AKQ187" s="18"/>
      <c r="AKR187" s="18"/>
      <c r="AKS187" s="18"/>
      <c r="AKT187" s="18"/>
      <c r="AKU187" s="18"/>
      <c r="AKV187" s="18"/>
      <c r="AKW187" s="18"/>
      <c r="AKX187" s="18"/>
      <c r="AKY187" s="18"/>
      <c r="AKZ187" s="18"/>
      <c r="ALA187" s="18"/>
      <c r="ALB187" s="18"/>
      <c r="ALC187" s="18"/>
      <c r="ALD187" s="18"/>
      <c r="ALE187" s="18"/>
      <c r="ALF187" s="18"/>
      <c r="ALG187" s="18"/>
      <c r="ALH187" s="18"/>
      <c r="ALI187" s="18"/>
      <c r="ALJ187" s="18"/>
      <c r="ALK187" s="18"/>
      <c r="ALL187" s="18"/>
      <c r="ALM187" s="18"/>
      <c r="ALN187" s="18"/>
      <c r="ALO187" s="18"/>
      <c r="ALP187" s="18"/>
      <c r="ALQ187" s="18"/>
      <c r="ALR187" s="18"/>
      <c r="ALS187" s="18"/>
      <c r="ALT187" s="18"/>
      <c r="ALU187" s="18"/>
      <c r="ALV187" s="18"/>
      <c r="ALW187" s="18"/>
      <c r="ALX187" s="18"/>
      <c r="ALY187" s="18"/>
      <c r="ALZ187" s="18"/>
      <c r="AMA187" s="18"/>
      <c r="AMB187" s="18"/>
      <c r="AMC187" s="18"/>
      <c r="AMD187" s="18"/>
      <c r="AME187" s="18"/>
      <c r="AMF187" s="18"/>
      <c r="AMG187" s="18"/>
      <c r="AMH187" s="18"/>
      <c r="AMI187" s="18"/>
      <c r="AMJ187" s="18"/>
      <c r="AMK187" s="18"/>
      <c r="AML187" s="18"/>
      <c r="AMM187" s="18"/>
      <c r="AMN187" s="18"/>
      <c r="AMO187" s="18"/>
      <c r="AMP187" s="18"/>
      <c r="AMQ187" s="18"/>
      <c r="AMR187" s="18"/>
      <c r="AMS187" s="18"/>
      <c r="AMT187" s="18"/>
      <c r="AMU187" s="18"/>
      <c r="AMV187" s="18"/>
      <c r="AMW187" s="18"/>
      <c r="AMX187" s="18"/>
      <c r="AMY187" s="18"/>
      <c r="AMZ187" s="18"/>
      <c r="ANA187" s="18"/>
      <c r="ANB187" s="18"/>
      <c r="ANC187" s="18"/>
      <c r="AND187" s="18"/>
      <c r="ANE187" s="18"/>
      <c r="ANF187" s="18"/>
      <c r="ANG187" s="18"/>
      <c r="ANH187" s="18"/>
      <c r="ANI187" s="18"/>
      <c r="ANJ187" s="18"/>
      <c r="ANK187" s="18"/>
      <c r="ANL187" s="18"/>
      <c r="ANM187" s="18"/>
      <c r="ANN187" s="18"/>
      <c r="ANO187" s="18"/>
      <c r="ANP187" s="18"/>
      <c r="ANQ187" s="18"/>
      <c r="ANR187" s="18"/>
      <c r="ANS187" s="18"/>
      <c r="ANT187" s="18"/>
      <c r="ANU187" s="18"/>
      <c r="ANV187" s="18"/>
      <c r="ANW187" s="18"/>
      <c r="ANX187" s="18"/>
      <c r="ANY187" s="18"/>
      <c r="ANZ187" s="18"/>
      <c r="AOA187" s="18"/>
      <c r="AOB187" s="18"/>
      <c r="AOC187" s="18"/>
      <c r="AOD187" s="18"/>
      <c r="AOE187" s="18"/>
      <c r="AOF187" s="18"/>
      <c r="AOG187" s="18"/>
      <c r="AOH187" s="18"/>
      <c r="AOI187" s="18"/>
      <c r="AOJ187" s="18"/>
      <c r="AOK187" s="18"/>
      <c r="AOL187" s="18"/>
      <c r="AOM187" s="18"/>
      <c r="AON187" s="18"/>
      <c r="AOO187" s="18"/>
      <c r="AOP187" s="18"/>
      <c r="AOQ187" s="18"/>
      <c r="AOR187" s="18"/>
      <c r="AOS187" s="18"/>
      <c r="AOT187" s="18"/>
      <c r="AOU187" s="18"/>
      <c r="AOV187" s="18"/>
      <c r="AOW187" s="18"/>
      <c r="AOX187" s="18"/>
      <c r="AOY187" s="18"/>
      <c r="AOZ187" s="18"/>
      <c r="APA187" s="18"/>
      <c r="APB187" s="18"/>
      <c r="APC187" s="18"/>
      <c r="APD187" s="18"/>
      <c r="APE187" s="18"/>
      <c r="APF187" s="18"/>
      <c r="APG187" s="18"/>
      <c r="APH187" s="18"/>
      <c r="API187" s="18"/>
      <c r="APJ187" s="18"/>
      <c r="APK187" s="18"/>
      <c r="APL187" s="18"/>
      <c r="APM187" s="18"/>
      <c r="APN187" s="18"/>
      <c r="APO187" s="18"/>
      <c r="APP187" s="18"/>
      <c r="APQ187" s="18"/>
      <c r="APR187" s="18"/>
      <c r="APS187" s="18"/>
      <c r="APT187" s="18"/>
      <c r="APU187" s="18"/>
      <c r="APV187" s="18"/>
      <c r="APW187" s="18"/>
      <c r="APX187" s="18"/>
      <c r="APY187" s="18"/>
      <c r="APZ187" s="18"/>
      <c r="AQA187" s="18"/>
      <c r="AQB187" s="18"/>
      <c r="AQC187" s="18"/>
      <c r="AQD187" s="18"/>
      <c r="AQE187" s="18"/>
      <c r="AQF187" s="18"/>
      <c r="AQG187" s="18"/>
      <c r="AQH187" s="18"/>
      <c r="AQI187" s="18"/>
      <c r="AQJ187" s="18"/>
      <c r="AQK187" s="18"/>
      <c r="AQL187" s="18"/>
      <c r="AQM187" s="18"/>
      <c r="AQN187" s="18"/>
      <c r="AQO187" s="18"/>
      <c r="AQP187" s="18"/>
      <c r="AQQ187" s="18"/>
      <c r="AQR187" s="18"/>
      <c r="AQS187" s="18"/>
      <c r="AQT187" s="18"/>
      <c r="AQU187" s="18"/>
      <c r="AQV187" s="18"/>
      <c r="AQW187" s="18"/>
      <c r="AQX187" s="18"/>
      <c r="AQY187" s="18"/>
      <c r="AQZ187" s="18"/>
      <c r="ARA187" s="18"/>
      <c r="ARB187" s="18"/>
      <c r="ARC187" s="18"/>
      <c r="ARD187" s="18"/>
      <c r="ARE187" s="18"/>
      <c r="ARF187" s="18"/>
      <c r="ARG187" s="18"/>
      <c r="ARH187" s="18"/>
      <c r="ARI187" s="18"/>
      <c r="ARJ187" s="18"/>
      <c r="ARK187" s="18"/>
      <c r="ARL187" s="18"/>
      <c r="ARM187" s="18"/>
      <c r="ARN187" s="18"/>
      <c r="ARO187" s="18"/>
      <c r="ARP187" s="18"/>
      <c r="ARQ187" s="18"/>
      <c r="ARR187" s="18"/>
      <c r="ARS187" s="18"/>
      <c r="ART187" s="18"/>
      <c r="ARU187" s="18"/>
      <c r="ARV187" s="18"/>
      <c r="ARW187" s="18"/>
      <c r="ARX187" s="18"/>
      <c r="ARY187" s="18"/>
      <c r="ARZ187" s="18"/>
      <c r="ASA187" s="18"/>
      <c r="ASB187" s="18"/>
      <c r="ASC187" s="18"/>
      <c r="ASD187" s="18"/>
      <c r="ASE187" s="18"/>
      <c r="ASF187" s="18"/>
      <c r="ASG187" s="18"/>
      <c r="ASH187" s="18"/>
      <c r="ASI187" s="18"/>
      <c r="ASJ187" s="18"/>
      <c r="ASK187" s="18"/>
      <c r="ASL187" s="18"/>
      <c r="ASM187" s="18"/>
      <c r="ASN187" s="18"/>
      <c r="ASO187" s="18"/>
      <c r="ASP187" s="18"/>
      <c r="ASQ187" s="18"/>
      <c r="ASR187" s="18"/>
      <c r="ASS187" s="18"/>
      <c r="AST187" s="18"/>
      <c r="ASU187" s="18"/>
      <c r="ASV187" s="18"/>
      <c r="ASW187" s="18"/>
      <c r="ASX187" s="18"/>
      <c r="ASY187" s="18"/>
      <c r="ASZ187" s="18"/>
      <c r="ATA187" s="18"/>
      <c r="ATB187" s="18"/>
      <c r="ATC187" s="18"/>
      <c r="ATD187" s="18"/>
      <c r="ATE187" s="18"/>
      <c r="ATF187" s="18"/>
      <c r="ATG187" s="18"/>
      <c r="ATH187" s="18"/>
      <c r="ATI187" s="18"/>
      <c r="ATJ187" s="18"/>
      <c r="ATK187" s="18"/>
      <c r="ATL187" s="18"/>
      <c r="ATM187" s="18"/>
      <c r="ATN187" s="18"/>
      <c r="ATO187" s="18"/>
      <c r="ATP187" s="18"/>
      <c r="ATQ187" s="18"/>
      <c r="ATR187" s="18"/>
      <c r="ATS187" s="18"/>
      <c r="ATT187" s="18"/>
      <c r="ATU187" s="18"/>
      <c r="ATV187" s="18"/>
      <c r="ATW187" s="18"/>
      <c r="ATX187" s="18"/>
      <c r="ATY187" s="18"/>
      <c r="ATZ187" s="18"/>
      <c r="AUA187" s="18"/>
      <c r="AUB187" s="18"/>
      <c r="AUC187" s="18"/>
      <c r="AUD187" s="18"/>
      <c r="AUE187" s="18"/>
      <c r="AUF187" s="18"/>
      <c r="AUG187" s="18"/>
      <c r="AUH187" s="18"/>
      <c r="AUI187" s="18"/>
      <c r="AUJ187" s="18"/>
      <c r="AUK187" s="18"/>
      <c r="AUL187" s="18"/>
      <c r="AUM187" s="18"/>
      <c r="AUN187" s="18"/>
      <c r="AUO187" s="18"/>
      <c r="AUP187" s="18"/>
      <c r="AUQ187" s="18"/>
      <c r="AUR187" s="18"/>
      <c r="AUS187" s="18"/>
      <c r="AUT187" s="18"/>
      <c r="AUU187" s="18"/>
      <c r="AUV187" s="18"/>
      <c r="AUW187" s="18"/>
      <c r="AUX187" s="18"/>
      <c r="AUY187" s="18"/>
      <c r="AUZ187" s="18"/>
      <c r="AVA187" s="18"/>
      <c r="AVB187" s="18"/>
      <c r="AVC187" s="18"/>
      <c r="AVD187" s="18"/>
      <c r="AVE187" s="18"/>
      <c r="AVF187" s="18"/>
      <c r="AVG187" s="18"/>
      <c r="AVH187" s="18"/>
      <c r="AVI187" s="18"/>
      <c r="AVJ187" s="18"/>
      <c r="AVK187" s="18"/>
      <c r="AVL187" s="18"/>
      <c r="AVM187" s="18"/>
      <c r="AVN187" s="18"/>
      <c r="AVO187" s="18"/>
      <c r="AVP187" s="18"/>
      <c r="AVQ187" s="18"/>
      <c r="AVR187" s="18"/>
      <c r="AVS187" s="18"/>
      <c r="AVT187" s="18"/>
      <c r="AVU187" s="18"/>
      <c r="AVV187" s="18"/>
      <c r="AVW187" s="18"/>
      <c r="AVX187" s="18"/>
      <c r="AVY187" s="18"/>
      <c r="AVZ187" s="18"/>
      <c r="AWA187" s="18"/>
      <c r="AWB187" s="18"/>
      <c r="AWC187" s="18"/>
      <c r="AWD187" s="18"/>
      <c r="AWE187" s="18"/>
      <c r="AWF187" s="18"/>
      <c r="AWG187" s="18"/>
      <c r="AWH187" s="18"/>
      <c r="AWI187" s="18"/>
      <c r="AWJ187" s="18"/>
      <c r="AWK187" s="18"/>
      <c r="AWL187" s="18"/>
      <c r="AWM187" s="18"/>
      <c r="AWN187" s="18"/>
      <c r="AWO187" s="18"/>
      <c r="AWP187" s="18"/>
      <c r="AWQ187" s="18"/>
      <c r="AWR187" s="18"/>
      <c r="AWS187" s="18"/>
      <c r="AWT187" s="18"/>
      <c r="AWU187" s="18"/>
      <c r="AWV187" s="18"/>
      <c r="AWW187" s="18"/>
      <c r="AWX187" s="18"/>
      <c r="AWY187" s="18"/>
      <c r="AWZ187" s="18"/>
      <c r="AXA187" s="18"/>
      <c r="AXB187" s="18"/>
      <c r="AXC187" s="18"/>
      <c r="AXD187" s="18"/>
      <c r="AXE187" s="18"/>
      <c r="AXF187" s="18"/>
      <c r="AXG187" s="18"/>
      <c r="AXH187" s="18"/>
      <c r="AXI187" s="18"/>
      <c r="AXJ187" s="18"/>
      <c r="AXK187" s="18"/>
      <c r="AXL187" s="18"/>
      <c r="AXM187" s="18"/>
      <c r="AXN187" s="18"/>
      <c r="AXO187" s="18"/>
      <c r="AXP187" s="18"/>
      <c r="AXQ187" s="18"/>
      <c r="AXR187" s="18"/>
      <c r="AXS187" s="18"/>
      <c r="AXT187" s="18"/>
      <c r="AXU187" s="18"/>
      <c r="AXV187" s="18"/>
      <c r="AXW187" s="18"/>
      <c r="AXX187" s="18"/>
      <c r="AXY187" s="18"/>
      <c r="AXZ187" s="18"/>
      <c r="AYA187" s="18"/>
      <c r="AYB187" s="18"/>
      <c r="AYC187" s="18"/>
      <c r="AYD187" s="18"/>
      <c r="AYE187" s="18"/>
      <c r="AYF187" s="18"/>
      <c r="AYG187" s="18"/>
      <c r="AYH187" s="18"/>
      <c r="AYI187" s="18"/>
      <c r="AYJ187" s="18"/>
      <c r="AYK187" s="18"/>
      <c r="AYL187" s="18"/>
      <c r="AYM187" s="18"/>
      <c r="AYN187" s="18"/>
      <c r="AYO187" s="18"/>
      <c r="AYP187" s="18"/>
      <c r="AYQ187" s="18"/>
      <c r="AYR187" s="18"/>
      <c r="AYS187" s="18"/>
      <c r="AYT187" s="18"/>
      <c r="AYU187" s="18"/>
      <c r="AYV187" s="18"/>
      <c r="AYW187" s="18"/>
      <c r="AYX187" s="18"/>
      <c r="AYY187" s="18"/>
      <c r="AYZ187" s="18"/>
      <c r="AZA187" s="18"/>
      <c r="AZB187" s="18"/>
      <c r="AZC187" s="18"/>
      <c r="AZD187" s="18"/>
      <c r="AZE187" s="18"/>
      <c r="AZF187" s="18"/>
      <c r="AZG187" s="18"/>
      <c r="AZH187" s="18"/>
      <c r="AZI187" s="18"/>
      <c r="AZJ187" s="18"/>
      <c r="AZK187" s="18"/>
      <c r="AZL187" s="18"/>
      <c r="AZM187" s="18"/>
      <c r="AZN187" s="18"/>
      <c r="AZO187" s="18"/>
      <c r="AZP187" s="18"/>
      <c r="AZQ187" s="18"/>
      <c r="AZR187" s="18"/>
      <c r="AZS187" s="18"/>
      <c r="AZT187" s="18"/>
      <c r="AZU187" s="18"/>
      <c r="AZV187" s="18"/>
      <c r="AZW187" s="18"/>
      <c r="AZX187" s="18"/>
      <c r="AZY187" s="18"/>
      <c r="AZZ187" s="18"/>
      <c r="BAA187" s="18"/>
      <c r="BAB187" s="18"/>
      <c r="BAC187" s="18"/>
      <c r="BAD187" s="18"/>
      <c r="BAE187" s="18"/>
      <c r="BAF187" s="18"/>
      <c r="BAG187" s="18"/>
      <c r="BAH187" s="18"/>
      <c r="BAI187" s="18"/>
      <c r="BAJ187" s="18"/>
      <c r="BAK187" s="18"/>
      <c r="BAL187" s="18"/>
      <c r="BAM187" s="18"/>
      <c r="BAN187" s="18"/>
      <c r="BAO187" s="18"/>
      <c r="BAP187" s="18"/>
      <c r="BAQ187" s="18"/>
      <c r="BAR187" s="18"/>
      <c r="BAS187" s="18"/>
      <c r="BAT187" s="18"/>
      <c r="BAU187" s="18"/>
      <c r="BAV187" s="18"/>
      <c r="BAW187" s="18"/>
      <c r="BAX187" s="18"/>
      <c r="BAY187" s="18"/>
      <c r="BAZ187" s="18"/>
      <c r="BBA187" s="18"/>
      <c r="BBB187" s="18"/>
      <c r="BBC187" s="18"/>
      <c r="BBD187" s="18"/>
      <c r="BBE187" s="18"/>
      <c r="BBF187" s="18"/>
      <c r="BBG187" s="18"/>
      <c r="BBH187" s="18"/>
      <c r="BBI187" s="18"/>
      <c r="BBJ187" s="18"/>
      <c r="BBK187" s="18"/>
      <c r="BBL187" s="18"/>
      <c r="BBM187" s="18"/>
      <c r="BBN187" s="18"/>
      <c r="BBO187" s="18"/>
      <c r="BBP187" s="18"/>
      <c r="BBQ187" s="18"/>
      <c r="BBR187" s="18"/>
      <c r="BBS187" s="18"/>
      <c r="BBT187" s="18"/>
      <c r="BBU187" s="18"/>
      <c r="BBV187" s="18"/>
      <c r="BBW187" s="18"/>
      <c r="BBX187" s="18"/>
      <c r="BBY187" s="18"/>
      <c r="BBZ187" s="18"/>
      <c r="BCA187" s="18"/>
      <c r="BCB187" s="18"/>
      <c r="BCC187" s="18"/>
      <c r="BCD187" s="18"/>
      <c r="BCE187" s="18"/>
      <c r="BCF187" s="18"/>
      <c r="BCG187" s="18"/>
      <c r="BCH187" s="18"/>
      <c r="BCI187" s="18"/>
      <c r="BCJ187" s="18"/>
      <c r="BCK187" s="18"/>
      <c r="BCL187" s="18"/>
      <c r="BCM187" s="18"/>
      <c r="BCN187" s="18"/>
      <c r="BCO187" s="18"/>
      <c r="BCP187" s="18"/>
      <c r="BCQ187" s="18"/>
      <c r="BCR187" s="18"/>
      <c r="BCS187" s="18"/>
      <c r="BCT187" s="18"/>
      <c r="BCU187" s="18"/>
      <c r="BCV187" s="18"/>
      <c r="BCW187" s="18"/>
      <c r="BCX187" s="18"/>
      <c r="BCY187" s="18"/>
      <c r="BCZ187" s="18"/>
      <c r="BDA187" s="18"/>
      <c r="BDB187" s="18"/>
      <c r="BDC187" s="18"/>
      <c r="BDD187" s="18"/>
      <c r="BDE187" s="18"/>
      <c r="BDF187" s="18"/>
      <c r="BDG187" s="18"/>
      <c r="BDH187" s="18"/>
      <c r="BDI187" s="18"/>
      <c r="BDJ187" s="18"/>
      <c r="BDK187" s="18"/>
      <c r="BDL187" s="18"/>
      <c r="BDM187" s="18"/>
      <c r="BDN187" s="18"/>
      <c r="BDO187" s="18"/>
      <c r="BDP187" s="18"/>
      <c r="BDQ187" s="18"/>
      <c r="BDR187" s="18"/>
      <c r="BDS187" s="18"/>
      <c r="BDT187" s="18"/>
      <c r="BDU187" s="18"/>
      <c r="BDV187" s="18"/>
      <c r="BDW187" s="18"/>
      <c r="BDX187" s="18"/>
      <c r="BDY187" s="18"/>
      <c r="BDZ187" s="18"/>
      <c r="BEA187" s="18"/>
      <c r="BEB187" s="18"/>
      <c r="BEC187" s="18"/>
      <c r="BED187" s="18"/>
      <c r="BEE187" s="18"/>
      <c r="BEF187" s="18"/>
      <c r="BEG187" s="18"/>
      <c r="BEH187" s="18"/>
      <c r="BEI187" s="18"/>
      <c r="BEJ187" s="18"/>
      <c r="BEK187" s="18"/>
      <c r="BEL187" s="18"/>
      <c r="BEM187" s="18"/>
      <c r="BEN187" s="18"/>
      <c r="BEO187" s="18"/>
      <c r="BEP187" s="18"/>
      <c r="BEQ187" s="18"/>
      <c r="BER187" s="18"/>
      <c r="BES187" s="18"/>
      <c r="BET187" s="18"/>
      <c r="BEU187" s="18"/>
      <c r="BEV187" s="18"/>
      <c r="BEW187" s="18"/>
      <c r="BEX187" s="18"/>
      <c r="BEY187" s="18"/>
      <c r="BEZ187" s="18"/>
      <c r="BFA187" s="18"/>
      <c r="BFB187" s="18"/>
      <c r="BFC187" s="18"/>
      <c r="BFD187" s="18"/>
      <c r="BFE187" s="18"/>
      <c r="BFF187" s="18"/>
      <c r="BFG187" s="18"/>
      <c r="BFH187" s="18"/>
      <c r="BFI187" s="18"/>
      <c r="BFJ187" s="18"/>
      <c r="BFK187" s="18"/>
      <c r="BFL187" s="18"/>
      <c r="BFM187" s="18"/>
      <c r="BFN187" s="18"/>
      <c r="BFO187" s="18"/>
      <c r="BFP187" s="18"/>
      <c r="BFQ187" s="18"/>
      <c r="BFR187" s="18"/>
      <c r="BFS187" s="18"/>
      <c r="BFT187" s="18"/>
      <c r="BFU187" s="18"/>
      <c r="BFV187" s="18"/>
      <c r="BFW187" s="18"/>
      <c r="BFX187" s="18"/>
      <c r="BFY187" s="18"/>
      <c r="BFZ187" s="18"/>
      <c r="BGA187" s="18"/>
      <c r="BGB187" s="18"/>
      <c r="BGC187" s="18"/>
      <c r="BGD187" s="18"/>
      <c r="BGE187" s="18"/>
      <c r="BGF187" s="18"/>
      <c r="BGG187" s="18"/>
      <c r="BGH187" s="18"/>
      <c r="BGI187" s="18"/>
      <c r="BGJ187" s="18"/>
      <c r="BGK187" s="18"/>
      <c r="BGL187" s="18"/>
      <c r="BGM187" s="18"/>
      <c r="BGN187" s="18"/>
      <c r="BGO187" s="18"/>
      <c r="BGP187" s="18"/>
      <c r="BGQ187" s="18"/>
      <c r="BGR187" s="18"/>
      <c r="BGS187" s="18"/>
      <c r="BGT187" s="18"/>
      <c r="BGU187" s="18"/>
      <c r="BGV187" s="18"/>
      <c r="BGW187" s="18"/>
      <c r="BGX187" s="18"/>
      <c r="BGY187" s="18"/>
      <c r="BGZ187" s="18"/>
      <c r="BHA187" s="18"/>
      <c r="BHB187" s="18"/>
      <c r="BHC187" s="18"/>
      <c r="BHD187" s="18"/>
      <c r="BHE187" s="18"/>
      <c r="BHF187" s="18"/>
      <c r="BHG187" s="18"/>
      <c r="BHH187" s="18"/>
      <c r="BHI187" s="18"/>
      <c r="BHJ187" s="18"/>
      <c r="BHK187" s="18"/>
      <c r="BHL187" s="18"/>
      <c r="BHM187" s="18"/>
      <c r="BHN187" s="18"/>
      <c r="BHO187" s="18"/>
      <c r="BHP187" s="18"/>
      <c r="BHQ187" s="18"/>
      <c r="BHR187" s="18"/>
      <c r="BHS187" s="18"/>
      <c r="BHT187" s="18"/>
      <c r="BHU187" s="18"/>
      <c r="BHV187" s="18"/>
      <c r="BHW187" s="18"/>
      <c r="BHX187" s="18"/>
      <c r="BHY187" s="18"/>
      <c r="BHZ187" s="18"/>
      <c r="BIA187" s="18"/>
      <c r="BIB187" s="18"/>
      <c r="BIC187" s="18"/>
      <c r="BID187" s="18"/>
      <c r="BIE187" s="18"/>
      <c r="BIF187" s="18"/>
      <c r="BIG187" s="18"/>
      <c r="BIH187" s="18"/>
      <c r="BII187" s="18"/>
      <c r="BIJ187" s="18"/>
      <c r="BIK187" s="18"/>
      <c r="BIL187" s="18"/>
      <c r="BIM187" s="18"/>
      <c r="BIN187" s="18"/>
      <c r="BIO187" s="18"/>
      <c r="BIP187" s="18"/>
      <c r="BIQ187" s="18"/>
      <c r="BIR187" s="18"/>
      <c r="BIS187" s="18"/>
      <c r="BIT187" s="18"/>
      <c r="BIU187" s="18"/>
      <c r="BIV187" s="18"/>
      <c r="BIW187" s="18"/>
      <c r="BIX187" s="18"/>
      <c r="BIY187" s="18"/>
      <c r="BIZ187" s="18"/>
      <c r="BJA187" s="18"/>
      <c r="BJB187" s="18"/>
      <c r="BJC187" s="18"/>
      <c r="BJD187" s="18"/>
      <c r="BJE187" s="18"/>
      <c r="BJF187" s="18"/>
      <c r="BJG187" s="18"/>
      <c r="BJH187" s="18"/>
      <c r="BJI187" s="18"/>
      <c r="BJJ187" s="18"/>
      <c r="BJK187" s="18"/>
      <c r="BJL187" s="18"/>
      <c r="BJM187" s="18"/>
      <c r="BJN187" s="18"/>
      <c r="BJO187" s="18"/>
      <c r="BJP187" s="18"/>
      <c r="BJQ187" s="18"/>
      <c r="BJR187" s="18"/>
      <c r="BJS187" s="18"/>
      <c r="BJT187" s="18"/>
      <c r="BJU187" s="18"/>
      <c r="BJV187" s="18"/>
      <c r="BJW187" s="18"/>
      <c r="BJX187" s="18"/>
      <c r="BJY187" s="18"/>
      <c r="BJZ187" s="18"/>
      <c r="BKA187" s="18"/>
      <c r="BKB187" s="18"/>
      <c r="BKC187" s="18"/>
      <c r="BKD187" s="18"/>
      <c r="BKE187" s="18"/>
      <c r="BKF187" s="18"/>
      <c r="BKG187" s="18"/>
      <c r="BKH187" s="18"/>
      <c r="BKI187" s="18"/>
      <c r="BKJ187" s="18"/>
      <c r="BKK187" s="18"/>
      <c r="BKL187" s="18"/>
      <c r="BKM187" s="18"/>
      <c r="BKN187" s="18"/>
      <c r="BKO187" s="18"/>
      <c r="BKP187" s="18"/>
      <c r="BKQ187" s="18"/>
      <c r="BKR187" s="18"/>
      <c r="BKS187" s="18"/>
      <c r="BKT187" s="18"/>
      <c r="BKU187" s="18"/>
      <c r="BKV187" s="18"/>
      <c r="BKW187" s="18"/>
      <c r="BKX187" s="18"/>
      <c r="BKY187" s="18"/>
      <c r="BKZ187" s="18"/>
      <c r="BLA187" s="18"/>
      <c r="BLB187" s="18"/>
      <c r="BLC187" s="18"/>
      <c r="BLD187" s="18"/>
      <c r="BLE187" s="18"/>
      <c r="BLF187" s="18"/>
      <c r="BLG187" s="18"/>
      <c r="BLH187" s="18"/>
      <c r="BLI187" s="18"/>
      <c r="BLJ187" s="18"/>
      <c r="BLK187" s="18"/>
      <c r="BLL187" s="18"/>
      <c r="BLM187" s="18"/>
      <c r="BLN187" s="18"/>
      <c r="BLO187" s="18"/>
      <c r="BLP187" s="18"/>
      <c r="BLQ187" s="18"/>
      <c r="BLR187" s="18"/>
      <c r="BLS187" s="18"/>
      <c r="BLT187" s="18"/>
      <c r="BLU187" s="18"/>
      <c r="BLV187" s="18"/>
      <c r="BLW187" s="18"/>
      <c r="BLX187" s="18"/>
      <c r="BLY187" s="18"/>
      <c r="BLZ187" s="18"/>
      <c r="BMA187" s="18"/>
      <c r="BMB187" s="18"/>
      <c r="BMC187" s="18"/>
      <c r="BMD187" s="18"/>
      <c r="BME187" s="18"/>
      <c r="BMF187" s="18"/>
      <c r="BMG187" s="18"/>
      <c r="BMH187" s="18"/>
      <c r="BMI187" s="18"/>
      <c r="BMJ187" s="18"/>
      <c r="BMK187" s="18"/>
      <c r="BML187" s="18"/>
      <c r="BMM187" s="18"/>
      <c r="BMN187" s="18"/>
      <c r="BMO187" s="18"/>
      <c r="BMP187" s="18"/>
      <c r="BMQ187" s="18"/>
      <c r="BMR187" s="18"/>
      <c r="BMS187" s="18"/>
      <c r="BMT187" s="18"/>
      <c r="BMU187" s="18"/>
      <c r="BMV187" s="18"/>
      <c r="BMW187" s="18"/>
      <c r="BMX187" s="18"/>
      <c r="BMY187" s="18"/>
      <c r="BMZ187" s="18"/>
      <c r="BNA187" s="18"/>
      <c r="BNB187" s="18"/>
      <c r="BNC187" s="18"/>
      <c r="BND187" s="18"/>
      <c r="BNE187" s="18"/>
      <c r="BNF187" s="18"/>
      <c r="BNG187" s="18"/>
      <c r="BNH187" s="18"/>
      <c r="BNI187" s="18"/>
      <c r="BNJ187" s="18"/>
      <c r="BNK187" s="18"/>
      <c r="BNL187" s="18"/>
      <c r="BNM187" s="18"/>
      <c r="BNN187" s="18"/>
      <c r="BNO187" s="18"/>
      <c r="BNP187" s="18"/>
      <c r="BNQ187" s="18"/>
      <c r="BNR187" s="18"/>
      <c r="BNS187" s="18"/>
      <c r="BNT187" s="18"/>
      <c r="BNU187" s="18"/>
      <c r="BNV187" s="18"/>
      <c r="BNW187" s="18"/>
      <c r="BNX187" s="18"/>
      <c r="BNY187" s="18"/>
      <c r="BNZ187" s="18"/>
      <c r="BOA187" s="18"/>
      <c r="BOB187" s="18"/>
      <c r="BOC187" s="18"/>
      <c r="BOD187" s="18"/>
      <c r="BOE187" s="18"/>
      <c r="BOF187" s="18"/>
      <c r="BOG187" s="18"/>
      <c r="BOH187" s="18"/>
      <c r="BOI187" s="18"/>
      <c r="BOJ187" s="18"/>
      <c r="BOK187" s="18"/>
      <c r="BOL187" s="18"/>
      <c r="BOM187" s="18"/>
      <c r="BON187" s="18"/>
      <c r="BOO187" s="18"/>
      <c r="BOP187" s="18"/>
      <c r="BOQ187" s="18"/>
      <c r="BOR187" s="18"/>
      <c r="BOS187" s="18"/>
      <c r="BOT187" s="18"/>
      <c r="BOU187" s="18"/>
      <c r="BOV187" s="18"/>
      <c r="BOW187" s="18"/>
      <c r="BOX187" s="18"/>
      <c r="BOY187" s="18"/>
      <c r="BOZ187" s="18"/>
      <c r="BPA187" s="18"/>
      <c r="BPB187" s="18"/>
      <c r="BPC187" s="18"/>
      <c r="BPD187" s="18"/>
      <c r="BPE187" s="18"/>
      <c r="BPF187" s="18"/>
      <c r="BPG187" s="18"/>
      <c r="BPH187" s="18"/>
      <c r="BPI187" s="18"/>
      <c r="BPJ187" s="18"/>
      <c r="BPK187" s="18"/>
      <c r="BPL187" s="18"/>
      <c r="BPM187" s="18"/>
      <c r="BPN187" s="18"/>
      <c r="BPO187" s="18"/>
      <c r="BPP187" s="18"/>
      <c r="BPQ187" s="18"/>
      <c r="BPR187" s="18"/>
      <c r="BPS187" s="18"/>
      <c r="BPT187" s="18"/>
      <c r="BPU187" s="18"/>
      <c r="BPV187" s="18"/>
      <c r="BPW187" s="18"/>
      <c r="BPX187" s="18"/>
      <c r="BPY187" s="18"/>
      <c r="BPZ187" s="18"/>
      <c r="BQA187" s="18"/>
      <c r="BQB187" s="18"/>
      <c r="BQC187" s="18"/>
      <c r="BQD187" s="18"/>
      <c r="BQE187" s="18"/>
      <c r="BQF187" s="18"/>
      <c r="BQG187" s="18"/>
      <c r="BQH187" s="18"/>
      <c r="BQI187" s="18"/>
      <c r="BQJ187" s="18"/>
      <c r="BQK187" s="18"/>
      <c r="BQL187" s="18"/>
      <c r="BQM187" s="18"/>
      <c r="BQN187" s="18"/>
      <c r="BQO187" s="18"/>
      <c r="BQP187" s="18"/>
      <c r="BQQ187" s="18"/>
      <c r="BQR187" s="18"/>
      <c r="BQS187" s="18"/>
      <c r="BQT187" s="18"/>
      <c r="BQU187" s="18"/>
      <c r="BQV187" s="18"/>
      <c r="BQW187" s="18"/>
      <c r="BQX187" s="18"/>
      <c r="BQY187" s="18"/>
      <c r="BQZ187" s="18"/>
      <c r="BRA187" s="18"/>
      <c r="BRB187" s="18"/>
      <c r="BRC187" s="18"/>
      <c r="BRD187" s="18"/>
      <c r="BRE187" s="18"/>
      <c r="BRF187" s="18"/>
      <c r="BRG187" s="18"/>
      <c r="BRH187" s="18"/>
      <c r="BRI187" s="18"/>
      <c r="BRJ187" s="18"/>
      <c r="BRK187" s="18"/>
      <c r="BRL187" s="18"/>
      <c r="BRM187" s="18"/>
      <c r="BRN187" s="18"/>
      <c r="BRO187" s="18"/>
      <c r="BRP187" s="18"/>
      <c r="BRQ187" s="18"/>
      <c r="BRR187" s="18"/>
      <c r="BRS187" s="18"/>
      <c r="BRT187" s="18"/>
      <c r="BRU187" s="18"/>
      <c r="BRV187" s="18"/>
      <c r="BRW187" s="18"/>
      <c r="BRX187" s="18"/>
      <c r="BRY187" s="18"/>
      <c r="BRZ187" s="18"/>
      <c r="BSA187" s="18"/>
      <c r="BSB187" s="18"/>
      <c r="BSC187" s="18"/>
      <c r="BSD187" s="18"/>
      <c r="BSE187" s="18"/>
      <c r="BSF187" s="18"/>
      <c r="BSG187" s="18"/>
      <c r="BSH187" s="18"/>
      <c r="BSI187" s="18"/>
      <c r="BSJ187" s="18"/>
      <c r="BSK187" s="18"/>
      <c r="BSL187" s="18"/>
      <c r="BSM187" s="18"/>
      <c r="BSN187" s="18"/>
      <c r="BSO187" s="18"/>
      <c r="BSP187" s="18"/>
      <c r="BSQ187" s="18"/>
      <c r="BSR187" s="18"/>
      <c r="BSS187" s="18"/>
      <c r="BST187" s="18"/>
      <c r="BSU187" s="18"/>
      <c r="BSV187" s="18"/>
      <c r="BSW187" s="18"/>
      <c r="BSX187" s="18"/>
      <c r="BSY187" s="18"/>
      <c r="BSZ187" s="18"/>
      <c r="BTA187" s="18"/>
      <c r="BTB187" s="18"/>
      <c r="BTC187" s="18"/>
      <c r="BTD187" s="18"/>
      <c r="BTE187" s="18"/>
      <c r="BTF187" s="18"/>
      <c r="BTG187" s="18"/>
      <c r="BTH187" s="18"/>
    </row>
    <row r="188" spans="1:1880" s="399" customFormat="1" ht="78.75" customHeight="1" x14ac:dyDescent="0.3">
      <c r="A188" s="100">
        <v>602</v>
      </c>
      <c r="B188" s="343" t="s">
        <v>53</v>
      </c>
      <c r="C188" s="343" t="s">
        <v>241</v>
      </c>
      <c r="D188" s="99" t="s">
        <v>294</v>
      </c>
      <c r="E188" s="341" t="e">
        <f>INDEX('PY1 Data(H)'!$A$1:$CZ$231,MATCH('Unit Data from Audit Worksheet'!$A188,'PY1 Data(H)'!$A$1:$A$231,0),MATCH('Unit Data from Audit Worksheet'!$D$2,'PY1 Data(H)'!$A$1:$CZ$1,0))</f>
        <v>#N/A</v>
      </c>
      <c r="F188" s="897">
        <v>0</v>
      </c>
      <c r="G188" s="401" t="str">
        <f>IF(ISBLANK(F188),"Please do not leave blank","")</f>
        <v/>
      </c>
      <c r="H188" s="372">
        <f>IF(F188&lt;0,"Note: Number is normally positive.",)</f>
        <v>0</v>
      </c>
      <c r="I188" s="72"/>
      <c r="J188"/>
      <c r="K188" s="18"/>
      <c r="L188"/>
      <c r="M188" s="18"/>
      <c r="N188" s="176"/>
      <c r="O188" s="18"/>
      <c r="P188" s="18"/>
      <c r="Q188" s="18"/>
      <c r="R188" s="18"/>
      <c r="S188" s="18"/>
      <c r="T188" s="18"/>
      <c r="U188" s="18"/>
      <c r="V188" s="18"/>
      <c r="W188" s="18"/>
      <c r="X188" s="1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s="18"/>
      <c r="DT188" s="18"/>
      <c r="DU188" s="18"/>
      <c r="DV188" s="18"/>
      <c r="DW188" s="18"/>
      <c r="DX188" s="18"/>
      <c r="DY188" s="18"/>
      <c r="DZ188" s="18"/>
      <c r="EA188" s="18"/>
      <c r="EB188" s="18"/>
      <c r="EC188" s="18"/>
      <c r="ED188" s="18"/>
      <c r="EE188" s="18"/>
      <c r="EF188" s="18"/>
      <c r="EG188" s="18"/>
      <c r="EH188" s="18"/>
      <c r="EI188" s="18"/>
      <c r="EJ188" s="18"/>
      <c r="EK188" s="18"/>
      <c r="EL188" s="18"/>
      <c r="EM188" s="18"/>
      <c r="EN188" s="18"/>
      <c r="EO188" s="18"/>
      <c r="EP188" s="18"/>
      <c r="EQ188" s="18"/>
      <c r="ER188" s="18"/>
      <c r="ES188" s="18"/>
      <c r="ET188" s="18"/>
      <c r="EU188" s="18"/>
      <c r="EV188" s="18"/>
      <c r="EW188" s="18"/>
      <c r="EX188" s="18"/>
      <c r="EY188" s="18"/>
      <c r="EZ188" s="18"/>
      <c r="FA188" s="18"/>
      <c r="FB188" s="18"/>
      <c r="FC188" s="18"/>
      <c r="FD188" s="18"/>
      <c r="FE188" s="18"/>
      <c r="FF188" s="18"/>
      <c r="FG188" s="18"/>
      <c r="FH188" s="18"/>
      <c r="FI188" s="18"/>
      <c r="FJ188" s="18"/>
      <c r="FK188" s="18"/>
      <c r="FL188" s="18"/>
      <c r="FM188" s="18"/>
      <c r="FN188" s="18"/>
      <c r="FO188" s="18"/>
      <c r="FP188" s="18"/>
      <c r="FQ188" s="18"/>
      <c r="FR188" s="18"/>
      <c r="FS188" s="18"/>
      <c r="FT188" s="18"/>
      <c r="FU188" s="18"/>
      <c r="FV188" s="18"/>
      <c r="FW188" s="18"/>
      <c r="FX188" s="18"/>
      <c r="FY188" s="18"/>
      <c r="FZ188" s="18"/>
      <c r="GA188" s="18"/>
      <c r="GB188" s="18"/>
      <c r="GC188" s="18"/>
      <c r="GD188" s="18"/>
      <c r="GE188" s="18"/>
      <c r="GF188" s="18"/>
      <c r="GG188" s="18"/>
      <c r="GH188" s="18"/>
      <c r="GI188" s="18"/>
      <c r="GJ188" s="18"/>
      <c r="GK188" s="18"/>
      <c r="GL188" s="18"/>
      <c r="GM188" s="18"/>
      <c r="GN188" s="18"/>
      <c r="GO188" s="18"/>
      <c r="GP188" s="18"/>
      <c r="GQ188" s="18"/>
      <c r="GR188" s="18"/>
      <c r="GS188" s="18"/>
      <c r="GT188" s="18"/>
      <c r="GU188" s="18"/>
      <c r="GV188" s="18"/>
      <c r="GW188" s="18"/>
      <c r="GX188" s="18"/>
      <c r="GY188" s="18"/>
      <c r="GZ188" s="18"/>
      <c r="HA188" s="18"/>
      <c r="HB188" s="18"/>
      <c r="HC188" s="18"/>
      <c r="HD188" s="18"/>
      <c r="HE188" s="18"/>
      <c r="HF188" s="18"/>
      <c r="HG188" s="18"/>
      <c r="HH188" s="18"/>
      <c r="HI188" s="18"/>
      <c r="HJ188" s="18"/>
      <c r="HK188" s="18"/>
      <c r="HL188" s="18"/>
      <c r="HM188" s="18"/>
      <c r="HN188" s="18"/>
      <c r="HO188" s="18"/>
      <c r="HP188" s="18"/>
      <c r="HQ188" s="18"/>
      <c r="HR188" s="18"/>
      <c r="HS188" s="18"/>
      <c r="HT188" s="18"/>
      <c r="HU188" s="18"/>
      <c r="HV188" s="18"/>
      <c r="HW188" s="18"/>
      <c r="HX188" s="18"/>
      <c r="HY188" s="18"/>
      <c r="HZ188" s="18"/>
      <c r="IA188" s="18"/>
      <c r="IB188" s="18"/>
      <c r="IC188" s="18"/>
      <c r="ID188" s="18"/>
      <c r="IE188" s="18"/>
      <c r="IF188" s="18"/>
      <c r="IG188" s="18"/>
      <c r="IH188" s="18"/>
      <c r="II188" s="18"/>
      <c r="IJ188" s="18"/>
      <c r="IK188" s="18"/>
      <c r="IL188" s="18"/>
      <c r="IM188" s="18"/>
      <c r="IN188" s="18"/>
      <c r="IO188" s="18"/>
      <c r="IP188" s="18"/>
      <c r="IQ188" s="18"/>
      <c r="IR188" s="18"/>
      <c r="IS188" s="18"/>
      <c r="IT188" s="18"/>
      <c r="IU188" s="18"/>
      <c r="IV188" s="18"/>
      <c r="IW188" s="18"/>
      <c r="IX188" s="18"/>
      <c r="IY188" s="18"/>
      <c r="IZ188" s="18"/>
      <c r="JA188" s="18"/>
      <c r="JB188" s="18"/>
      <c r="JC188" s="18"/>
      <c r="JD188" s="18"/>
      <c r="JE188" s="18"/>
      <c r="JF188" s="18"/>
      <c r="JG188" s="18"/>
      <c r="JH188" s="18"/>
      <c r="JI188" s="18"/>
      <c r="JJ188" s="18"/>
      <c r="JK188" s="18"/>
      <c r="JL188" s="18"/>
      <c r="JM188" s="18"/>
      <c r="JN188" s="18"/>
      <c r="JO188" s="18"/>
      <c r="JP188" s="18"/>
      <c r="JQ188" s="18"/>
      <c r="JR188" s="18"/>
      <c r="JS188" s="18"/>
      <c r="JT188" s="18"/>
      <c r="JU188" s="18"/>
      <c r="JV188" s="18"/>
      <c r="JW188" s="18"/>
      <c r="JX188" s="18"/>
      <c r="JY188" s="18"/>
      <c r="JZ188" s="18"/>
      <c r="KA188" s="18"/>
      <c r="KB188" s="18"/>
      <c r="KC188" s="18"/>
      <c r="KD188" s="18"/>
      <c r="KE188" s="18"/>
      <c r="KF188" s="18"/>
      <c r="KG188" s="18"/>
      <c r="KH188" s="18"/>
      <c r="KI188" s="18"/>
      <c r="KJ188" s="18"/>
      <c r="KK188" s="18"/>
      <c r="KL188" s="18"/>
      <c r="KM188" s="18"/>
      <c r="KN188" s="18"/>
      <c r="KO188" s="18"/>
      <c r="KP188" s="18"/>
      <c r="KQ188" s="18"/>
      <c r="KR188" s="18"/>
      <c r="KS188" s="18"/>
      <c r="KT188" s="18"/>
      <c r="KU188" s="18"/>
      <c r="KV188" s="18"/>
      <c r="KW188" s="18"/>
      <c r="KX188" s="18"/>
      <c r="KY188" s="18"/>
      <c r="KZ188" s="18"/>
      <c r="LA188" s="18"/>
      <c r="LB188" s="18"/>
      <c r="LC188" s="18"/>
      <c r="LD188" s="18"/>
      <c r="LE188" s="18"/>
      <c r="LF188" s="18"/>
      <c r="LG188" s="18"/>
      <c r="LH188" s="18"/>
      <c r="LI188" s="18"/>
      <c r="LJ188" s="18"/>
      <c r="LK188" s="18"/>
      <c r="LL188" s="18"/>
      <c r="LM188" s="18"/>
      <c r="LN188" s="18"/>
      <c r="LO188" s="18"/>
      <c r="LP188" s="18"/>
      <c r="LQ188" s="18"/>
      <c r="LR188" s="18"/>
      <c r="LS188" s="18"/>
      <c r="LT188" s="18"/>
      <c r="LU188" s="18"/>
      <c r="LV188" s="18"/>
      <c r="LW188" s="18"/>
      <c r="LX188" s="18"/>
      <c r="LY188" s="18"/>
      <c r="LZ188" s="18"/>
      <c r="MA188" s="18"/>
      <c r="MB188" s="18"/>
      <c r="MC188" s="18"/>
      <c r="MD188" s="18"/>
      <c r="ME188" s="18"/>
      <c r="MF188" s="18"/>
      <c r="MG188" s="18"/>
      <c r="MH188" s="18"/>
      <c r="MI188" s="18"/>
      <c r="MJ188" s="18"/>
      <c r="MK188" s="18"/>
      <c r="ML188" s="18"/>
      <c r="MM188" s="18"/>
      <c r="MN188" s="18"/>
      <c r="MO188" s="18"/>
      <c r="MP188" s="18"/>
      <c r="MQ188" s="18"/>
      <c r="MR188" s="18"/>
      <c r="MS188" s="18"/>
      <c r="MT188" s="18"/>
      <c r="MU188" s="18"/>
      <c r="MV188" s="18"/>
      <c r="MW188" s="18"/>
      <c r="MX188" s="18"/>
      <c r="MY188" s="18"/>
      <c r="MZ188" s="18"/>
      <c r="NA188" s="18"/>
      <c r="NB188" s="18"/>
      <c r="NC188" s="18"/>
      <c r="ND188" s="18"/>
      <c r="NE188" s="18"/>
      <c r="NF188" s="18"/>
      <c r="NG188" s="18"/>
      <c r="NH188" s="18"/>
      <c r="NI188" s="18"/>
      <c r="NJ188" s="18"/>
      <c r="NK188" s="18"/>
      <c r="NL188" s="18"/>
      <c r="NM188" s="18"/>
      <c r="NN188" s="18"/>
      <c r="NO188" s="18"/>
      <c r="NP188" s="18"/>
      <c r="NQ188" s="18"/>
      <c r="NR188" s="18"/>
      <c r="NS188" s="18"/>
      <c r="NT188" s="18"/>
      <c r="NU188" s="18"/>
      <c r="NV188" s="18"/>
      <c r="NW188" s="18"/>
      <c r="NX188" s="18"/>
      <c r="NY188" s="18"/>
      <c r="NZ188" s="18"/>
      <c r="OA188" s="18"/>
      <c r="OB188" s="18"/>
      <c r="OC188" s="18"/>
      <c r="OD188" s="18"/>
      <c r="OE188" s="18"/>
      <c r="OF188" s="18"/>
      <c r="OG188" s="18"/>
      <c r="OH188" s="18"/>
      <c r="OI188" s="18"/>
      <c r="OJ188" s="18"/>
      <c r="OK188" s="18"/>
      <c r="OL188" s="18"/>
      <c r="OM188" s="18"/>
      <c r="ON188" s="18"/>
      <c r="OO188" s="18"/>
      <c r="OP188" s="18"/>
      <c r="OQ188" s="18"/>
      <c r="OR188" s="18"/>
      <c r="OS188" s="18"/>
      <c r="OT188" s="18"/>
      <c r="OU188" s="18"/>
      <c r="OV188" s="18"/>
      <c r="OW188" s="18"/>
      <c r="OX188" s="18"/>
      <c r="OY188" s="18"/>
      <c r="OZ188" s="18"/>
      <c r="PA188" s="18"/>
      <c r="PB188" s="18"/>
      <c r="PC188" s="18"/>
      <c r="PD188" s="18"/>
      <c r="PE188" s="18"/>
      <c r="PF188" s="18"/>
      <c r="PG188" s="18"/>
      <c r="PH188" s="18"/>
      <c r="PI188" s="18"/>
      <c r="PJ188" s="18"/>
      <c r="PK188" s="18"/>
      <c r="PL188" s="18"/>
      <c r="PM188" s="18"/>
      <c r="PN188" s="18"/>
      <c r="PO188" s="18"/>
      <c r="PP188" s="18"/>
      <c r="PQ188" s="18"/>
      <c r="PR188" s="18"/>
      <c r="PS188" s="18"/>
      <c r="PT188" s="18"/>
      <c r="PU188" s="18"/>
      <c r="PV188" s="18"/>
      <c r="PW188" s="18"/>
      <c r="PX188" s="18"/>
      <c r="PY188" s="18"/>
      <c r="PZ188" s="18"/>
      <c r="QA188" s="18"/>
      <c r="QB188" s="18"/>
      <c r="QC188" s="18"/>
      <c r="QD188" s="18"/>
      <c r="QE188" s="18"/>
      <c r="QF188" s="18"/>
      <c r="QG188" s="18"/>
      <c r="QH188" s="18"/>
      <c r="QI188" s="18"/>
      <c r="QJ188" s="18"/>
      <c r="QK188" s="18"/>
      <c r="QL188" s="18"/>
      <c r="QM188" s="18"/>
      <c r="QN188" s="18"/>
      <c r="QO188" s="18"/>
      <c r="QP188" s="18"/>
      <c r="QQ188" s="18"/>
      <c r="QR188" s="18"/>
      <c r="QS188" s="18"/>
      <c r="QT188" s="18"/>
      <c r="QU188" s="18"/>
      <c r="QV188" s="18"/>
      <c r="QW188" s="18"/>
      <c r="QX188" s="18"/>
      <c r="QY188" s="18"/>
      <c r="QZ188" s="18"/>
      <c r="RA188" s="18"/>
      <c r="RB188" s="18"/>
      <c r="RC188" s="18"/>
      <c r="RD188" s="18"/>
      <c r="RE188" s="18"/>
      <c r="RF188" s="18"/>
      <c r="RG188" s="18"/>
      <c r="RH188" s="18"/>
      <c r="RI188" s="18"/>
      <c r="RJ188" s="18"/>
      <c r="RK188" s="18"/>
      <c r="RL188" s="18"/>
      <c r="RM188" s="18"/>
      <c r="RN188" s="18"/>
      <c r="RO188" s="18"/>
      <c r="RP188" s="18"/>
      <c r="RQ188" s="18"/>
      <c r="RR188" s="18"/>
      <c r="RS188" s="18"/>
      <c r="RT188" s="18"/>
      <c r="RU188" s="18"/>
      <c r="RV188" s="18"/>
      <c r="RW188" s="18"/>
      <c r="RX188" s="18"/>
      <c r="RY188" s="18"/>
      <c r="RZ188" s="18"/>
      <c r="SA188" s="18"/>
      <c r="SB188" s="18"/>
      <c r="SC188" s="18"/>
      <c r="SD188" s="18"/>
      <c r="SE188" s="18"/>
      <c r="SF188" s="18"/>
      <c r="SG188" s="18"/>
      <c r="SH188" s="18"/>
      <c r="SI188" s="18"/>
      <c r="SJ188" s="18"/>
      <c r="SK188" s="18"/>
      <c r="SL188" s="18"/>
      <c r="SM188" s="18"/>
      <c r="SN188" s="18"/>
      <c r="SO188" s="18"/>
      <c r="SP188" s="18"/>
      <c r="SQ188" s="18"/>
      <c r="SR188" s="18"/>
      <c r="SS188" s="18"/>
      <c r="ST188" s="18"/>
      <c r="SU188" s="18"/>
      <c r="SV188" s="18"/>
      <c r="SW188" s="18"/>
      <c r="SX188" s="18"/>
      <c r="SY188" s="18"/>
      <c r="SZ188" s="18"/>
      <c r="TA188" s="18"/>
      <c r="TB188" s="18"/>
      <c r="TC188" s="18"/>
      <c r="TD188" s="18"/>
      <c r="TE188" s="18"/>
      <c r="TF188" s="18"/>
      <c r="TG188" s="18"/>
      <c r="TH188" s="18"/>
      <c r="TI188" s="18"/>
      <c r="TJ188" s="18"/>
      <c r="TK188" s="18"/>
      <c r="TL188" s="18"/>
      <c r="TM188" s="18"/>
      <c r="TN188" s="18"/>
      <c r="TO188" s="18"/>
      <c r="TP188" s="18"/>
      <c r="TQ188" s="18"/>
      <c r="TR188" s="18"/>
      <c r="TS188" s="18"/>
      <c r="TT188" s="18"/>
      <c r="TU188" s="18"/>
      <c r="TV188" s="18"/>
      <c r="TW188" s="18"/>
      <c r="TX188" s="18"/>
      <c r="TY188" s="18"/>
      <c r="TZ188" s="18"/>
      <c r="UA188" s="18"/>
      <c r="UB188" s="18"/>
      <c r="UC188" s="18"/>
      <c r="UD188" s="18"/>
      <c r="UE188" s="18"/>
      <c r="UF188" s="18"/>
      <c r="UG188" s="18"/>
      <c r="UH188" s="18"/>
      <c r="UI188" s="18"/>
      <c r="UJ188" s="18"/>
      <c r="UK188" s="18"/>
      <c r="UL188" s="18"/>
      <c r="UM188" s="18"/>
      <c r="UN188" s="18"/>
      <c r="UO188" s="18"/>
      <c r="UP188" s="18"/>
      <c r="UQ188" s="18"/>
      <c r="UR188" s="18"/>
      <c r="US188" s="18"/>
      <c r="UT188" s="18"/>
      <c r="UU188" s="18"/>
      <c r="UV188" s="18"/>
      <c r="UW188" s="18"/>
      <c r="UX188" s="18"/>
      <c r="UY188" s="18"/>
      <c r="UZ188" s="18"/>
      <c r="VA188" s="18"/>
      <c r="VB188" s="18"/>
      <c r="VC188" s="18"/>
      <c r="VD188" s="18"/>
      <c r="VE188" s="18"/>
      <c r="VF188" s="18"/>
      <c r="VG188" s="18"/>
      <c r="VH188" s="18"/>
      <c r="VI188" s="18"/>
      <c r="VJ188" s="18"/>
      <c r="VK188" s="18"/>
      <c r="VL188" s="18"/>
      <c r="VM188" s="18"/>
      <c r="VN188" s="18"/>
      <c r="VO188" s="18"/>
      <c r="VP188" s="18"/>
      <c r="VQ188" s="18"/>
      <c r="VR188" s="18"/>
      <c r="VS188" s="18"/>
      <c r="VT188" s="18"/>
      <c r="VU188" s="18"/>
      <c r="VV188" s="18"/>
      <c r="VW188" s="18"/>
      <c r="VX188" s="18"/>
      <c r="VY188" s="18"/>
      <c r="VZ188" s="18"/>
      <c r="WA188" s="18"/>
      <c r="WB188" s="18"/>
      <c r="WC188" s="18"/>
      <c r="WD188" s="18"/>
      <c r="WE188" s="18"/>
      <c r="WF188" s="18"/>
      <c r="WG188" s="18"/>
      <c r="WH188" s="18"/>
      <c r="WI188" s="18"/>
      <c r="WJ188" s="18"/>
      <c r="WK188" s="18"/>
      <c r="WL188" s="18"/>
      <c r="WM188" s="18"/>
      <c r="WN188" s="18"/>
      <c r="WO188" s="18"/>
      <c r="WP188" s="18"/>
      <c r="WQ188" s="18"/>
      <c r="WR188" s="18"/>
      <c r="WS188" s="18"/>
      <c r="WT188" s="18"/>
      <c r="WU188" s="18"/>
      <c r="WV188" s="18"/>
      <c r="WW188" s="18"/>
      <c r="WX188" s="18"/>
      <c r="WY188" s="18"/>
      <c r="WZ188" s="18"/>
      <c r="XA188" s="18"/>
      <c r="XB188" s="18"/>
      <c r="XC188" s="18"/>
      <c r="XD188" s="18"/>
      <c r="XE188" s="18"/>
      <c r="XF188" s="18"/>
      <c r="XG188" s="18"/>
      <c r="XH188" s="18"/>
      <c r="XI188" s="18"/>
      <c r="XJ188" s="18"/>
      <c r="XK188" s="18"/>
      <c r="XL188" s="18"/>
      <c r="XM188" s="18"/>
      <c r="XN188" s="18"/>
      <c r="XO188" s="18"/>
      <c r="XP188" s="18"/>
      <c r="XQ188" s="18"/>
      <c r="XR188" s="18"/>
      <c r="XS188" s="18"/>
      <c r="XT188" s="18"/>
      <c r="XU188" s="18"/>
      <c r="XV188" s="18"/>
      <c r="XW188" s="18"/>
      <c r="XX188" s="18"/>
      <c r="XY188" s="18"/>
      <c r="XZ188" s="18"/>
      <c r="YA188" s="18"/>
      <c r="YB188" s="18"/>
      <c r="YC188" s="18"/>
      <c r="YD188" s="18"/>
      <c r="YE188" s="18"/>
      <c r="YF188" s="18"/>
      <c r="YG188" s="18"/>
      <c r="YH188" s="18"/>
      <c r="YI188" s="18"/>
      <c r="YJ188" s="18"/>
      <c r="YK188" s="18"/>
      <c r="YL188" s="18"/>
      <c r="YM188" s="18"/>
      <c r="YN188" s="18"/>
      <c r="YO188" s="18"/>
      <c r="YP188" s="18"/>
      <c r="YQ188" s="18"/>
      <c r="YR188" s="18"/>
      <c r="YS188" s="18"/>
      <c r="YT188" s="18"/>
      <c r="YU188" s="18"/>
      <c r="YV188" s="18"/>
      <c r="YW188" s="18"/>
      <c r="YX188" s="18"/>
      <c r="YY188" s="18"/>
      <c r="YZ188" s="18"/>
      <c r="ZA188" s="18"/>
      <c r="ZB188" s="18"/>
      <c r="ZC188" s="18"/>
      <c r="ZD188" s="18"/>
      <c r="ZE188" s="18"/>
      <c r="ZF188" s="18"/>
      <c r="ZG188" s="18"/>
      <c r="ZH188" s="18"/>
      <c r="ZI188" s="18"/>
      <c r="ZJ188" s="18"/>
      <c r="ZK188" s="18"/>
      <c r="ZL188" s="18"/>
      <c r="ZM188" s="18"/>
      <c r="ZN188" s="18"/>
      <c r="ZO188" s="18"/>
      <c r="ZP188" s="18"/>
      <c r="ZQ188" s="18"/>
      <c r="ZR188" s="18"/>
      <c r="ZS188" s="18"/>
      <c r="ZT188" s="18"/>
      <c r="ZU188" s="18"/>
      <c r="ZV188" s="18"/>
      <c r="ZW188" s="18"/>
      <c r="ZX188" s="18"/>
      <c r="ZY188" s="18"/>
      <c r="ZZ188" s="18"/>
      <c r="AAA188" s="18"/>
      <c r="AAB188" s="18"/>
      <c r="AAC188" s="18"/>
      <c r="AAD188" s="18"/>
      <c r="AAE188" s="18"/>
      <c r="AAF188" s="18"/>
      <c r="AAG188" s="18"/>
      <c r="AAH188" s="18"/>
      <c r="AAI188" s="18"/>
      <c r="AAJ188" s="18"/>
      <c r="AAK188" s="18"/>
      <c r="AAL188" s="18"/>
      <c r="AAM188" s="18"/>
      <c r="AAN188" s="18"/>
      <c r="AAO188" s="18"/>
      <c r="AAP188" s="18"/>
      <c r="AAQ188" s="18"/>
      <c r="AAR188" s="18"/>
      <c r="AAS188" s="18"/>
      <c r="AAT188" s="18"/>
      <c r="AAU188" s="18"/>
      <c r="AAV188" s="18"/>
      <c r="AAW188" s="18"/>
      <c r="AAX188" s="18"/>
      <c r="AAY188" s="18"/>
      <c r="AAZ188" s="18"/>
      <c r="ABA188" s="18"/>
      <c r="ABB188" s="18"/>
      <c r="ABC188" s="18"/>
      <c r="ABD188" s="18"/>
      <c r="ABE188" s="18"/>
      <c r="ABF188" s="18"/>
      <c r="ABG188" s="18"/>
      <c r="ABH188" s="18"/>
      <c r="ABI188" s="18"/>
      <c r="ABJ188" s="18"/>
      <c r="ABK188" s="18"/>
      <c r="ABL188" s="18"/>
      <c r="ABM188" s="18"/>
      <c r="ABN188" s="18"/>
      <c r="ABO188" s="18"/>
      <c r="ABP188" s="18"/>
      <c r="ABQ188" s="18"/>
      <c r="ABR188" s="18"/>
      <c r="ABS188" s="18"/>
      <c r="ABT188" s="18"/>
      <c r="ABU188" s="18"/>
      <c r="ABV188" s="18"/>
      <c r="ABW188" s="18"/>
      <c r="ABX188" s="18"/>
      <c r="ABY188" s="18"/>
      <c r="ABZ188" s="18"/>
      <c r="ACA188" s="18"/>
      <c r="ACB188" s="18"/>
      <c r="ACC188" s="18"/>
      <c r="ACD188" s="18"/>
      <c r="ACE188" s="18"/>
      <c r="ACF188" s="18"/>
      <c r="ACG188" s="18"/>
      <c r="ACH188" s="18"/>
      <c r="ACI188" s="18"/>
      <c r="ACJ188" s="18"/>
      <c r="ACK188" s="18"/>
      <c r="ACL188" s="18"/>
      <c r="ACM188" s="18"/>
      <c r="ACN188" s="18"/>
      <c r="ACO188" s="18"/>
      <c r="ACP188" s="18"/>
      <c r="ACQ188" s="18"/>
      <c r="ACR188" s="18"/>
      <c r="ACS188" s="18"/>
      <c r="ACT188" s="18"/>
      <c r="ACU188" s="18"/>
      <c r="ACV188" s="18"/>
      <c r="ACW188" s="18"/>
      <c r="ACX188" s="18"/>
      <c r="ACY188" s="18"/>
      <c r="ACZ188" s="18"/>
      <c r="ADA188" s="18"/>
      <c r="ADB188" s="18"/>
      <c r="ADC188" s="18"/>
      <c r="ADD188" s="18"/>
      <c r="ADE188" s="18"/>
      <c r="ADF188" s="18"/>
      <c r="ADG188" s="18"/>
      <c r="ADH188" s="18"/>
      <c r="ADI188" s="18"/>
      <c r="ADJ188" s="18"/>
      <c r="ADK188" s="18"/>
      <c r="ADL188" s="18"/>
      <c r="ADM188" s="18"/>
      <c r="ADN188" s="18"/>
      <c r="ADO188" s="18"/>
      <c r="ADP188" s="18"/>
      <c r="ADQ188" s="18"/>
      <c r="ADR188" s="18"/>
      <c r="ADS188" s="18"/>
      <c r="ADT188" s="18"/>
      <c r="ADU188" s="18"/>
      <c r="ADV188" s="18"/>
      <c r="ADW188" s="18"/>
      <c r="ADX188" s="18"/>
      <c r="ADY188" s="18"/>
      <c r="ADZ188" s="18"/>
      <c r="AEA188" s="18"/>
      <c r="AEB188" s="18"/>
      <c r="AEC188" s="18"/>
      <c r="AED188" s="18"/>
      <c r="AEE188" s="18"/>
      <c r="AEF188" s="18"/>
      <c r="AEG188" s="18"/>
      <c r="AEH188" s="18"/>
      <c r="AEI188" s="18"/>
      <c r="AEJ188" s="18"/>
      <c r="AEK188" s="18"/>
      <c r="AEL188" s="18"/>
      <c r="AEM188" s="18"/>
      <c r="AEN188" s="18"/>
      <c r="AEO188" s="18"/>
      <c r="AEP188" s="18"/>
      <c r="AEQ188" s="18"/>
      <c r="AER188" s="18"/>
      <c r="AES188" s="18"/>
      <c r="AET188" s="18"/>
      <c r="AEU188" s="18"/>
      <c r="AEV188" s="18"/>
      <c r="AEW188" s="18"/>
      <c r="AEX188" s="18"/>
      <c r="AEY188" s="18"/>
      <c r="AEZ188" s="18"/>
      <c r="AFA188" s="18"/>
      <c r="AFB188" s="18"/>
      <c r="AFC188" s="18"/>
      <c r="AFD188" s="18"/>
      <c r="AFE188" s="18"/>
      <c r="AFF188" s="18"/>
      <c r="AFG188" s="18"/>
      <c r="AFH188" s="18"/>
      <c r="AFI188" s="18"/>
      <c r="AFJ188" s="18"/>
      <c r="AFK188" s="18"/>
      <c r="AFL188" s="18"/>
      <c r="AFM188" s="18"/>
      <c r="AFN188" s="18"/>
      <c r="AFO188" s="18"/>
      <c r="AFP188" s="18"/>
      <c r="AFQ188" s="18"/>
      <c r="AFR188" s="18"/>
      <c r="AFS188" s="18"/>
      <c r="AFT188" s="18"/>
      <c r="AFU188" s="18"/>
      <c r="AFV188" s="18"/>
      <c r="AFW188" s="18"/>
      <c r="AFX188" s="18"/>
      <c r="AFY188" s="18"/>
      <c r="AFZ188" s="18"/>
      <c r="AGA188" s="18"/>
      <c r="AGB188" s="18"/>
      <c r="AGC188" s="18"/>
      <c r="AGD188" s="18"/>
      <c r="AGE188" s="18"/>
      <c r="AGF188" s="18"/>
      <c r="AGG188" s="18"/>
      <c r="AGH188" s="18"/>
      <c r="AGI188" s="18"/>
      <c r="AGJ188" s="18"/>
      <c r="AGK188" s="18"/>
      <c r="AGL188" s="18"/>
      <c r="AGM188" s="18"/>
      <c r="AGN188" s="18"/>
      <c r="AGO188" s="18"/>
      <c r="AGP188" s="18"/>
      <c r="AGQ188" s="18"/>
      <c r="AGR188" s="18"/>
      <c r="AGS188" s="18"/>
      <c r="AGT188" s="18"/>
      <c r="AGU188" s="18"/>
      <c r="AGV188" s="18"/>
      <c r="AGW188" s="18"/>
      <c r="AGX188" s="18"/>
      <c r="AGY188" s="18"/>
      <c r="AGZ188" s="18"/>
      <c r="AHA188" s="18"/>
      <c r="AHB188" s="18"/>
      <c r="AHC188" s="18"/>
      <c r="AHD188" s="18"/>
      <c r="AHE188" s="18"/>
      <c r="AHF188" s="18"/>
      <c r="AHG188" s="18"/>
      <c r="AHH188" s="18"/>
      <c r="AHI188" s="18"/>
      <c r="AHJ188" s="18"/>
      <c r="AHK188" s="18"/>
      <c r="AHL188" s="18"/>
      <c r="AHM188" s="18"/>
      <c r="AHN188" s="18"/>
      <c r="AHO188" s="18"/>
      <c r="AHP188" s="18"/>
      <c r="AHQ188" s="18"/>
      <c r="AHR188" s="18"/>
      <c r="AHS188" s="18"/>
      <c r="AHT188" s="18"/>
      <c r="AHU188" s="18"/>
      <c r="AHV188" s="18"/>
      <c r="AHW188" s="18"/>
      <c r="AHX188" s="18"/>
      <c r="AHY188" s="18"/>
      <c r="AHZ188" s="18"/>
      <c r="AIA188" s="18"/>
      <c r="AIB188" s="18"/>
      <c r="AIC188" s="18"/>
      <c r="AID188" s="18"/>
      <c r="AIE188" s="18"/>
      <c r="AIF188" s="18"/>
      <c r="AIG188" s="18"/>
      <c r="AIH188" s="18"/>
      <c r="AII188" s="18"/>
      <c r="AIJ188" s="18"/>
      <c r="AIK188" s="18"/>
      <c r="AIL188" s="18"/>
      <c r="AIM188" s="18"/>
      <c r="AIN188" s="18"/>
      <c r="AIO188" s="18"/>
      <c r="AIP188" s="18"/>
      <c r="AIQ188" s="18"/>
      <c r="AIR188" s="18"/>
      <c r="AIS188" s="18"/>
      <c r="AIT188" s="18"/>
      <c r="AIU188" s="18"/>
      <c r="AIV188" s="18"/>
      <c r="AIW188" s="18"/>
      <c r="AIX188" s="18"/>
      <c r="AIY188" s="18"/>
      <c r="AIZ188" s="18"/>
      <c r="AJA188" s="18"/>
      <c r="AJB188" s="18"/>
      <c r="AJC188" s="18"/>
      <c r="AJD188" s="18"/>
      <c r="AJE188" s="18"/>
      <c r="AJF188" s="18"/>
      <c r="AJG188" s="18"/>
      <c r="AJH188" s="18"/>
      <c r="AJI188" s="18"/>
      <c r="AJJ188" s="18"/>
      <c r="AJK188" s="18"/>
      <c r="AJL188" s="18"/>
      <c r="AJM188" s="18"/>
      <c r="AJN188" s="18"/>
      <c r="AJO188" s="18"/>
      <c r="AJP188" s="18"/>
      <c r="AJQ188" s="18"/>
      <c r="AJR188" s="18"/>
      <c r="AJS188" s="18"/>
      <c r="AJT188" s="18"/>
      <c r="AJU188" s="18"/>
      <c r="AJV188" s="18"/>
      <c r="AJW188" s="18"/>
      <c r="AJX188" s="18"/>
      <c r="AJY188" s="18"/>
      <c r="AJZ188" s="18"/>
      <c r="AKA188" s="18"/>
      <c r="AKB188" s="18"/>
      <c r="AKC188" s="18"/>
      <c r="AKD188" s="18"/>
      <c r="AKE188" s="18"/>
      <c r="AKF188" s="18"/>
      <c r="AKG188" s="18"/>
      <c r="AKH188" s="18"/>
      <c r="AKI188" s="18"/>
      <c r="AKJ188" s="18"/>
      <c r="AKK188" s="18"/>
      <c r="AKL188" s="18"/>
      <c r="AKM188" s="18"/>
      <c r="AKN188" s="18"/>
      <c r="AKO188" s="18"/>
      <c r="AKP188" s="18"/>
      <c r="AKQ188" s="18"/>
      <c r="AKR188" s="18"/>
      <c r="AKS188" s="18"/>
      <c r="AKT188" s="18"/>
      <c r="AKU188" s="18"/>
      <c r="AKV188" s="18"/>
      <c r="AKW188" s="18"/>
      <c r="AKX188" s="18"/>
      <c r="AKY188" s="18"/>
      <c r="AKZ188" s="18"/>
      <c r="ALA188" s="18"/>
      <c r="ALB188" s="18"/>
      <c r="ALC188" s="18"/>
      <c r="ALD188" s="18"/>
      <c r="ALE188" s="18"/>
      <c r="ALF188" s="18"/>
      <c r="ALG188" s="18"/>
      <c r="ALH188" s="18"/>
      <c r="ALI188" s="18"/>
      <c r="ALJ188" s="18"/>
      <c r="ALK188" s="18"/>
      <c r="ALL188" s="18"/>
      <c r="ALM188" s="18"/>
      <c r="ALN188" s="18"/>
      <c r="ALO188" s="18"/>
      <c r="ALP188" s="18"/>
      <c r="ALQ188" s="18"/>
      <c r="ALR188" s="18"/>
      <c r="ALS188" s="18"/>
      <c r="ALT188" s="18"/>
      <c r="ALU188" s="18"/>
      <c r="ALV188" s="18"/>
      <c r="ALW188" s="18"/>
      <c r="ALX188" s="18"/>
      <c r="ALY188" s="18"/>
      <c r="ALZ188" s="18"/>
      <c r="AMA188" s="18"/>
      <c r="AMB188" s="18"/>
      <c r="AMC188" s="18"/>
      <c r="AMD188" s="18"/>
      <c r="AME188" s="18"/>
      <c r="AMF188" s="18"/>
      <c r="AMG188" s="18"/>
      <c r="AMH188" s="18"/>
      <c r="AMI188" s="18"/>
      <c r="AMJ188" s="18"/>
      <c r="AMK188" s="18"/>
      <c r="AML188" s="18"/>
      <c r="AMM188" s="18"/>
      <c r="AMN188" s="18"/>
      <c r="AMO188" s="18"/>
      <c r="AMP188" s="18"/>
      <c r="AMQ188" s="18"/>
      <c r="AMR188" s="18"/>
      <c r="AMS188" s="18"/>
      <c r="AMT188" s="18"/>
      <c r="AMU188" s="18"/>
      <c r="AMV188" s="18"/>
      <c r="AMW188" s="18"/>
      <c r="AMX188" s="18"/>
      <c r="AMY188" s="18"/>
      <c r="AMZ188" s="18"/>
      <c r="ANA188" s="18"/>
      <c r="ANB188" s="18"/>
      <c r="ANC188" s="18"/>
      <c r="AND188" s="18"/>
      <c r="ANE188" s="18"/>
      <c r="ANF188" s="18"/>
      <c r="ANG188" s="18"/>
      <c r="ANH188" s="18"/>
      <c r="ANI188" s="18"/>
      <c r="ANJ188" s="18"/>
      <c r="ANK188" s="18"/>
      <c r="ANL188" s="18"/>
      <c r="ANM188" s="18"/>
      <c r="ANN188" s="18"/>
      <c r="ANO188" s="18"/>
      <c r="ANP188" s="18"/>
      <c r="ANQ188" s="18"/>
      <c r="ANR188" s="18"/>
      <c r="ANS188" s="18"/>
      <c r="ANT188" s="18"/>
      <c r="ANU188" s="18"/>
      <c r="ANV188" s="18"/>
      <c r="ANW188" s="18"/>
      <c r="ANX188" s="18"/>
      <c r="ANY188" s="18"/>
      <c r="ANZ188" s="18"/>
      <c r="AOA188" s="18"/>
      <c r="AOB188" s="18"/>
      <c r="AOC188" s="18"/>
      <c r="AOD188" s="18"/>
      <c r="AOE188" s="18"/>
      <c r="AOF188" s="18"/>
      <c r="AOG188" s="18"/>
      <c r="AOH188" s="18"/>
      <c r="AOI188" s="18"/>
      <c r="AOJ188" s="18"/>
      <c r="AOK188" s="18"/>
      <c r="AOL188" s="18"/>
      <c r="AOM188" s="18"/>
      <c r="AON188" s="18"/>
      <c r="AOO188" s="18"/>
      <c r="AOP188" s="18"/>
      <c r="AOQ188" s="18"/>
      <c r="AOR188" s="18"/>
      <c r="AOS188" s="18"/>
      <c r="AOT188" s="18"/>
      <c r="AOU188" s="18"/>
      <c r="AOV188" s="18"/>
      <c r="AOW188" s="18"/>
      <c r="AOX188" s="18"/>
      <c r="AOY188" s="18"/>
      <c r="AOZ188" s="18"/>
      <c r="APA188" s="18"/>
      <c r="APB188" s="18"/>
      <c r="APC188" s="18"/>
      <c r="APD188" s="18"/>
      <c r="APE188" s="18"/>
      <c r="APF188" s="18"/>
      <c r="APG188" s="18"/>
      <c r="APH188" s="18"/>
      <c r="API188" s="18"/>
      <c r="APJ188" s="18"/>
      <c r="APK188" s="18"/>
      <c r="APL188" s="18"/>
      <c r="APM188" s="18"/>
      <c r="APN188" s="18"/>
      <c r="APO188" s="18"/>
      <c r="APP188" s="18"/>
      <c r="APQ188" s="18"/>
      <c r="APR188" s="18"/>
      <c r="APS188" s="18"/>
      <c r="APT188" s="18"/>
      <c r="APU188" s="18"/>
      <c r="APV188" s="18"/>
      <c r="APW188" s="18"/>
      <c r="APX188" s="18"/>
      <c r="APY188" s="18"/>
      <c r="APZ188" s="18"/>
      <c r="AQA188" s="18"/>
      <c r="AQB188" s="18"/>
      <c r="AQC188" s="18"/>
      <c r="AQD188" s="18"/>
      <c r="AQE188" s="18"/>
      <c r="AQF188" s="18"/>
      <c r="AQG188" s="18"/>
      <c r="AQH188" s="18"/>
      <c r="AQI188" s="18"/>
      <c r="AQJ188" s="18"/>
      <c r="AQK188" s="18"/>
      <c r="AQL188" s="18"/>
      <c r="AQM188" s="18"/>
      <c r="AQN188" s="18"/>
      <c r="AQO188" s="18"/>
      <c r="AQP188" s="18"/>
      <c r="AQQ188" s="18"/>
      <c r="AQR188" s="18"/>
      <c r="AQS188" s="18"/>
      <c r="AQT188" s="18"/>
      <c r="AQU188" s="18"/>
      <c r="AQV188" s="18"/>
      <c r="AQW188" s="18"/>
      <c r="AQX188" s="18"/>
      <c r="AQY188" s="18"/>
      <c r="AQZ188" s="18"/>
      <c r="ARA188" s="18"/>
      <c r="ARB188" s="18"/>
      <c r="ARC188" s="18"/>
      <c r="ARD188" s="18"/>
      <c r="ARE188" s="18"/>
      <c r="ARF188" s="18"/>
      <c r="ARG188" s="18"/>
      <c r="ARH188" s="18"/>
      <c r="ARI188" s="18"/>
      <c r="ARJ188" s="18"/>
      <c r="ARK188" s="18"/>
      <c r="ARL188" s="18"/>
      <c r="ARM188" s="18"/>
      <c r="ARN188" s="18"/>
      <c r="ARO188" s="18"/>
      <c r="ARP188" s="18"/>
      <c r="ARQ188" s="18"/>
      <c r="ARR188" s="18"/>
      <c r="ARS188" s="18"/>
      <c r="ART188" s="18"/>
      <c r="ARU188" s="18"/>
      <c r="ARV188" s="18"/>
      <c r="ARW188" s="18"/>
      <c r="ARX188" s="18"/>
      <c r="ARY188" s="18"/>
      <c r="ARZ188" s="18"/>
      <c r="ASA188" s="18"/>
      <c r="ASB188" s="18"/>
      <c r="ASC188" s="18"/>
      <c r="ASD188" s="18"/>
      <c r="ASE188" s="18"/>
      <c r="ASF188" s="18"/>
      <c r="ASG188" s="18"/>
      <c r="ASH188" s="18"/>
      <c r="ASI188" s="18"/>
      <c r="ASJ188" s="18"/>
      <c r="ASK188" s="18"/>
      <c r="ASL188" s="18"/>
      <c r="ASM188" s="18"/>
      <c r="ASN188" s="18"/>
      <c r="ASO188" s="18"/>
      <c r="ASP188" s="18"/>
      <c r="ASQ188" s="18"/>
      <c r="ASR188" s="18"/>
      <c r="ASS188" s="18"/>
      <c r="AST188" s="18"/>
      <c r="ASU188" s="18"/>
      <c r="ASV188" s="18"/>
      <c r="ASW188" s="18"/>
      <c r="ASX188" s="18"/>
      <c r="ASY188" s="18"/>
      <c r="ASZ188" s="18"/>
      <c r="ATA188" s="18"/>
      <c r="ATB188" s="18"/>
      <c r="ATC188" s="18"/>
      <c r="ATD188" s="18"/>
      <c r="ATE188" s="18"/>
      <c r="ATF188" s="18"/>
      <c r="ATG188" s="18"/>
      <c r="ATH188" s="18"/>
      <c r="ATI188" s="18"/>
      <c r="ATJ188" s="18"/>
      <c r="ATK188" s="18"/>
      <c r="ATL188" s="18"/>
      <c r="ATM188" s="18"/>
      <c r="ATN188" s="18"/>
      <c r="ATO188" s="18"/>
      <c r="ATP188" s="18"/>
      <c r="ATQ188" s="18"/>
      <c r="ATR188" s="18"/>
      <c r="ATS188" s="18"/>
      <c r="ATT188" s="18"/>
      <c r="ATU188" s="18"/>
      <c r="ATV188" s="18"/>
      <c r="ATW188" s="18"/>
      <c r="ATX188" s="18"/>
      <c r="ATY188" s="18"/>
      <c r="ATZ188" s="18"/>
      <c r="AUA188" s="18"/>
      <c r="AUB188" s="18"/>
      <c r="AUC188" s="18"/>
      <c r="AUD188" s="18"/>
      <c r="AUE188" s="18"/>
      <c r="AUF188" s="18"/>
      <c r="AUG188" s="18"/>
      <c r="AUH188" s="18"/>
      <c r="AUI188" s="18"/>
      <c r="AUJ188" s="18"/>
      <c r="AUK188" s="18"/>
      <c r="AUL188" s="18"/>
      <c r="AUM188" s="18"/>
      <c r="AUN188" s="18"/>
      <c r="AUO188" s="18"/>
      <c r="AUP188" s="18"/>
      <c r="AUQ188" s="18"/>
      <c r="AUR188" s="18"/>
      <c r="AUS188" s="18"/>
      <c r="AUT188" s="18"/>
      <c r="AUU188" s="18"/>
      <c r="AUV188" s="18"/>
      <c r="AUW188" s="18"/>
      <c r="AUX188" s="18"/>
      <c r="AUY188" s="18"/>
      <c r="AUZ188" s="18"/>
      <c r="AVA188" s="18"/>
      <c r="AVB188" s="18"/>
      <c r="AVC188" s="18"/>
      <c r="AVD188" s="18"/>
      <c r="AVE188" s="18"/>
      <c r="AVF188" s="18"/>
      <c r="AVG188" s="18"/>
      <c r="AVH188" s="18"/>
      <c r="AVI188" s="18"/>
      <c r="AVJ188" s="18"/>
      <c r="AVK188" s="18"/>
      <c r="AVL188" s="18"/>
      <c r="AVM188" s="18"/>
      <c r="AVN188" s="18"/>
      <c r="AVO188" s="18"/>
      <c r="AVP188" s="18"/>
      <c r="AVQ188" s="18"/>
      <c r="AVR188" s="18"/>
      <c r="AVS188" s="18"/>
      <c r="AVT188" s="18"/>
      <c r="AVU188" s="18"/>
      <c r="AVV188" s="18"/>
      <c r="AVW188" s="18"/>
      <c r="AVX188" s="18"/>
      <c r="AVY188" s="18"/>
      <c r="AVZ188" s="18"/>
      <c r="AWA188" s="18"/>
      <c r="AWB188" s="18"/>
      <c r="AWC188" s="18"/>
      <c r="AWD188" s="18"/>
      <c r="AWE188" s="18"/>
      <c r="AWF188" s="18"/>
      <c r="AWG188" s="18"/>
      <c r="AWH188" s="18"/>
      <c r="AWI188" s="18"/>
      <c r="AWJ188" s="18"/>
      <c r="AWK188" s="18"/>
      <c r="AWL188" s="18"/>
      <c r="AWM188" s="18"/>
      <c r="AWN188" s="18"/>
      <c r="AWO188" s="18"/>
      <c r="AWP188" s="18"/>
      <c r="AWQ188" s="18"/>
      <c r="AWR188" s="18"/>
      <c r="AWS188" s="18"/>
      <c r="AWT188" s="18"/>
      <c r="AWU188" s="18"/>
      <c r="AWV188" s="18"/>
      <c r="AWW188" s="18"/>
      <c r="AWX188" s="18"/>
      <c r="AWY188" s="18"/>
      <c r="AWZ188" s="18"/>
      <c r="AXA188" s="18"/>
      <c r="AXB188" s="18"/>
      <c r="AXC188" s="18"/>
      <c r="AXD188" s="18"/>
      <c r="AXE188" s="18"/>
      <c r="AXF188" s="18"/>
      <c r="AXG188" s="18"/>
      <c r="AXH188" s="18"/>
      <c r="AXI188" s="18"/>
      <c r="AXJ188" s="18"/>
      <c r="AXK188" s="18"/>
      <c r="AXL188" s="18"/>
      <c r="AXM188" s="18"/>
      <c r="AXN188" s="18"/>
      <c r="AXO188" s="18"/>
      <c r="AXP188" s="18"/>
      <c r="AXQ188" s="18"/>
      <c r="AXR188" s="18"/>
      <c r="AXS188" s="18"/>
      <c r="AXT188" s="18"/>
      <c r="AXU188" s="18"/>
      <c r="AXV188" s="18"/>
      <c r="AXW188" s="18"/>
      <c r="AXX188" s="18"/>
      <c r="AXY188" s="18"/>
      <c r="AXZ188" s="18"/>
      <c r="AYA188" s="18"/>
      <c r="AYB188" s="18"/>
      <c r="AYC188" s="18"/>
      <c r="AYD188" s="18"/>
      <c r="AYE188" s="18"/>
      <c r="AYF188" s="18"/>
      <c r="AYG188" s="18"/>
      <c r="AYH188" s="18"/>
      <c r="AYI188" s="18"/>
      <c r="AYJ188" s="18"/>
      <c r="AYK188" s="18"/>
      <c r="AYL188" s="18"/>
      <c r="AYM188" s="18"/>
      <c r="AYN188" s="18"/>
      <c r="AYO188" s="18"/>
      <c r="AYP188" s="18"/>
      <c r="AYQ188" s="18"/>
      <c r="AYR188" s="18"/>
      <c r="AYS188" s="18"/>
      <c r="AYT188" s="18"/>
      <c r="AYU188" s="18"/>
      <c r="AYV188" s="18"/>
      <c r="AYW188" s="18"/>
      <c r="AYX188" s="18"/>
      <c r="AYY188" s="18"/>
      <c r="AYZ188" s="18"/>
      <c r="AZA188" s="18"/>
      <c r="AZB188" s="18"/>
      <c r="AZC188" s="18"/>
      <c r="AZD188" s="18"/>
      <c r="AZE188" s="18"/>
      <c r="AZF188" s="18"/>
      <c r="AZG188" s="18"/>
      <c r="AZH188" s="18"/>
      <c r="AZI188" s="18"/>
      <c r="AZJ188" s="18"/>
      <c r="AZK188" s="18"/>
      <c r="AZL188" s="18"/>
      <c r="AZM188" s="18"/>
      <c r="AZN188" s="18"/>
      <c r="AZO188" s="18"/>
      <c r="AZP188" s="18"/>
      <c r="AZQ188" s="18"/>
      <c r="AZR188" s="18"/>
      <c r="AZS188" s="18"/>
      <c r="AZT188" s="18"/>
      <c r="AZU188" s="18"/>
      <c r="AZV188" s="18"/>
      <c r="AZW188" s="18"/>
      <c r="AZX188" s="18"/>
      <c r="AZY188" s="18"/>
      <c r="AZZ188" s="18"/>
      <c r="BAA188" s="18"/>
      <c r="BAB188" s="18"/>
      <c r="BAC188" s="18"/>
      <c r="BAD188" s="18"/>
      <c r="BAE188" s="18"/>
      <c r="BAF188" s="18"/>
      <c r="BAG188" s="18"/>
      <c r="BAH188" s="18"/>
      <c r="BAI188" s="18"/>
      <c r="BAJ188" s="18"/>
      <c r="BAK188" s="18"/>
      <c r="BAL188" s="18"/>
      <c r="BAM188" s="18"/>
      <c r="BAN188" s="18"/>
      <c r="BAO188" s="18"/>
      <c r="BAP188" s="18"/>
      <c r="BAQ188" s="18"/>
      <c r="BAR188" s="18"/>
      <c r="BAS188" s="18"/>
      <c r="BAT188" s="18"/>
      <c r="BAU188" s="18"/>
      <c r="BAV188" s="18"/>
      <c r="BAW188" s="18"/>
      <c r="BAX188" s="18"/>
      <c r="BAY188" s="18"/>
      <c r="BAZ188" s="18"/>
      <c r="BBA188" s="18"/>
      <c r="BBB188" s="18"/>
      <c r="BBC188" s="18"/>
      <c r="BBD188" s="18"/>
      <c r="BBE188" s="18"/>
      <c r="BBF188" s="18"/>
      <c r="BBG188" s="18"/>
      <c r="BBH188" s="18"/>
      <c r="BBI188" s="18"/>
      <c r="BBJ188" s="18"/>
      <c r="BBK188" s="18"/>
      <c r="BBL188" s="18"/>
      <c r="BBM188" s="18"/>
      <c r="BBN188" s="18"/>
      <c r="BBO188" s="18"/>
      <c r="BBP188" s="18"/>
      <c r="BBQ188" s="18"/>
      <c r="BBR188" s="18"/>
      <c r="BBS188" s="18"/>
      <c r="BBT188" s="18"/>
      <c r="BBU188" s="18"/>
      <c r="BBV188" s="18"/>
      <c r="BBW188" s="18"/>
      <c r="BBX188" s="18"/>
      <c r="BBY188" s="18"/>
      <c r="BBZ188" s="18"/>
      <c r="BCA188" s="18"/>
      <c r="BCB188" s="18"/>
      <c r="BCC188" s="18"/>
      <c r="BCD188" s="18"/>
      <c r="BCE188" s="18"/>
      <c r="BCF188" s="18"/>
      <c r="BCG188" s="18"/>
      <c r="BCH188" s="18"/>
      <c r="BCI188" s="18"/>
      <c r="BCJ188" s="18"/>
      <c r="BCK188" s="18"/>
      <c r="BCL188" s="18"/>
      <c r="BCM188" s="18"/>
      <c r="BCN188" s="18"/>
      <c r="BCO188" s="18"/>
      <c r="BCP188" s="18"/>
      <c r="BCQ188" s="18"/>
      <c r="BCR188" s="18"/>
      <c r="BCS188" s="18"/>
      <c r="BCT188" s="18"/>
      <c r="BCU188" s="18"/>
      <c r="BCV188" s="18"/>
      <c r="BCW188" s="18"/>
      <c r="BCX188" s="18"/>
      <c r="BCY188" s="18"/>
      <c r="BCZ188" s="18"/>
      <c r="BDA188" s="18"/>
      <c r="BDB188" s="18"/>
      <c r="BDC188" s="18"/>
      <c r="BDD188" s="18"/>
      <c r="BDE188" s="18"/>
      <c r="BDF188" s="18"/>
      <c r="BDG188" s="18"/>
      <c r="BDH188" s="18"/>
      <c r="BDI188" s="18"/>
      <c r="BDJ188" s="18"/>
      <c r="BDK188" s="18"/>
      <c r="BDL188" s="18"/>
      <c r="BDM188" s="18"/>
      <c r="BDN188" s="18"/>
      <c r="BDO188" s="18"/>
      <c r="BDP188" s="18"/>
      <c r="BDQ188" s="18"/>
      <c r="BDR188" s="18"/>
      <c r="BDS188" s="18"/>
      <c r="BDT188" s="18"/>
      <c r="BDU188" s="18"/>
      <c r="BDV188" s="18"/>
      <c r="BDW188" s="18"/>
      <c r="BDX188" s="18"/>
      <c r="BDY188" s="18"/>
      <c r="BDZ188" s="18"/>
      <c r="BEA188" s="18"/>
      <c r="BEB188" s="18"/>
      <c r="BEC188" s="18"/>
      <c r="BED188" s="18"/>
      <c r="BEE188" s="18"/>
      <c r="BEF188" s="18"/>
      <c r="BEG188" s="18"/>
      <c r="BEH188" s="18"/>
      <c r="BEI188" s="18"/>
      <c r="BEJ188" s="18"/>
      <c r="BEK188" s="18"/>
      <c r="BEL188" s="18"/>
      <c r="BEM188" s="18"/>
      <c r="BEN188" s="18"/>
      <c r="BEO188" s="18"/>
      <c r="BEP188" s="18"/>
      <c r="BEQ188" s="18"/>
      <c r="BER188" s="18"/>
      <c r="BES188" s="18"/>
      <c r="BET188" s="18"/>
      <c r="BEU188" s="18"/>
      <c r="BEV188" s="18"/>
      <c r="BEW188" s="18"/>
      <c r="BEX188" s="18"/>
      <c r="BEY188" s="18"/>
      <c r="BEZ188" s="18"/>
      <c r="BFA188" s="18"/>
      <c r="BFB188" s="18"/>
      <c r="BFC188" s="18"/>
      <c r="BFD188" s="18"/>
      <c r="BFE188" s="18"/>
      <c r="BFF188" s="18"/>
      <c r="BFG188" s="18"/>
      <c r="BFH188" s="18"/>
      <c r="BFI188" s="18"/>
      <c r="BFJ188" s="18"/>
      <c r="BFK188" s="18"/>
      <c r="BFL188" s="18"/>
      <c r="BFM188" s="18"/>
      <c r="BFN188" s="18"/>
      <c r="BFO188" s="18"/>
      <c r="BFP188" s="18"/>
      <c r="BFQ188" s="18"/>
      <c r="BFR188" s="18"/>
      <c r="BFS188" s="18"/>
      <c r="BFT188" s="18"/>
      <c r="BFU188" s="18"/>
      <c r="BFV188" s="18"/>
      <c r="BFW188" s="18"/>
      <c r="BFX188" s="18"/>
      <c r="BFY188" s="18"/>
      <c r="BFZ188" s="18"/>
      <c r="BGA188" s="18"/>
      <c r="BGB188" s="18"/>
      <c r="BGC188" s="18"/>
      <c r="BGD188" s="18"/>
      <c r="BGE188" s="18"/>
      <c r="BGF188" s="18"/>
      <c r="BGG188" s="18"/>
      <c r="BGH188" s="18"/>
      <c r="BGI188" s="18"/>
      <c r="BGJ188" s="18"/>
      <c r="BGK188" s="18"/>
      <c r="BGL188" s="18"/>
      <c r="BGM188" s="18"/>
      <c r="BGN188" s="18"/>
      <c r="BGO188" s="18"/>
      <c r="BGP188" s="18"/>
      <c r="BGQ188" s="18"/>
      <c r="BGR188" s="18"/>
      <c r="BGS188" s="18"/>
      <c r="BGT188" s="18"/>
      <c r="BGU188" s="18"/>
      <c r="BGV188" s="18"/>
      <c r="BGW188" s="18"/>
      <c r="BGX188" s="18"/>
      <c r="BGY188" s="18"/>
      <c r="BGZ188" s="18"/>
      <c r="BHA188" s="18"/>
      <c r="BHB188" s="18"/>
      <c r="BHC188" s="18"/>
      <c r="BHD188" s="18"/>
      <c r="BHE188" s="18"/>
      <c r="BHF188" s="18"/>
      <c r="BHG188" s="18"/>
      <c r="BHH188" s="18"/>
      <c r="BHI188" s="18"/>
      <c r="BHJ188" s="18"/>
      <c r="BHK188" s="18"/>
      <c r="BHL188" s="18"/>
      <c r="BHM188" s="18"/>
      <c r="BHN188" s="18"/>
      <c r="BHO188" s="18"/>
      <c r="BHP188" s="18"/>
      <c r="BHQ188" s="18"/>
      <c r="BHR188" s="18"/>
      <c r="BHS188" s="18"/>
      <c r="BHT188" s="18"/>
      <c r="BHU188" s="18"/>
      <c r="BHV188" s="18"/>
      <c r="BHW188" s="18"/>
      <c r="BHX188" s="18"/>
      <c r="BHY188" s="18"/>
      <c r="BHZ188" s="18"/>
      <c r="BIA188" s="18"/>
      <c r="BIB188" s="18"/>
      <c r="BIC188" s="18"/>
      <c r="BID188" s="18"/>
      <c r="BIE188" s="18"/>
      <c r="BIF188" s="18"/>
      <c r="BIG188" s="18"/>
      <c r="BIH188" s="18"/>
      <c r="BII188" s="18"/>
      <c r="BIJ188" s="18"/>
      <c r="BIK188" s="18"/>
      <c r="BIL188" s="18"/>
      <c r="BIM188" s="18"/>
      <c r="BIN188" s="18"/>
      <c r="BIO188" s="18"/>
      <c r="BIP188" s="18"/>
      <c r="BIQ188" s="18"/>
      <c r="BIR188" s="18"/>
      <c r="BIS188" s="18"/>
      <c r="BIT188" s="18"/>
      <c r="BIU188" s="18"/>
      <c r="BIV188" s="18"/>
      <c r="BIW188" s="18"/>
      <c r="BIX188" s="18"/>
      <c r="BIY188" s="18"/>
      <c r="BIZ188" s="18"/>
      <c r="BJA188" s="18"/>
      <c r="BJB188" s="18"/>
      <c r="BJC188" s="18"/>
      <c r="BJD188" s="18"/>
      <c r="BJE188" s="18"/>
      <c r="BJF188" s="18"/>
      <c r="BJG188" s="18"/>
      <c r="BJH188" s="18"/>
      <c r="BJI188" s="18"/>
      <c r="BJJ188" s="18"/>
      <c r="BJK188" s="18"/>
      <c r="BJL188" s="18"/>
      <c r="BJM188" s="18"/>
      <c r="BJN188" s="18"/>
      <c r="BJO188" s="18"/>
      <c r="BJP188" s="18"/>
      <c r="BJQ188" s="18"/>
      <c r="BJR188" s="18"/>
      <c r="BJS188" s="18"/>
      <c r="BJT188" s="18"/>
      <c r="BJU188" s="18"/>
      <c r="BJV188" s="18"/>
      <c r="BJW188" s="18"/>
      <c r="BJX188" s="18"/>
      <c r="BJY188" s="18"/>
      <c r="BJZ188" s="18"/>
      <c r="BKA188" s="18"/>
      <c r="BKB188" s="18"/>
      <c r="BKC188" s="18"/>
      <c r="BKD188" s="18"/>
      <c r="BKE188" s="18"/>
      <c r="BKF188" s="18"/>
      <c r="BKG188" s="18"/>
      <c r="BKH188" s="18"/>
      <c r="BKI188" s="18"/>
      <c r="BKJ188" s="18"/>
      <c r="BKK188" s="18"/>
      <c r="BKL188" s="18"/>
      <c r="BKM188" s="18"/>
      <c r="BKN188" s="18"/>
      <c r="BKO188" s="18"/>
      <c r="BKP188" s="18"/>
      <c r="BKQ188" s="18"/>
      <c r="BKR188" s="18"/>
      <c r="BKS188" s="18"/>
      <c r="BKT188" s="18"/>
      <c r="BKU188" s="18"/>
      <c r="BKV188" s="18"/>
      <c r="BKW188" s="18"/>
      <c r="BKX188" s="18"/>
      <c r="BKY188" s="18"/>
      <c r="BKZ188" s="18"/>
      <c r="BLA188" s="18"/>
      <c r="BLB188" s="18"/>
      <c r="BLC188" s="18"/>
      <c r="BLD188" s="18"/>
      <c r="BLE188" s="18"/>
      <c r="BLF188" s="18"/>
      <c r="BLG188" s="18"/>
      <c r="BLH188" s="18"/>
      <c r="BLI188" s="18"/>
      <c r="BLJ188" s="18"/>
      <c r="BLK188" s="18"/>
      <c r="BLL188" s="18"/>
      <c r="BLM188" s="18"/>
      <c r="BLN188" s="18"/>
      <c r="BLO188" s="18"/>
      <c r="BLP188" s="18"/>
      <c r="BLQ188" s="18"/>
      <c r="BLR188" s="18"/>
      <c r="BLS188" s="18"/>
      <c r="BLT188" s="18"/>
      <c r="BLU188" s="18"/>
      <c r="BLV188" s="18"/>
      <c r="BLW188" s="18"/>
      <c r="BLX188" s="18"/>
      <c r="BLY188" s="18"/>
      <c r="BLZ188" s="18"/>
      <c r="BMA188" s="18"/>
      <c r="BMB188" s="18"/>
      <c r="BMC188" s="18"/>
      <c r="BMD188" s="18"/>
      <c r="BME188" s="18"/>
      <c r="BMF188" s="18"/>
      <c r="BMG188" s="18"/>
      <c r="BMH188" s="18"/>
      <c r="BMI188" s="18"/>
      <c r="BMJ188" s="18"/>
      <c r="BMK188" s="18"/>
      <c r="BML188" s="18"/>
      <c r="BMM188" s="18"/>
      <c r="BMN188" s="18"/>
      <c r="BMO188" s="18"/>
      <c r="BMP188" s="18"/>
      <c r="BMQ188" s="18"/>
      <c r="BMR188" s="18"/>
      <c r="BMS188" s="18"/>
      <c r="BMT188" s="18"/>
      <c r="BMU188" s="18"/>
      <c r="BMV188" s="18"/>
      <c r="BMW188" s="18"/>
      <c r="BMX188" s="18"/>
      <c r="BMY188" s="18"/>
      <c r="BMZ188" s="18"/>
      <c r="BNA188" s="18"/>
      <c r="BNB188" s="18"/>
      <c r="BNC188" s="18"/>
      <c r="BND188" s="18"/>
      <c r="BNE188" s="18"/>
      <c r="BNF188" s="18"/>
      <c r="BNG188" s="18"/>
      <c r="BNH188" s="18"/>
      <c r="BNI188" s="18"/>
      <c r="BNJ188" s="18"/>
      <c r="BNK188" s="18"/>
      <c r="BNL188" s="18"/>
      <c r="BNM188" s="18"/>
      <c r="BNN188" s="18"/>
      <c r="BNO188" s="18"/>
      <c r="BNP188" s="18"/>
      <c r="BNQ188" s="18"/>
      <c r="BNR188" s="18"/>
      <c r="BNS188" s="18"/>
      <c r="BNT188" s="18"/>
      <c r="BNU188" s="18"/>
      <c r="BNV188" s="18"/>
      <c r="BNW188" s="18"/>
      <c r="BNX188" s="18"/>
      <c r="BNY188" s="18"/>
      <c r="BNZ188" s="18"/>
      <c r="BOA188" s="18"/>
      <c r="BOB188" s="18"/>
      <c r="BOC188" s="18"/>
      <c r="BOD188" s="18"/>
      <c r="BOE188" s="18"/>
      <c r="BOF188" s="18"/>
      <c r="BOG188" s="18"/>
      <c r="BOH188" s="18"/>
      <c r="BOI188" s="18"/>
      <c r="BOJ188" s="18"/>
      <c r="BOK188" s="18"/>
      <c r="BOL188" s="18"/>
      <c r="BOM188" s="18"/>
      <c r="BON188" s="18"/>
      <c r="BOO188" s="18"/>
      <c r="BOP188" s="18"/>
      <c r="BOQ188" s="18"/>
      <c r="BOR188" s="18"/>
      <c r="BOS188" s="18"/>
      <c r="BOT188" s="18"/>
      <c r="BOU188" s="18"/>
      <c r="BOV188" s="18"/>
      <c r="BOW188" s="18"/>
      <c r="BOX188" s="18"/>
      <c r="BOY188" s="18"/>
      <c r="BOZ188" s="18"/>
      <c r="BPA188" s="18"/>
      <c r="BPB188" s="18"/>
      <c r="BPC188" s="18"/>
      <c r="BPD188" s="18"/>
      <c r="BPE188" s="18"/>
      <c r="BPF188" s="18"/>
      <c r="BPG188" s="18"/>
      <c r="BPH188" s="18"/>
      <c r="BPI188" s="18"/>
      <c r="BPJ188" s="18"/>
      <c r="BPK188" s="18"/>
      <c r="BPL188" s="18"/>
      <c r="BPM188" s="18"/>
      <c r="BPN188" s="18"/>
      <c r="BPO188" s="18"/>
      <c r="BPP188" s="18"/>
      <c r="BPQ188" s="18"/>
      <c r="BPR188" s="18"/>
      <c r="BPS188" s="18"/>
      <c r="BPT188" s="18"/>
      <c r="BPU188" s="18"/>
      <c r="BPV188" s="18"/>
      <c r="BPW188" s="18"/>
      <c r="BPX188" s="18"/>
      <c r="BPY188" s="18"/>
      <c r="BPZ188" s="18"/>
      <c r="BQA188" s="18"/>
      <c r="BQB188" s="18"/>
      <c r="BQC188" s="18"/>
      <c r="BQD188" s="18"/>
      <c r="BQE188" s="18"/>
      <c r="BQF188" s="18"/>
      <c r="BQG188" s="18"/>
      <c r="BQH188" s="18"/>
      <c r="BQI188" s="18"/>
      <c r="BQJ188" s="18"/>
      <c r="BQK188" s="18"/>
      <c r="BQL188" s="18"/>
      <c r="BQM188" s="18"/>
      <c r="BQN188" s="18"/>
      <c r="BQO188" s="18"/>
      <c r="BQP188" s="18"/>
      <c r="BQQ188" s="18"/>
      <c r="BQR188" s="18"/>
      <c r="BQS188" s="18"/>
      <c r="BQT188" s="18"/>
      <c r="BQU188" s="18"/>
      <c r="BQV188" s="18"/>
      <c r="BQW188" s="18"/>
      <c r="BQX188" s="18"/>
      <c r="BQY188" s="18"/>
      <c r="BQZ188" s="18"/>
      <c r="BRA188" s="18"/>
      <c r="BRB188" s="18"/>
      <c r="BRC188" s="18"/>
      <c r="BRD188" s="18"/>
      <c r="BRE188" s="18"/>
      <c r="BRF188" s="18"/>
      <c r="BRG188" s="18"/>
      <c r="BRH188" s="18"/>
      <c r="BRI188" s="18"/>
      <c r="BRJ188" s="18"/>
      <c r="BRK188" s="18"/>
      <c r="BRL188" s="18"/>
      <c r="BRM188" s="18"/>
      <c r="BRN188" s="18"/>
      <c r="BRO188" s="18"/>
      <c r="BRP188" s="18"/>
      <c r="BRQ188" s="18"/>
      <c r="BRR188" s="18"/>
      <c r="BRS188" s="18"/>
      <c r="BRT188" s="18"/>
      <c r="BRU188" s="18"/>
      <c r="BRV188" s="18"/>
      <c r="BRW188" s="18"/>
      <c r="BRX188" s="18"/>
      <c r="BRY188" s="18"/>
      <c r="BRZ188" s="18"/>
      <c r="BSA188" s="18"/>
      <c r="BSB188" s="18"/>
      <c r="BSC188" s="18"/>
      <c r="BSD188" s="18"/>
      <c r="BSE188" s="18"/>
      <c r="BSF188" s="18"/>
      <c r="BSG188" s="18"/>
      <c r="BSH188" s="18"/>
      <c r="BSI188" s="18"/>
      <c r="BSJ188" s="18"/>
      <c r="BSK188" s="18"/>
      <c r="BSL188" s="18"/>
      <c r="BSM188" s="18"/>
      <c r="BSN188" s="18"/>
      <c r="BSO188" s="18"/>
      <c r="BSP188" s="18"/>
      <c r="BSQ188" s="18"/>
      <c r="BSR188" s="18"/>
      <c r="BSS188" s="18"/>
      <c r="BST188" s="18"/>
      <c r="BSU188" s="18"/>
      <c r="BSV188" s="18"/>
      <c r="BSW188" s="18"/>
      <c r="BSX188" s="18"/>
      <c r="BSY188" s="18"/>
      <c r="BSZ188" s="18"/>
      <c r="BTA188" s="18"/>
      <c r="BTB188" s="18"/>
      <c r="BTC188" s="18"/>
      <c r="BTD188" s="18"/>
      <c r="BTE188" s="18"/>
      <c r="BTF188" s="18"/>
      <c r="BTG188" s="18"/>
      <c r="BTH188" s="18"/>
    </row>
    <row r="189" spans="1:1880" s="399" customFormat="1" ht="90" customHeight="1" x14ac:dyDescent="0.3">
      <c r="A189" s="100">
        <v>619</v>
      </c>
      <c r="B189" s="343" t="s">
        <v>53</v>
      </c>
      <c r="C189" s="343" t="s">
        <v>298</v>
      </c>
      <c r="D189" s="87" t="s">
        <v>301</v>
      </c>
      <c r="E189" s="651" t="e">
        <f>INDEX('PY1 Data(H)'!$A$1:$CZ$231,MATCH('Unit Data from Audit Worksheet'!$A189,'PY1 Data(H)'!$A$1:$A$231,0),MATCH('Unit Data from Audit Worksheet'!$D$2,'PY1 Data(H)'!$A$1:$CZ$1,0))</f>
        <v>#N/A</v>
      </c>
      <c r="F189" s="905">
        <v>0</v>
      </c>
      <c r="G189" s="401" t="str">
        <f>IF(ISBLANK(F189),"Please do not leave blank ",IF(F189=H189,"","Please review percentage"))</f>
        <v/>
      </c>
      <c r="H189" s="402">
        <f>ROUND(IFERROR((F188/F187)*100,0),1)</f>
        <v>0</v>
      </c>
      <c r="I189" s="72"/>
      <c r="J189"/>
      <c r="K189" s="18"/>
      <c r="L189"/>
      <c r="M189" s="18"/>
      <c r="N189" s="176"/>
      <c r="O189" s="18"/>
      <c r="P189" s="18"/>
      <c r="Q189" s="18"/>
      <c r="R189" s="18"/>
      <c r="S189" s="18"/>
      <c r="T189" s="18"/>
      <c r="U189" s="18"/>
      <c r="V189" s="18"/>
      <c r="W189" s="18"/>
      <c r="X189" s="18"/>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8"/>
      <c r="EO189" s="18"/>
      <c r="EP189" s="18"/>
      <c r="EQ189" s="18"/>
      <c r="ER189" s="18"/>
      <c r="ES189" s="18"/>
      <c r="ET189" s="18"/>
      <c r="EU189" s="18"/>
      <c r="EV189" s="18"/>
      <c r="EW189" s="18"/>
      <c r="EX189" s="18"/>
      <c r="EY189" s="18"/>
      <c r="EZ189" s="18"/>
      <c r="FA189" s="18"/>
      <c r="FB189" s="18"/>
      <c r="FC189" s="18"/>
      <c r="FD189" s="18"/>
      <c r="FE189" s="18"/>
      <c r="FF189" s="18"/>
      <c r="FG189" s="18"/>
      <c r="FH189" s="18"/>
      <c r="FI189" s="18"/>
      <c r="FJ189" s="18"/>
      <c r="FK189" s="18"/>
      <c r="FL189" s="18"/>
      <c r="FM189" s="18"/>
      <c r="FN189" s="18"/>
      <c r="FO189" s="18"/>
      <c r="FP189" s="18"/>
      <c r="FQ189" s="18"/>
      <c r="FR189" s="18"/>
      <c r="FS189" s="18"/>
      <c r="FT189" s="18"/>
      <c r="FU189" s="18"/>
      <c r="FV189" s="18"/>
      <c r="FW189" s="18"/>
      <c r="FX189" s="18"/>
      <c r="FY189" s="18"/>
      <c r="FZ189" s="18"/>
      <c r="GA189" s="18"/>
      <c r="GB189" s="18"/>
      <c r="GC189" s="18"/>
      <c r="GD189" s="18"/>
      <c r="GE189" s="18"/>
      <c r="GF189" s="18"/>
      <c r="GG189" s="18"/>
      <c r="GH189" s="18"/>
      <c r="GI189" s="18"/>
      <c r="GJ189" s="18"/>
      <c r="GK189" s="18"/>
      <c r="GL189" s="18"/>
      <c r="GM189" s="18"/>
      <c r="GN189" s="18"/>
      <c r="GO189" s="18"/>
      <c r="GP189" s="18"/>
      <c r="GQ189" s="18"/>
      <c r="GR189" s="18"/>
      <c r="GS189" s="18"/>
      <c r="GT189" s="18"/>
      <c r="GU189" s="18"/>
      <c r="GV189" s="18"/>
      <c r="GW189" s="18"/>
      <c r="GX189" s="18"/>
      <c r="GY189" s="18"/>
      <c r="GZ189" s="18"/>
      <c r="HA189" s="18"/>
      <c r="HB189" s="18"/>
      <c r="HC189" s="18"/>
      <c r="HD189" s="18"/>
      <c r="HE189" s="18"/>
      <c r="HF189" s="18"/>
      <c r="HG189" s="18"/>
      <c r="HH189" s="18"/>
      <c r="HI189" s="18"/>
      <c r="HJ189" s="18"/>
      <c r="HK189" s="18"/>
      <c r="HL189" s="18"/>
      <c r="HM189" s="18"/>
      <c r="HN189" s="18"/>
      <c r="HO189" s="18"/>
      <c r="HP189" s="18"/>
      <c r="HQ189" s="18"/>
      <c r="HR189" s="18"/>
      <c r="HS189" s="18"/>
      <c r="HT189" s="18"/>
      <c r="HU189" s="18"/>
      <c r="HV189" s="18"/>
      <c r="HW189" s="18"/>
      <c r="HX189" s="18"/>
      <c r="HY189" s="18"/>
      <c r="HZ189" s="18"/>
      <c r="IA189" s="18"/>
      <c r="IB189" s="18"/>
      <c r="IC189" s="18"/>
      <c r="ID189" s="18"/>
      <c r="IE189" s="18"/>
      <c r="IF189" s="18"/>
      <c r="IG189" s="18"/>
      <c r="IH189" s="18"/>
      <c r="II189" s="18"/>
      <c r="IJ189" s="18"/>
      <c r="IK189" s="18"/>
      <c r="IL189" s="18"/>
      <c r="IM189" s="18"/>
      <c r="IN189" s="18"/>
      <c r="IO189" s="18"/>
      <c r="IP189" s="18"/>
      <c r="IQ189" s="18"/>
      <c r="IR189" s="18"/>
      <c r="IS189" s="18"/>
      <c r="IT189" s="18"/>
      <c r="IU189" s="18"/>
      <c r="IV189" s="18"/>
      <c r="IW189" s="18"/>
      <c r="IX189" s="18"/>
      <c r="IY189" s="18"/>
      <c r="IZ189" s="18"/>
      <c r="JA189" s="18"/>
      <c r="JB189" s="18"/>
      <c r="JC189" s="18"/>
      <c r="JD189" s="18"/>
      <c r="JE189" s="18"/>
      <c r="JF189" s="18"/>
      <c r="JG189" s="18"/>
      <c r="JH189" s="18"/>
      <c r="JI189" s="18"/>
      <c r="JJ189" s="18"/>
      <c r="JK189" s="18"/>
      <c r="JL189" s="18"/>
      <c r="JM189" s="18"/>
      <c r="JN189" s="18"/>
      <c r="JO189" s="18"/>
      <c r="JP189" s="18"/>
      <c r="JQ189" s="18"/>
      <c r="JR189" s="18"/>
      <c r="JS189" s="18"/>
      <c r="JT189" s="18"/>
      <c r="JU189" s="18"/>
      <c r="JV189" s="18"/>
      <c r="JW189" s="18"/>
      <c r="JX189" s="18"/>
      <c r="JY189" s="18"/>
      <c r="JZ189" s="18"/>
      <c r="KA189" s="18"/>
      <c r="KB189" s="18"/>
      <c r="KC189" s="18"/>
      <c r="KD189" s="18"/>
      <c r="KE189" s="18"/>
      <c r="KF189" s="18"/>
      <c r="KG189" s="18"/>
      <c r="KH189" s="18"/>
      <c r="KI189" s="18"/>
      <c r="KJ189" s="18"/>
      <c r="KK189" s="18"/>
      <c r="KL189" s="18"/>
      <c r="KM189" s="18"/>
      <c r="KN189" s="18"/>
      <c r="KO189" s="18"/>
      <c r="KP189" s="18"/>
      <c r="KQ189" s="18"/>
      <c r="KR189" s="18"/>
      <c r="KS189" s="18"/>
      <c r="KT189" s="18"/>
      <c r="KU189" s="18"/>
      <c r="KV189" s="18"/>
      <c r="KW189" s="18"/>
      <c r="KX189" s="18"/>
      <c r="KY189" s="18"/>
      <c r="KZ189" s="18"/>
      <c r="LA189" s="18"/>
      <c r="LB189" s="18"/>
      <c r="LC189" s="18"/>
      <c r="LD189" s="18"/>
      <c r="LE189" s="18"/>
      <c r="LF189" s="18"/>
      <c r="LG189" s="18"/>
      <c r="LH189" s="18"/>
      <c r="LI189" s="18"/>
      <c r="LJ189" s="18"/>
      <c r="LK189" s="18"/>
      <c r="LL189" s="18"/>
      <c r="LM189" s="18"/>
      <c r="LN189" s="18"/>
      <c r="LO189" s="18"/>
      <c r="LP189" s="18"/>
      <c r="LQ189" s="18"/>
      <c r="LR189" s="18"/>
      <c r="LS189" s="18"/>
      <c r="LT189" s="18"/>
      <c r="LU189" s="18"/>
      <c r="LV189" s="18"/>
      <c r="LW189" s="18"/>
      <c r="LX189" s="18"/>
      <c r="LY189" s="18"/>
      <c r="LZ189" s="18"/>
      <c r="MA189" s="18"/>
      <c r="MB189" s="18"/>
      <c r="MC189" s="18"/>
      <c r="MD189" s="18"/>
      <c r="ME189" s="18"/>
      <c r="MF189" s="18"/>
      <c r="MG189" s="18"/>
      <c r="MH189" s="18"/>
      <c r="MI189" s="18"/>
      <c r="MJ189" s="18"/>
      <c r="MK189" s="18"/>
      <c r="ML189" s="18"/>
      <c r="MM189" s="18"/>
      <c r="MN189" s="18"/>
      <c r="MO189" s="18"/>
      <c r="MP189" s="18"/>
      <c r="MQ189" s="18"/>
      <c r="MR189" s="18"/>
      <c r="MS189" s="18"/>
      <c r="MT189" s="18"/>
      <c r="MU189" s="18"/>
      <c r="MV189" s="18"/>
      <c r="MW189" s="18"/>
      <c r="MX189" s="18"/>
      <c r="MY189" s="18"/>
      <c r="MZ189" s="18"/>
      <c r="NA189" s="18"/>
      <c r="NB189" s="18"/>
      <c r="NC189" s="18"/>
      <c r="ND189" s="18"/>
      <c r="NE189" s="18"/>
      <c r="NF189" s="18"/>
      <c r="NG189" s="18"/>
      <c r="NH189" s="18"/>
      <c r="NI189" s="18"/>
      <c r="NJ189" s="18"/>
      <c r="NK189" s="18"/>
      <c r="NL189" s="18"/>
      <c r="NM189" s="18"/>
      <c r="NN189" s="18"/>
      <c r="NO189" s="18"/>
      <c r="NP189" s="18"/>
      <c r="NQ189" s="18"/>
      <c r="NR189" s="18"/>
      <c r="NS189" s="18"/>
      <c r="NT189" s="18"/>
      <c r="NU189" s="18"/>
      <c r="NV189" s="18"/>
      <c r="NW189" s="18"/>
      <c r="NX189" s="18"/>
      <c r="NY189" s="18"/>
      <c r="NZ189" s="18"/>
      <c r="OA189" s="18"/>
      <c r="OB189" s="18"/>
      <c r="OC189" s="18"/>
      <c r="OD189" s="18"/>
      <c r="OE189" s="18"/>
      <c r="OF189" s="18"/>
      <c r="OG189" s="18"/>
      <c r="OH189" s="18"/>
      <c r="OI189" s="18"/>
      <c r="OJ189" s="18"/>
      <c r="OK189" s="18"/>
      <c r="OL189" s="18"/>
      <c r="OM189" s="18"/>
      <c r="ON189" s="18"/>
      <c r="OO189" s="18"/>
      <c r="OP189" s="18"/>
      <c r="OQ189" s="18"/>
      <c r="OR189" s="18"/>
      <c r="OS189" s="18"/>
      <c r="OT189" s="18"/>
      <c r="OU189" s="18"/>
      <c r="OV189" s="18"/>
      <c r="OW189" s="18"/>
      <c r="OX189" s="18"/>
      <c r="OY189" s="18"/>
      <c r="OZ189" s="18"/>
      <c r="PA189" s="18"/>
      <c r="PB189" s="18"/>
      <c r="PC189" s="18"/>
      <c r="PD189" s="18"/>
      <c r="PE189" s="18"/>
      <c r="PF189" s="18"/>
      <c r="PG189" s="18"/>
      <c r="PH189" s="18"/>
      <c r="PI189" s="18"/>
      <c r="PJ189" s="18"/>
      <c r="PK189" s="18"/>
      <c r="PL189" s="18"/>
      <c r="PM189" s="18"/>
      <c r="PN189" s="18"/>
      <c r="PO189" s="18"/>
      <c r="PP189" s="18"/>
      <c r="PQ189" s="18"/>
      <c r="PR189" s="18"/>
      <c r="PS189" s="18"/>
      <c r="PT189" s="18"/>
      <c r="PU189" s="18"/>
      <c r="PV189" s="18"/>
      <c r="PW189" s="18"/>
      <c r="PX189" s="18"/>
      <c r="PY189" s="18"/>
      <c r="PZ189" s="18"/>
      <c r="QA189" s="18"/>
      <c r="QB189" s="18"/>
      <c r="QC189" s="18"/>
      <c r="QD189" s="18"/>
      <c r="QE189" s="18"/>
      <c r="QF189" s="18"/>
      <c r="QG189" s="18"/>
      <c r="QH189" s="18"/>
      <c r="QI189" s="18"/>
      <c r="QJ189" s="18"/>
      <c r="QK189" s="18"/>
      <c r="QL189" s="18"/>
      <c r="QM189" s="18"/>
      <c r="QN189" s="18"/>
      <c r="QO189" s="18"/>
      <c r="QP189" s="18"/>
      <c r="QQ189" s="18"/>
      <c r="QR189" s="18"/>
      <c r="QS189" s="18"/>
      <c r="QT189" s="18"/>
      <c r="QU189" s="18"/>
      <c r="QV189" s="18"/>
      <c r="QW189" s="18"/>
      <c r="QX189" s="18"/>
      <c r="QY189" s="18"/>
      <c r="QZ189" s="18"/>
      <c r="RA189" s="18"/>
      <c r="RB189" s="18"/>
      <c r="RC189" s="18"/>
      <c r="RD189" s="18"/>
      <c r="RE189" s="18"/>
      <c r="RF189" s="18"/>
      <c r="RG189" s="18"/>
      <c r="RH189" s="18"/>
      <c r="RI189" s="18"/>
      <c r="RJ189" s="18"/>
      <c r="RK189" s="18"/>
      <c r="RL189" s="18"/>
      <c r="RM189" s="18"/>
      <c r="RN189" s="18"/>
      <c r="RO189" s="18"/>
      <c r="RP189" s="18"/>
      <c r="RQ189" s="18"/>
      <c r="RR189" s="18"/>
      <c r="RS189" s="18"/>
      <c r="RT189" s="18"/>
      <c r="RU189" s="18"/>
      <c r="RV189" s="18"/>
      <c r="RW189" s="18"/>
      <c r="RX189" s="18"/>
      <c r="RY189" s="18"/>
      <c r="RZ189" s="18"/>
      <c r="SA189" s="18"/>
      <c r="SB189" s="18"/>
      <c r="SC189" s="18"/>
      <c r="SD189" s="18"/>
      <c r="SE189" s="18"/>
      <c r="SF189" s="18"/>
      <c r="SG189" s="18"/>
      <c r="SH189" s="18"/>
      <c r="SI189" s="18"/>
      <c r="SJ189" s="18"/>
      <c r="SK189" s="18"/>
      <c r="SL189" s="18"/>
      <c r="SM189" s="18"/>
      <c r="SN189" s="18"/>
      <c r="SO189" s="18"/>
      <c r="SP189" s="18"/>
      <c r="SQ189" s="18"/>
      <c r="SR189" s="18"/>
      <c r="SS189" s="18"/>
      <c r="ST189" s="18"/>
      <c r="SU189" s="18"/>
      <c r="SV189" s="18"/>
      <c r="SW189" s="18"/>
      <c r="SX189" s="18"/>
      <c r="SY189" s="18"/>
      <c r="SZ189" s="18"/>
      <c r="TA189" s="18"/>
      <c r="TB189" s="18"/>
      <c r="TC189" s="18"/>
      <c r="TD189" s="18"/>
      <c r="TE189" s="18"/>
      <c r="TF189" s="18"/>
      <c r="TG189" s="18"/>
      <c r="TH189" s="18"/>
      <c r="TI189" s="18"/>
      <c r="TJ189" s="18"/>
      <c r="TK189" s="18"/>
      <c r="TL189" s="18"/>
      <c r="TM189" s="18"/>
      <c r="TN189" s="18"/>
      <c r="TO189" s="18"/>
      <c r="TP189" s="18"/>
      <c r="TQ189" s="18"/>
      <c r="TR189" s="18"/>
      <c r="TS189" s="18"/>
      <c r="TT189" s="18"/>
      <c r="TU189" s="18"/>
      <c r="TV189" s="18"/>
      <c r="TW189" s="18"/>
      <c r="TX189" s="18"/>
      <c r="TY189" s="18"/>
      <c r="TZ189" s="18"/>
      <c r="UA189" s="18"/>
      <c r="UB189" s="18"/>
      <c r="UC189" s="18"/>
      <c r="UD189" s="18"/>
      <c r="UE189" s="18"/>
      <c r="UF189" s="18"/>
      <c r="UG189" s="18"/>
      <c r="UH189" s="18"/>
      <c r="UI189" s="18"/>
      <c r="UJ189" s="18"/>
      <c r="UK189" s="18"/>
      <c r="UL189" s="18"/>
      <c r="UM189" s="18"/>
      <c r="UN189" s="18"/>
      <c r="UO189" s="18"/>
      <c r="UP189" s="18"/>
      <c r="UQ189" s="18"/>
      <c r="UR189" s="18"/>
      <c r="US189" s="18"/>
      <c r="UT189" s="18"/>
      <c r="UU189" s="18"/>
      <c r="UV189" s="18"/>
      <c r="UW189" s="18"/>
      <c r="UX189" s="18"/>
      <c r="UY189" s="18"/>
      <c r="UZ189" s="18"/>
      <c r="VA189" s="18"/>
      <c r="VB189" s="18"/>
      <c r="VC189" s="18"/>
      <c r="VD189" s="18"/>
      <c r="VE189" s="18"/>
      <c r="VF189" s="18"/>
      <c r="VG189" s="18"/>
      <c r="VH189" s="18"/>
      <c r="VI189" s="18"/>
      <c r="VJ189" s="18"/>
      <c r="VK189" s="18"/>
      <c r="VL189" s="18"/>
      <c r="VM189" s="18"/>
      <c r="VN189" s="18"/>
      <c r="VO189" s="18"/>
      <c r="VP189" s="18"/>
      <c r="VQ189" s="18"/>
      <c r="VR189" s="18"/>
      <c r="VS189" s="18"/>
      <c r="VT189" s="18"/>
      <c r="VU189" s="18"/>
      <c r="VV189" s="18"/>
      <c r="VW189" s="18"/>
      <c r="VX189" s="18"/>
      <c r="VY189" s="18"/>
      <c r="VZ189" s="18"/>
      <c r="WA189" s="18"/>
      <c r="WB189" s="18"/>
      <c r="WC189" s="18"/>
      <c r="WD189" s="18"/>
      <c r="WE189" s="18"/>
      <c r="WF189" s="18"/>
      <c r="WG189" s="18"/>
      <c r="WH189" s="18"/>
      <c r="WI189" s="18"/>
      <c r="WJ189" s="18"/>
      <c r="WK189" s="18"/>
      <c r="WL189" s="18"/>
      <c r="WM189" s="18"/>
      <c r="WN189" s="18"/>
      <c r="WO189" s="18"/>
      <c r="WP189" s="18"/>
      <c r="WQ189" s="18"/>
      <c r="WR189" s="18"/>
      <c r="WS189" s="18"/>
      <c r="WT189" s="18"/>
      <c r="WU189" s="18"/>
      <c r="WV189" s="18"/>
      <c r="WW189" s="18"/>
      <c r="WX189" s="18"/>
      <c r="WY189" s="18"/>
      <c r="WZ189" s="18"/>
      <c r="XA189" s="18"/>
      <c r="XB189" s="18"/>
      <c r="XC189" s="18"/>
      <c r="XD189" s="18"/>
      <c r="XE189" s="18"/>
      <c r="XF189" s="18"/>
      <c r="XG189" s="18"/>
      <c r="XH189" s="18"/>
      <c r="XI189" s="18"/>
      <c r="XJ189" s="18"/>
      <c r="XK189" s="18"/>
      <c r="XL189" s="18"/>
      <c r="XM189" s="18"/>
      <c r="XN189" s="18"/>
      <c r="XO189" s="18"/>
      <c r="XP189" s="18"/>
      <c r="XQ189" s="18"/>
      <c r="XR189" s="18"/>
      <c r="XS189" s="18"/>
      <c r="XT189" s="18"/>
      <c r="XU189" s="18"/>
      <c r="XV189" s="18"/>
      <c r="XW189" s="18"/>
      <c r="XX189" s="18"/>
      <c r="XY189" s="18"/>
      <c r="XZ189" s="18"/>
      <c r="YA189" s="18"/>
      <c r="YB189" s="18"/>
      <c r="YC189" s="18"/>
      <c r="YD189" s="18"/>
      <c r="YE189" s="18"/>
      <c r="YF189" s="18"/>
      <c r="YG189" s="18"/>
      <c r="YH189" s="18"/>
      <c r="YI189" s="18"/>
      <c r="YJ189" s="18"/>
      <c r="YK189" s="18"/>
      <c r="YL189" s="18"/>
      <c r="YM189" s="18"/>
      <c r="YN189" s="18"/>
      <c r="YO189" s="18"/>
      <c r="YP189" s="18"/>
      <c r="YQ189" s="18"/>
      <c r="YR189" s="18"/>
      <c r="YS189" s="18"/>
      <c r="YT189" s="18"/>
      <c r="YU189" s="18"/>
      <c r="YV189" s="18"/>
      <c r="YW189" s="18"/>
      <c r="YX189" s="18"/>
      <c r="YY189" s="18"/>
      <c r="YZ189" s="18"/>
      <c r="ZA189" s="18"/>
      <c r="ZB189" s="18"/>
      <c r="ZC189" s="18"/>
      <c r="ZD189" s="18"/>
      <c r="ZE189" s="18"/>
      <c r="ZF189" s="18"/>
      <c r="ZG189" s="18"/>
      <c r="ZH189" s="18"/>
      <c r="ZI189" s="18"/>
      <c r="ZJ189" s="18"/>
      <c r="ZK189" s="18"/>
      <c r="ZL189" s="18"/>
      <c r="ZM189" s="18"/>
      <c r="ZN189" s="18"/>
      <c r="ZO189" s="18"/>
      <c r="ZP189" s="18"/>
      <c r="ZQ189" s="18"/>
      <c r="ZR189" s="18"/>
      <c r="ZS189" s="18"/>
      <c r="ZT189" s="18"/>
      <c r="ZU189" s="18"/>
      <c r="ZV189" s="18"/>
      <c r="ZW189" s="18"/>
      <c r="ZX189" s="18"/>
      <c r="ZY189" s="18"/>
      <c r="ZZ189" s="18"/>
      <c r="AAA189" s="18"/>
      <c r="AAB189" s="18"/>
      <c r="AAC189" s="18"/>
      <c r="AAD189" s="18"/>
      <c r="AAE189" s="18"/>
      <c r="AAF189" s="18"/>
      <c r="AAG189" s="18"/>
      <c r="AAH189" s="18"/>
      <c r="AAI189" s="18"/>
      <c r="AAJ189" s="18"/>
      <c r="AAK189" s="18"/>
      <c r="AAL189" s="18"/>
      <c r="AAM189" s="18"/>
      <c r="AAN189" s="18"/>
      <c r="AAO189" s="18"/>
      <c r="AAP189" s="18"/>
      <c r="AAQ189" s="18"/>
      <c r="AAR189" s="18"/>
      <c r="AAS189" s="18"/>
      <c r="AAT189" s="18"/>
      <c r="AAU189" s="18"/>
      <c r="AAV189" s="18"/>
      <c r="AAW189" s="18"/>
      <c r="AAX189" s="18"/>
      <c r="AAY189" s="18"/>
      <c r="AAZ189" s="18"/>
      <c r="ABA189" s="18"/>
      <c r="ABB189" s="18"/>
      <c r="ABC189" s="18"/>
      <c r="ABD189" s="18"/>
      <c r="ABE189" s="18"/>
      <c r="ABF189" s="18"/>
      <c r="ABG189" s="18"/>
      <c r="ABH189" s="18"/>
      <c r="ABI189" s="18"/>
      <c r="ABJ189" s="18"/>
      <c r="ABK189" s="18"/>
      <c r="ABL189" s="18"/>
      <c r="ABM189" s="18"/>
      <c r="ABN189" s="18"/>
      <c r="ABO189" s="18"/>
      <c r="ABP189" s="18"/>
      <c r="ABQ189" s="18"/>
      <c r="ABR189" s="18"/>
      <c r="ABS189" s="18"/>
      <c r="ABT189" s="18"/>
      <c r="ABU189" s="18"/>
      <c r="ABV189" s="18"/>
      <c r="ABW189" s="18"/>
      <c r="ABX189" s="18"/>
      <c r="ABY189" s="18"/>
      <c r="ABZ189" s="18"/>
      <c r="ACA189" s="18"/>
      <c r="ACB189" s="18"/>
      <c r="ACC189" s="18"/>
      <c r="ACD189" s="18"/>
      <c r="ACE189" s="18"/>
      <c r="ACF189" s="18"/>
      <c r="ACG189" s="18"/>
      <c r="ACH189" s="18"/>
      <c r="ACI189" s="18"/>
      <c r="ACJ189" s="18"/>
      <c r="ACK189" s="18"/>
      <c r="ACL189" s="18"/>
      <c r="ACM189" s="18"/>
      <c r="ACN189" s="18"/>
      <c r="ACO189" s="18"/>
      <c r="ACP189" s="18"/>
      <c r="ACQ189" s="18"/>
      <c r="ACR189" s="18"/>
      <c r="ACS189" s="18"/>
      <c r="ACT189" s="18"/>
      <c r="ACU189" s="18"/>
      <c r="ACV189" s="18"/>
      <c r="ACW189" s="18"/>
      <c r="ACX189" s="18"/>
      <c r="ACY189" s="18"/>
      <c r="ACZ189" s="18"/>
      <c r="ADA189" s="18"/>
      <c r="ADB189" s="18"/>
      <c r="ADC189" s="18"/>
      <c r="ADD189" s="18"/>
      <c r="ADE189" s="18"/>
      <c r="ADF189" s="18"/>
      <c r="ADG189" s="18"/>
      <c r="ADH189" s="18"/>
      <c r="ADI189" s="18"/>
      <c r="ADJ189" s="18"/>
      <c r="ADK189" s="18"/>
      <c r="ADL189" s="18"/>
      <c r="ADM189" s="18"/>
      <c r="ADN189" s="18"/>
      <c r="ADO189" s="18"/>
      <c r="ADP189" s="18"/>
      <c r="ADQ189" s="18"/>
      <c r="ADR189" s="18"/>
      <c r="ADS189" s="18"/>
      <c r="ADT189" s="18"/>
      <c r="ADU189" s="18"/>
      <c r="ADV189" s="18"/>
      <c r="ADW189" s="18"/>
      <c r="ADX189" s="18"/>
      <c r="ADY189" s="18"/>
      <c r="ADZ189" s="18"/>
      <c r="AEA189" s="18"/>
      <c r="AEB189" s="18"/>
      <c r="AEC189" s="18"/>
      <c r="AED189" s="18"/>
      <c r="AEE189" s="18"/>
      <c r="AEF189" s="18"/>
      <c r="AEG189" s="18"/>
      <c r="AEH189" s="18"/>
      <c r="AEI189" s="18"/>
      <c r="AEJ189" s="18"/>
      <c r="AEK189" s="18"/>
      <c r="AEL189" s="18"/>
      <c r="AEM189" s="18"/>
      <c r="AEN189" s="18"/>
      <c r="AEO189" s="18"/>
      <c r="AEP189" s="18"/>
      <c r="AEQ189" s="18"/>
      <c r="AER189" s="18"/>
      <c r="AES189" s="18"/>
      <c r="AET189" s="18"/>
      <c r="AEU189" s="18"/>
      <c r="AEV189" s="18"/>
      <c r="AEW189" s="18"/>
      <c r="AEX189" s="18"/>
      <c r="AEY189" s="18"/>
      <c r="AEZ189" s="18"/>
      <c r="AFA189" s="18"/>
      <c r="AFB189" s="18"/>
      <c r="AFC189" s="18"/>
      <c r="AFD189" s="18"/>
      <c r="AFE189" s="18"/>
      <c r="AFF189" s="18"/>
      <c r="AFG189" s="18"/>
      <c r="AFH189" s="18"/>
      <c r="AFI189" s="18"/>
      <c r="AFJ189" s="18"/>
      <c r="AFK189" s="18"/>
      <c r="AFL189" s="18"/>
      <c r="AFM189" s="18"/>
      <c r="AFN189" s="18"/>
      <c r="AFO189" s="18"/>
      <c r="AFP189" s="18"/>
      <c r="AFQ189" s="18"/>
      <c r="AFR189" s="18"/>
      <c r="AFS189" s="18"/>
      <c r="AFT189" s="18"/>
      <c r="AFU189" s="18"/>
      <c r="AFV189" s="18"/>
      <c r="AFW189" s="18"/>
      <c r="AFX189" s="18"/>
      <c r="AFY189" s="18"/>
      <c r="AFZ189" s="18"/>
      <c r="AGA189" s="18"/>
      <c r="AGB189" s="18"/>
      <c r="AGC189" s="18"/>
      <c r="AGD189" s="18"/>
      <c r="AGE189" s="18"/>
      <c r="AGF189" s="18"/>
      <c r="AGG189" s="18"/>
      <c r="AGH189" s="18"/>
      <c r="AGI189" s="18"/>
      <c r="AGJ189" s="18"/>
      <c r="AGK189" s="18"/>
      <c r="AGL189" s="18"/>
      <c r="AGM189" s="18"/>
      <c r="AGN189" s="18"/>
      <c r="AGO189" s="18"/>
      <c r="AGP189" s="18"/>
      <c r="AGQ189" s="18"/>
      <c r="AGR189" s="18"/>
      <c r="AGS189" s="18"/>
      <c r="AGT189" s="18"/>
      <c r="AGU189" s="18"/>
      <c r="AGV189" s="18"/>
      <c r="AGW189" s="18"/>
      <c r="AGX189" s="18"/>
      <c r="AGY189" s="18"/>
      <c r="AGZ189" s="18"/>
      <c r="AHA189" s="18"/>
      <c r="AHB189" s="18"/>
      <c r="AHC189" s="18"/>
      <c r="AHD189" s="18"/>
      <c r="AHE189" s="18"/>
      <c r="AHF189" s="18"/>
      <c r="AHG189" s="18"/>
      <c r="AHH189" s="18"/>
      <c r="AHI189" s="18"/>
      <c r="AHJ189" s="18"/>
      <c r="AHK189" s="18"/>
      <c r="AHL189" s="18"/>
      <c r="AHM189" s="18"/>
      <c r="AHN189" s="18"/>
      <c r="AHO189" s="18"/>
      <c r="AHP189" s="18"/>
      <c r="AHQ189" s="18"/>
      <c r="AHR189" s="18"/>
      <c r="AHS189" s="18"/>
      <c r="AHT189" s="18"/>
      <c r="AHU189" s="18"/>
      <c r="AHV189" s="18"/>
      <c r="AHW189" s="18"/>
      <c r="AHX189" s="18"/>
      <c r="AHY189" s="18"/>
      <c r="AHZ189" s="18"/>
      <c r="AIA189" s="18"/>
      <c r="AIB189" s="18"/>
      <c r="AIC189" s="18"/>
      <c r="AID189" s="18"/>
      <c r="AIE189" s="18"/>
      <c r="AIF189" s="18"/>
      <c r="AIG189" s="18"/>
      <c r="AIH189" s="18"/>
      <c r="AII189" s="18"/>
      <c r="AIJ189" s="18"/>
      <c r="AIK189" s="18"/>
      <c r="AIL189" s="18"/>
      <c r="AIM189" s="18"/>
      <c r="AIN189" s="18"/>
      <c r="AIO189" s="18"/>
      <c r="AIP189" s="18"/>
      <c r="AIQ189" s="18"/>
      <c r="AIR189" s="18"/>
      <c r="AIS189" s="18"/>
      <c r="AIT189" s="18"/>
      <c r="AIU189" s="18"/>
      <c r="AIV189" s="18"/>
      <c r="AIW189" s="18"/>
      <c r="AIX189" s="18"/>
      <c r="AIY189" s="18"/>
      <c r="AIZ189" s="18"/>
      <c r="AJA189" s="18"/>
      <c r="AJB189" s="18"/>
      <c r="AJC189" s="18"/>
      <c r="AJD189" s="18"/>
      <c r="AJE189" s="18"/>
      <c r="AJF189" s="18"/>
      <c r="AJG189" s="18"/>
      <c r="AJH189" s="18"/>
      <c r="AJI189" s="18"/>
      <c r="AJJ189" s="18"/>
      <c r="AJK189" s="18"/>
      <c r="AJL189" s="18"/>
      <c r="AJM189" s="18"/>
      <c r="AJN189" s="18"/>
      <c r="AJO189" s="18"/>
      <c r="AJP189" s="18"/>
      <c r="AJQ189" s="18"/>
      <c r="AJR189" s="18"/>
      <c r="AJS189" s="18"/>
      <c r="AJT189" s="18"/>
      <c r="AJU189" s="18"/>
      <c r="AJV189" s="18"/>
      <c r="AJW189" s="18"/>
      <c r="AJX189" s="18"/>
      <c r="AJY189" s="18"/>
      <c r="AJZ189" s="18"/>
      <c r="AKA189" s="18"/>
      <c r="AKB189" s="18"/>
      <c r="AKC189" s="18"/>
      <c r="AKD189" s="18"/>
      <c r="AKE189" s="18"/>
      <c r="AKF189" s="18"/>
      <c r="AKG189" s="18"/>
      <c r="AKH189" s="18"/>
      <c r="AKI189" s="18"/>
      <c r="AKJ189" s="18"/>
      <c r="AKK189" s="18"/>
      <c r="AKL189" s="18"/>
      <c r="AKM189" s="18"/>
      <c r="AKN189" s="18"/>
      <c r="AKO189" s="18"/>
      <c r="AKP189" s="18"/>
      <c r="AKQ189" s="18"/>
      <c r="AKR189" s="18"/>
      <c r="AKS189" s="18"/>
      <c r="AKT189" s="18"/>
      <c r="AKU189" s="18"/>
      <c r="AKV189" s="18"/>
      <c r="AKW189" s="18"/>
      <c r="AKX189" s="18"/>
      <c r="AKY189" s="18"/>
      <c r="AKZ189" s="18"/>
      <c r="ALA189" s="18"/>
      <c r="ALB189" s="18"/>
      <c r="ALC189" s="18"/>
      <c r="ALD189" s="18"/>
      <c r="ALE189" s="18"/>
      <c r="ALF189" s="18"/>
      <c r="ALG189" s="18"/>
      <c r="ALH189" s="18"/>
      <c r="ALI189" s="18"/>
      <c r="ALJ189" s="18"/>
      <c r="ALK189" s="18"/>
      <c r="ALL189" s="18"/>
      <c r="ALM189" s="18"/>
      <c r="ALN189" s="18"/>
      <c r="ALO189" s="18"/>
      <c r="ALP189" s="18"/>
      <c r="ALQ189" s="18"/>
      <c r="ALR189" s="18"/>
      <c r="ALS189" s="18"/>
      <c r="ALT189" s="18"/>
      <c r="ALU189" s="18"/>
      <c r="ALV189" s="18"/>
      <c r="ALW189" s="18"/>
      <c r="ALX189" s="18"/>
      <c r="ALY189" s="18"/>
      <c r="ALZ189" s="18"/>
      <c r="AMA189" s="18"/>
      <c r="AMB189" s="18"/>
      <c r="AMC189" s="18"/>
      <c r="AMD189" s="18"/>
      <c r="AME189" s="18"/>
      <c r="AMF189" s="18"/>
      <c r="AMG189" s="18"/>
      <c r="AMH189" s="18"/>
      <c r="AMI189" s="18"/>
      <c r="AMJ189" s="18"/>
      <c r="AMK189" s="18"/>
      <c r="AML189" s="18"/>
      <c r="AMM189" s="18"/>
      <c r="AMN189" s="18"/>
      <c r="AMO189" s="18"/>
      <c r="AMP189" s="18"/>
      <c r="AMQ189" s="18"/>
      <c r="AMR189" s="18"/>
      <c r="AMS189" s="18"/>
      <c r="AMT189" s="18"/>
      <c r="AMU189" s="18"/>
      <c r="AMV189" s="18"/>
      <c r="AMW189" s="18"/>
      <c r="AMX189" s="18"/>
      <c r="AMY189" s="18"/>
      <c r="AMZ189" s="18"/>
      <c r="ANA189" s="18"/>
      <c r="ANB189" s="18"/>
      <c r="ANC189" s="18"/>
      <c r="AND189" s="18"/>
      <c r="ANE189" s="18"/>
      <c r="ANF189" s="18"/>
      <c r="ANG189" s="18"/>
      <c r="ANH189" s="18"/>
      <c r="ANI189" s="18"/>
      <c r="ANJ189" s="18"/>
      <c r="ANK189" s="18"/>
      <c r="ANL189" s="18"/>
      <c r="ANM189" s="18"/>
      <c r="ANN189" s="18"/>
      <c r="ANO189" s="18"/>
      <c r="ANP189" s="18"/>
      <c r="ANQ189" s="18"/>
      <c r="ANR189" s="18"/>
      <c r="ANS189" s="18"/>
      <c r="ANT189" s="18"/>
      <c r="ANU189" s="18"/>
      <c r="ANV189" s="18"/>
      <c r="ANW189" s="18"/>
      <c r="ANX189" s="18"/>
      <c r="ANY189" s="18"/>
      <c r="ANZ189" s="18"/>
      <c r="AOA189" s="18"/>
      <c r="AOB189" s="18"/>
      <c r="AOC189" s="18"/>
      <c r="AOD189" s="18"/>
      <c r="AOE189" s="18"/>
      <c r="AOF189" s="18"/>
      <c r="AOG189" s="18"/>
      <c r="AOH189" s="18"/>
      <c r="AOI189" s="18"/>
      <c r="AOJ189" s="18"/>
      <c r="AOK189" s="18"/>
      <c r="AOL189" s="18"/>
      <c r="AOM189" s="18"/>
      <c r="AON189" s="18"/>
      <c r="AOO189" s="18"/>
      <c r="AOP189" s="18"/>
      <c r="AOQ189" s="18"/>
      <c r="AOR189" s="18"/>
      <c r="AOS189" s="18"/>
      <c r="AOT189" s="18"/>
      <c r="AOU189" s="18"/>
      <c r="AOV189" s="18"/>
      <c r="AOW189" s="18"/>
      <c r="AOX189" s="18"/>
      <c r="AOY189" s="18"/>
      <c r="AOZ189" s="18"/>
      <c r="APA189" s="18"/>
      <c r="APB189" s="18"/>
      <c r="APC189" s="18"/>
      <c r="APD189" s="18"/>
      <c r="APE189" s="18"/>
      <c r="APF189" s="18"/>
      <c r="APG189" s="18"/>
      <c r="APH189" s="18"/>
      <c r="API189" s="18"/>
      <c r="APJ189" s="18"/>
      <c r="APK189" s="18"/>
      <c r="APL189" s="18"/>
      <c r="APM189" s="18"/>
      <c r="APN189" s="18"/>
      <c r="APO189" s="18"/>
      <c r="APP189" s="18"/>
      <c r="APQ189" s="18"/>
      <c r="APR189" s="18"/>
      <c r="APS189" s="18"/>
      <c r="APT189" s="18"/>
      <c r="APU189" s="18"/>
      <c r="APV189" s="18"/>
      <c r="APW189" s="18"/>
      <c r="APX189" s="18"/>
      <c r="APY189" s="18"/>
      <c r="APZ189" s="18"/>
      <c r="AQA189" s="18"/>
      <c r="AQB189" s="18"/>
      <c r="AQC189" s="18"/>
      <c r="AQD189" s="18"/>
      <c r="AQE189" s="18"/>
      <c r="AQF189" s="18"/>
      <c r="AQG189" s="18"/>
      <c r="AQH189" s="18"/>
      <c r="AQI189" s="18"/>
      <c r="AQJ189" s="18"/>
      <c r="AQK189" s="18"/>
      <c r="AQL189" s="18"/>
      <c r="AQM189" s="18"/>
      <c r="AQN189" s="18"/>
      <c r="AQO189" s="18"/>
      <c r="AQP189" s="18"/>
      <c r="AQQ189" s="18"/>
      <c r="AQR189" s="18"/>
      <c r="AQS189" s="18"/>
      <c r="AQT189" s="18"/>
      <c r="AQU189" s="18"/>
      <c r="AQV189" s="18"/>
      <c r="AQW189" s="18"/>
      <c r="AQX189" s="18"/>
      <c r="AQY189" s="18"/>
      <c r="AQZ189" s="18"/>
      <c r="ARA189" s="18"/>
      <c r="ARB189" s="18"/>
      <c r="ARC189" s="18"/>
      <c r="ARD189" s="18"/>
      <c r="ARE189" s="18"/>
      <c r="ARF189" s="18"/>
      <c r="ARG189" s="18"/>
      <c r="ARH189" s="18"/>
      <c r="ARI189" s="18"/>
      <c r="ARJ189" s="18"/>
      <c r="ARK189" s="18"/>
      <c r="ARL189" s="18"/>
      <c r="ARM189" s="18"/>
      <c r="ARN189" s="18"/>
      <c r="ARO189" s="18"/>
      <c r="ARP189" s="18"/>
      <c r="ARQ189" s="18"/>
      <c r="ARR189" s="18"/>
      <c r="ARS189" s="18"/>
      <c r="ART189" s="18"/>
      <c r="ARU189" s="18"/>
      <c r="ARV189" s="18"/>
      <c r="ARW189" s="18"/>
      <c r="ARX189" s="18"/>
      <c r="ARY189" s="18"/>
      <c r="ARZ189" s="18"/>
      <c r="ASA189" s="18"/>
      <c r="ASB189" s="18"/>
      <c r="ASC189" s="18"/>
      <c r="ASD189" s="18"/>
      <c r="ASE189" s="18"/>
      <c r="ASF189" s="18"/>
      <c r="ASG189" s="18"/>
      <c r="ASH189" s="18"/>
      <c r="ASI189" s="18"/>
      <c r="ASJ189" s="18"/>
      <c r="ASK189" s="18"/>
      <c r="ASL189" s="18"/>
      <c r="ASM189" s="18"/>
      <c r="ASN189" s="18"/>
      <c r="ASO189" s="18"/>
      <c r="ASP189" s="18"/>
      <c r="ASQ189" s="18"/>
      <c r="ASR189" s="18"/>
      <c r="ASS189" s="18"/>
      <c r="AST189" s="18"/>
      <c r="ASU189" s="18"/>
      <c r="ASV189" s="18"/>
      <c r="ASW189" s="18"/>
      <c r="ASX189" s="18"/>
      <c r="ASY189" s="18"/>
      <c r="ASZ189" s="18"/>
      <c r="ATA189" s="18"/>
      <c r="ATB189" s="18"/>
      <c r="ATC189" s="18"/>
      <c r="ATD189" s="18"/>
      <c r="ATE189" s="18"/>
      <c r="ATF189" s="18"/>
      <c r="ATG189" s="18"/>
      <c r="ATH189" s="18"/>
      <c r="ATI189" s="18"/>
      <c r="ATJ189" s="18"/>
      <c r="ATK189" s="18"/>
      <c r="ATL189" s="18"/>
      <c r="ATM189" s="18"/>
      <c r="ATN189" s="18"/>
      <c r="ATO189" s="18"/>
      <c r="ATP189" s="18"/>
      <c r="ATQ189" s="18"/>
      <c r="ATR189" s="18"/>
      <c r="ATS189" s="18"/>
      <c r="ATT189" s="18"/>
      <c r="ATU189" s="18"/>
      <c r="ATV189" s="18"/>
      <c r="ATW189" s="18"/>
      <c r="ATX189" s="18"/>
      <c r="ATY189" s="18"/>
      <c r="ATZ189" s="18"/>
      <c r="AUA189" s="18"/>
      <c r="AUB189" s="18"/>
      <c r="AUC189" s="18"/>
      <c r="AUD189" s="18"/>
      <c r="AUE189" s="18"/>
      <c r="AUF189" s="18"/>
      <c r="AUG189" s="18"/>
      <c r="AUH189" s="18"/>
      <c r="AUI189" s="18"/>
      <c r="AUJ189" s="18"/>
      <c r="AUK189" s="18"/>
      <c r="AUL189" s="18"/>
      <c r="AUM189" s="18"/>
      <c r="AUN189" s="18"/>
      <c r="AUO189" s="18"/>
      <c r="AUP189" s="18"/>
      <c r="AUQ189" s="18"/>
      <c r="AUR189" s="18"/>
      <c r="AUS189" s="18"/>
      <c r="AUT189" s="18"/>
      <c r="AUU189" s="18"/>
      <c r="AUV189" s="18"/>
      <c r="AUW189" s="18"/>
      <c r="AUX189" s="18"/>
      <c r="AUY189" s="18"/>
      <c r="AUZ189" s="18"/>
      <c r="AVA189" s="18"/>
      <c r="AVB189" s="18"/>
      <c r="AVC189" s="18"/>
      <c r="AVD189" s="18"/>
      <c r="AVE189" s="18"/>
      <c r="AVF189" s="18"/>
      <c r="AVG189" s="18"/>
      <c r="AVH189" s="18"/>
      <c r="AVI189" s="18"/>
      <c r="AVJ189" s="18"/>
      <c r="AVK189" s="18"/>
      <c r="AVL189" s="18"/>
      <c r="AVM189" s="18"/>
      <c r="AVN189" s="18"/>
      <c r="AVO189" s="18"/>
      <c r="AVP189" s="18"/>
      <c r="AVQ189" s="18"/>
      <c r="AVR189" s="18"/>
      <c r="AVS189" s="18"/>
      <c r="AVT189" s="18"/>
      <c r="AVU189" s="18"/>
      <c r="AVV189" s="18"/>
      <c r="AVW189" s="18"/>
      <c r="AVX189" s="18"/>
      <c r="AVY189" s="18"/>
      <c r="AVZ189" s="18"/>
      <c r="AWA189" s="18"/>
      <c r="AWB189" s="18"/>
      <c r="AWC189" s="18"/>
      <c r="AWD189" s="18"/>
      <c r="AWE189" s="18"/>
      <c r="AWF189" s="18"/>
      <c r="AWG189" s="18"/>
      <c r="AWH189" s="18"/>
      <c r="AWI189" s="18"/>
      <c r="AWJ189" s="18"/>
      <c r="AWK189" s="18"/>
      <c r="AWL189" s="18"/>
      <c r="AWM189" s="18"/>
      <c r="AWN189" s="18"/>
      <c r="AWO189" s="18"/>
      <c r="AWP189" s="18"/>
      <c r="AWQ189" s="18"/>
      <c r="AWR189" s="18"/>
      <c r="AWS189" s="18"/>
      <c r="AWT189" s="18"/>
      <c r="AWU189" s="18"/>
      <c r="AWV189" s="18"/>
      <c r="AWW189" s="18"/>
      <c r="AWX189" s="18"/>
      <c r="AWY189" s="18"/>
      <c r="AWZ189" s="18"/>
      <c r="AXA189" s="18"/>
      <c r="AXB189" s="18"/>
      <c r="AXC189" s="18"/>
      <c r="AXD189" s="18"/>
      <c r="AXE189" s="18"/>
      <c r="AXF189" s="18"/>
      <c r="AXG189" s="18"/>
      <c r="AXH189" s="18"/>
      <c r="AXI189" s="18"/>
      <c r="AXJ189" s="18"/>
      <c r="AXK189" s="18"/>
      <c r="AXL189" s="18"/>
      <c r="AXM189" s="18"/>
      <c r="AXN189" s="18"/>
      <c r="AXO189" s="18"/>
      <c r="AXP189" s="18"/>
      <c r="AXQ189" s="18"/>
      <c r="AXR189" s="18"/>
      <c r="AXS189" s="18"/>
      <c r="AXT189" s="18"/>
      <c r="AXU189" s="18"/>
      <c r="AXV189" s="18"/>
      <c r="AXW189" s="18"/>
      <c r="AXX189" s="18"/>
      <c r="AXY189" s="18"/>
      <c r="AXZ189" s="18"/>
      <c r="AYA189" s="18"/>
      <c r="AYB189" s="18"/>
      <c r="AYC189" s="18"/>
      <c r="AYD189" s="18"/>
      <c r="AYE189" s="18"/>
      <c r="AYF189" s="18"/>
      <c r="AYG189" s="18"/>
      <c r="AYH189" s="18"/>
      <c r="AYI189" s="18"/>
      <c r="AYJ189" s="18"/>
      <c r="AYK189" s="18"/>
      <c r="AYL189" s="18"/>
      <c r="AYM189" s="18"/>
      <c r="AYN189" s="18"/>
      <c r="AYO189" s="18"/>
      <c r="AYP189" s="18"/>
      <c r="AYQ189" s="18"/>
      <c r="AYR189" s="18"/>
      <c r="AYS189" s="18"/>
      <c r="AYT189" s="18"/>
      <c r="AYU189" s="18"/>
      <c r="AYV189" s="18"/>
      <c r="AYW189" s="18"/>
      <c r="AYX189" s="18"/>
      <c r="AYY189" s="18"/>
      <c r="AYZ189" s="18"/>
      <c r="AZA189" s="18"/>
      <c r="AZB189" s="18"/>
      <c r="AZC189" s="18"/>
      <c r="AZD189" s="18"/>
      <c r="AZE189" s="18"/>
      <c r="AZF189" s="18"/>
      <c r="AZG189" s="18"/>
      <c r="AZH189" s="18"/>
      <c r="AZI189" s="18"/>
      <c r="AZJ189" s="18"/>
      <c r="AZK189" s="18"/>
      <c r="AZL189" s="18"/>
      <c r="AZM189" s="18"/>
      <c r="AZN189" s="18"/>
      <c r="AZO189" s="18"/>
      <c r="AZP189" s="18"/>
      <c r="AZQ189" s="18"/>
      <c r="AZR189" s="18"/>
      <c r="AZS189" s="18"/>
      <c r="AZT189" s="18"/>
      <c r="AZU189" s="18"/>
      <c r="AZV189" s="18"/>
      <c r="AZW189" s="18"/>
      <c r="AZX189" s="18"/>
      <c r="AZY189" s="18"/>
      <c r="AZZ189" s="18"/>
      <c r="BAA189" s="18"/>
      <c r="BAB189" s="18"/>
      <c r="BAC189" s="18"/>
      <c r="BAD189" s="18"/>
      <c r="BAE189" s="18"/>
      <c r="BAF189" s="18"/>
      <c r="BAG189" s="18"/>
      <c r="BAH189" s="18"/>
      <c r="BAI189" s="18"/>
      <c r="BAJ189" s="18"/>
      <c r="BAK189" s="18"/>
      <c r="BAL189" s="18"/>
      <c r="BAM189" s="18"/>
      <c r="BAN189" s="18"/>
      <c r="BAO189" s="18"/>
      <c r="BAP189" s="18"/>
      <c r="BAQ189" s="18"/>
      <c r="BAR189" s="18"/>
      <c r="BAS189" s="18"/>
      <c r="BAT189" s="18"/>
      <c r="BAU189" s="18"/>
      <c r="BAV189" s="18"/>
      <c r="BAW189" s="18"/>
      <c r="BAX189" s="18"/>
      <c r="BAY189" s="18"/>
      <c r="BAZ189" s="18"/>
      <c r="BBA189" s="18"/>
      <c r="BBB189" s="18"/>
      <c r="BBC189" s="18"/>
      <c r="BBD189" s="18"/>
      <c r="BBE189" s="18"/>
      <c r="BBF189" s="18"/>
      <c r="BBG189" s="18"/>
      <c r="BBH189" s="18"/>
      <c r="BBI189" s="18"/>
      <c r="BBJ189" s="18"/>
      <c r="BBK189" s="18"/>
      <c r="BBL189" s="18"/>
      <c r="BBM189" s="18"/>
      <c r="BBN189" s="18"/>
      <c r="BBO189" s="18"/>
      <c r="BBP189" s="18"/>
      <c r="BBQ189" s="18"/>
      <c r="BBR189" s="18"/>
      <c r="BBS189" s="18"/>
      <c r="BBT189" s="18"/>
      <c r="BBU189" s="18"/>
      <c r="BBV189" s="18"/>
      <c r="BBW189" s="18"/>
      <c r="BBX189" s="18"/>
      <c r="BBY189" s="18"/>
      <c r="BBZ189" s="18"/>
      <c r="BCA189" s="18"/>
      <c r="BCB189" s="18"/>
      <c r="BCC189" s="18"/>
      <c r="BCD189" s="18"/>
      <c r="BCE189" s="18"/>
      <c r="BCF189" s="18"/>
      <c r="BCG189" s="18"/>
      <c r="BCH189" s="18"/>
      <c r="BCI189" s="18"/>
      <c r="BCJ189" s="18"/>
      <c r="BCK189" s="18"/>
      <c r="BCL189" s="18"/>
      <c r="BCM189" s="18"/>
      <c r="BCN189" s="18"/>
      <c r="BCO189" s="18"/>
      <c r="BCP189" s="18"/>
      <c r="BCQ189" s="18"/>
      <c r="BCR189" s="18"/>
      <c r="BCS189" s="18"/>
      <c r="BCT189" s="18"/>
      <c r="BCU189" s="18"/>
      <c r="BCV189" s="18"/>
      <c r="BCW189" s="18"/>
      <c r="BCX189" s="18"/>
      <c r="BCY189" s="18"/>
      <c r="BCZ189" s="18"/>
      <c r="BDA189" s="18"/>
      <c r="BDB189" s="18"/>
      <c r="BDC189" s="18"/>
      <c r="BDD189" s="18"/>
      <c r="BDE189" s="18"/>
      <c r="BDF189" s="18"/>
      <c r="BDG189" s="18"/>
      <c r="BDH189" s="18"/>
      <c r="BDI189" s="18"/>
      <c r="BDJ189" s="18"/>
      <c r="BDK189" s="18"/>
      <c r="BDL189" s="18"/>
      <c r="BDM189" s="18"/>
      <c r="BDN189" s="18"/>
      <c r="BDO189" s="18"/>
      <c r="BDP189" s="18"/>
      <c r="BDQ189" s="18"/>
      <c r="BDR189" s="18"/>
      <c r="BDS189" s="18"/>
      <c r="BDT189" s="18"/>
      <c r="BDU189" s="18"/>
      <c r="BDV189" s="18"/>
      <c r="BDW189" s="18"/>
      <c r="BDX189" s="18"/>
      <c r="BDY189" s="18"/>
      <c r="BDZ189" s="18"/>
      <c r="BEA189" s="18"/>
      <c r="BEB189" s="18"/>
      <c r="BEC189" s="18"/>
      <c r="BED189" s="18"/>
      <c r="BEE189" s="18"/>
      <c r="BEF189" s="18"/>
      <c r="BEG189" s="18"/>
      <c r="BEH189" s="18"/>
      <c r="BEI189" s="18"/>
      <c r="BEJ189" s="18"/>
      <c r="BEK189" s="18"/>
      <c r="BEL189" s="18"/>
      <c r="BEM189" s="18"/>
      <c r="BEN189" s="18"/>
      <c r="BEO189" s="18"/>
      <c r="BEP189" s="18"/>
      <c r="BEQ189" s="18"/>
      <c r="BER189" s="18"/>
      <c r="BES189" s="18"/>
      <c r="BET189" s="18"/>
      <c r="BEU189" s="18"/>
      <c r="BEV189" s="18"/>
      <c r="BEW189" s="18"/>
      <c r="BEX189" s="18"/>
      <c r="BEY189" s="18"/>
      <c r="BEZ189" s="18"/>
      <c r="BFA189" s="18"/>
      <c r="BFB189" s="18"/>
      <c r="BFC189" s="18"/>
      <c r="BFD189" s="18"/>
      <c r="BFE189" s="18"/>
      <c r="BFF189" s="18"/>
      <c r="BFG189" s="18"/>
      <c r="BFH189" s="18"/>
      <c r="BFI189" s="18"/>
      <c r="BFJ189" s="18"/>
      <c r="BFK189" s="18"/>
      <c r="BFL189" s="18"/>
      <c r="BFM189" s="18"/>
      <c r="BFN189" s="18"/>
      <c r="BFO189" s="18"/>
      <c r="BFP189" s="18"/>
      <c r="BFQ189" s="18"/>
      <c r="BFR189" s="18"/>
      <c r="BFS189" s="18"/>
      <c r="BFT189" s="18"/>
      <c r="BFU189" s="18"/>
      <c r="BFV189" s="18"/>
      <c r="BFW189" s="18"/>
      <c r="BFX189" s="18"/>
      <c r="BFY189" s="18"/>
      <c r="BFZ189" s="18"/>
      <c r="BGA189" s="18"/>
      <c r="BGB189" s="18"/>
      <c r="BGC189" s="18"/>
      <c r="BGD189" s="18"/>
      <c r="BGE189" s="18"/>
      <c r="BGF189" s="18"/>
      <c r="BGG189" s="18"/>
      <c r="BGH189" s="18"/>
      <c r="BGI189" s="18"/>
      <c r="BGJ189" s="18"/>
      <c r="BGK189" s="18"/>
      <c r="BGL189" s="18"/>
      <c r="BGM189" s="18"/>
      <c r="BGN189" s="18"/>
      <c r="BGO189" s="18"/>
      <c r="BGP189" s="18"/>
      <c r="BGQ189" s="18"/>
      <c r="BGR189" s="18"/>
      <c r="BGS189" s="18"/>
      <c r="BGT189" s="18"/>
      <c r="BGU189" s="18"/>
      <c r="BGV189" s="18"/>
      <c r="BGW189" s="18"/>
      <c r="BGX189" s="18"/>
      <c r="BGY189" s="18"/>
      <c r="BGZ189" s="18"/>
      <c r="BHA189" s="18"/>
      <c r="BHB189" s="18"/>
      <c r="BHC189" s="18"/>
      <c r="BHD189" s="18"/>
      <c r="BHE189" s="18"/>
      <c r="BHF189" s="18"/>
      <c r="BHG189" s="18"/>
      <c r="BHH189" s="18"/>
      <c r="BHI189" s="18"/>
      <c r="BHJ189" s="18"/>
      <c r="BHK189" s="18"/>
      <c r="BHL189" s="18"/>
      <c r="BHM189" s="18"/>
      <c r="BHN189" s="18"/>
      <c r="BHO189" s="18"/>
      <c r="BHP189" s="18"/>
      <c r="BHQ189" s="18"/>
      <c r="BHR189" s="18"/>
      <c r="BHS189" s="18"/>
      <c r="BHT189" s="18"/>
      <c r="BHU189" s="18"/>
      <c r="BHV189" s="18"/>
      <c r="BHW189" s="18"/>
      <c r="BHX189" s="18"/>
      <c r="BHY189" s="18"/>
      <c r="BHZ189" s="18"/>
      <c r="BIA189" s="18"/>
      <c r="BIB189" s="18"/>
      <c r="BIC189" s="18"/>
      <c r="BID189" s="18"/>
      <c r="BIE189" s="18"/>
      <c r="BIF189" s="18"/>
      <c r="BIG189" s="18"/>
      <c r="BIH189" s="18"/>
      <c r="BII189" s="18"/>
      <c r="BIJ189" s="18"/>
      <c r="BIK189" s="18"/>
      <c r="BIL189" s="18"/>
      <c r="BIM189" s="18"/>
      <c r="BIN189" s="18"/>
      <c r="BIO189" s="18"/>
      <c r="BIP189" s="18"/>
      <c r="BIQ189" s="18"/>
      <c r="BIR189" s="18"/>
      <c r="BIS189" s="18"/>
      <c r="BIT189" s="18"/>
      <c r="BIU189" s="18"/>
      <c r="BIV189" s="18"/>
      <c r="BIW189" s="18"/>
      <c r="BIX189" s="18"/>
      <c r="BIY189" s="18"/>
      <c r="BIZ189" s="18"/>
      <c r="BJA189" s="18"/>
      <c r="BJB189" s="18"/>
      <c r="BJC189" s="18"/>
      <c r="BJD189" s="18"/>
      <c r="BJE189" s="18"/>
      <c r="BJF189" s="18"/>
      <c r="BJG189" s="18"/>
      <c r="BJH189" s="18"/>
      <c r="BJI189" s="18"/>
      <c r="BJJ189" s="18"/>
      <c r="BJK189" s="18"/>
      <c r="BJL189" s="18"/>
      <c r="BJM189" s="18"/>
      <c r="BJN189" s="18"/>
      <c r="BJO189" s="18"/>
      <c r="BJP189" s="18"/>
      <c r="BJQ189" s="18"/>
      <c r="BJR189" s="18"/>
      <c r="BJS189" s="18"/>
      <c r="BJT189" s="18"/>
      <c r="BJU189" s="18"/>
      <c r="BJV189" s="18"/>
      <c r="BJW189" s="18"/>
      <c r="BJX189" s="18"/>
      <c r="BJY189" s="18"/>
      <c r="BJZ189" s="18"/>
      <c r="BKA189" s="18"/>
      <c r="BKB189" s="18"/>
      <c r="BKC189" s="18"/>
      <c r="BKD189" s="18"/>
      <c r="BKE189" s="18"/>
      <c r="BKF189" s="18"/>
      <c r="BKG189" s="18"/>
      <c r="BKH189" s="18"/>
      <c r="BKI189" s="18"/>
      <c r="BKJ189" s="18"/>
      <c r="BKK189" s="18"/>
      <c r="BKL189" s="18"/>
      <c r="BKM189" s="18"/>
      <c r="BKN189" s="18"/>
      <c r="BKO189" s="18"/>
      <c r="BKP189" s="18"/>
      <c r="BKQ189" s="18"/>
      <c r="BKR189" s="18"/>
      <c r="BKS189" s="18"/>
      <c r="BKT189" s="18"/>
      <c r="BKU189" s="18"/>
      <c r="BKV189" s="18"/>
      <c r="BKW189" s="18"/>
      <c r="BKX189" s="18"/>
      <c r="BKY189" s="18"/>
      <c r="BKZ189" s="18"/>
      <c r="BLA189" s="18"/>
      <c r="BLB189" s="18"/>
      <c r="BLC189" s="18"/>
      <c r="BLD189" s="18"/>
      <c r="BLE189" s="18"/>
      <c r="BLF189" s="18"/>
      <c r="BLG189" s="18"/>
      <c r="BLH189" s="18"/>
      <c r="BLI189" s="18"/>
      <c r="BLJ189" s="18"/>
      <c r="BLK189" s="18"/>
      <c r="BLL189" s="18"/>
      <c r="BLM189" s="18"/>
      <c r="BLN189" s="18"/>
      <c r="BLO189" s="18"/>
      <c r="BLP189" s="18"/>
      <c r="BLQ189" s="18"/>
      <c r="BLR189" s="18"/>
      <c r="BLS189" s="18"/>
      <c r="BLT189" s="18"/>
      <c r="BLU189" s="18"/>
      <c r="BLV189" s="18"/>
      <c r="BLW189" s="18"/>
      <c r="BLX189" s="18"/>
      <c r="BLY189" s="18"/>
      <c r="BLZ189" s="18"/>
      <c r="BMA189" s="18"/>
      <c r="BMB189" s="18"/>
      <c r="BMC189" s="18"/>
      <c r="BMD189" s="18"/>
      <c r="BME189" s="18"/>
      <c r="BMF189" s="18"/>
      <c r="BMG189" s="18"/>
      <c r="BMH189" s="18"/>
      <c r="BMI189" s="18"/>
      <c r="BMJ189" s="18"/>
      <c r="BMK189" s="18"/>
      <c r="BML189" s="18"/>
      <c r="BMM189" s="18"/>
      <c r="BMN189" s="18"/>
      <c r="BMO189" s="18"/>
      <c r="BMP189" s="18"/>
      <c r="BMQ189" s="18"/>
      <c r="BMR189" s="18"/>
      <c r="BMS189" s="18"/>
      <c r="BMT189" s="18"/>
      <c r="BMU189" s="18"/>
      <c r="BMV189" s="18"/>
      <c r="BMW189" s="18"/>
      <c r="BMX189" s="18"/>
      <c r="BMY189" s="18"/>
      <c r="BMZ189" s="18"/>
      <c r="BNA189" s="18"/>
      <c r="BNB189" s="18"/>
      <c r="BNC189" s="18"/>
      <c r="BND189" s="18"/>
      <c r="BNE189" s="18"/>
      <c r="BNF189" s="18"/>
      <c r="BNG189" s="18"/>
      <c r="BNH189" s="18"/>
      <c r="BNI189" s="18"/>
      <c r="BNJ189" s="18"/>
      <c r="BNK189" s="18"/>
      <c r="BNL189" s="18"/>
      <c r="BNM189" s="18"/>
      <c r="BNN189" s="18"/>
      <c r="BNO189" s="18"/>
      <c r="BNP189" s="18"/>
      <c r="BNQ189" s="18"/>
      <c r="BNR189" s="18"/>
      <c r="BNS189" s="18"/>
      <c r="BNT189" s="18"/>
      <c r="BNU189" s="18"/>
      <c r="BNV189" s="18"/>
      <c r="BNW189" s="18"/>
      <c r="BNX189" s="18"/>
      <c r="BNY189" s="18"/>
      <c r="BNZ189" s="18"/>
      <c r="BOA189" s="18"/>
      <c r="BOB189" s="18"/>
      <c r="BOC189" s="18"/>
      <c r="BOD189" s="18"/>
      <c r="BOE189" s="18"/>
      <c r="BOF189" s="18"/>
      <c r="BOG189" s="18"/>
      <c r="BOH189" s="18"/>
      <c r="BOI189" s="18"/>
      <c r="BOJ189" s="18"/>
      <c r="BOK189" s="18"/>
      <c r="BOL189" s="18"/>
      <c r="BOM189" s="18"/>
      <c r="BON189" s="18"/>
      <c r="BOO189" s="18"/>
      <c r="BOP189" s="18"/>
      <c r="BOQ189" s="18"/>
      <c r="BOR189" s="18"/>
      <c r="BOS189" s="18"/>
      <c r="BOT189" s="18"/>
      <c r="BOU189" s="18"/>
      <c r="BOV189" s="18"/>
      <c r="BOW189" s="18"/>
      <c r="BOX189" s="18"/>
      <c r="BOY189" s="18"/>
      <c r="BOZ189" s="18"/>
      <c r="BPA189" s="18"/>
      <c r="BPB189" s="18"/>
      <c r="BPC189" s="18"/>
      <c r="BPD189" s="18"/>
      <c r="BPE189" s="18"/>
      <c r="BPF189" s="18"/>
      <c r="BPG189" s="18"/>
      <c r="BPH189" s="18"/>
      <c r="BPI189" s="18"/>
      <c r="BPJ189" s="18"/>
      <c r="BPK189" s="18"/>
      <c r="BPL189" s="18"/>
      <c r="BPM189" s="18"/>
      <c r="BPN189" s="18"/>
      <c r="BPO189" s="18"/>
      <c r="BPP189" s="18"/>
      <c r="BPQ189" s="18"/>
      <c r="BPR189" s="18"/>
      <c r="BPS189" s="18"/>
      <c r="BPT189" s="18"/>
      <c r="BPU189" s="18"/>
      <c r="BPV189" s="18"/>
      <c r="BPW189" s="18"/>
      <c r="BPX189" s="18"/>
      <c r="BPY189" s="18"/>
      <c r="BPZ189" s="18"/>
      <c r="BQA189" s="18"/>
      <c r="BQB189" s="18"/>
      <c r="BQC189" s="18"/>
      <c r="BQD189" s="18"/>
      <c r="BQE189" s="18"/>
      <c r="BQF189" s="18"/>
      <c r="BQG189" s="18"/>
      <c r="BQH189" s="18"/>
      <c r="BQI189" s="18"/>
      <c r="BQJ189" s="18"/>
      <c r="BQK189" s="18"/>
      <c r="BQL189" s="18"/>
      <c r="BQM189" s="18"/>
      <c r="BQN189" s="18"/>
      <c r="BQO189" s="18"/>
      <c r="BQP189" s="18"/>
      <c r="BQQ189" s="18"/>
      <c r="BQR189" s="18"/>
      <c r="BQS189" s="18"/>
      <c r="BQT189" s="18"/>
      <c r="BQU189" s="18"/>
      <c r="BQV189" s="18"/>
      <c r="BQW189" s="18"/>
      <c r="BQX189" s="18"/>
      <c r="BQY189" s="18"/>
      <c r="BQZ189" s="18"/>
      <c r="BRA189" s="18"/>
      <c r="BRB189" s="18"/>
      <c r="BRC189" s="18"/>
      <c r="BRD189" s="18"/>
      <c r="BRE189" s="18"/>
      <c r="BRF189" s="18"/>
      <c r="BRG189" s="18"/>
      <c r="BRH189" s="18"/>
      <c r="BRI189" s="18"/>
      <c r="BRJ189" s="18"/>
      <c r="BRK189" s="18"/>
      <c r="BRL189" s="18"/>
      <c r="BRM189" s="18"/>
      <c r="BRN189" s="18"/>
      <c r="BRO189" s="18"/>
      <c r="BRP189" s="18"/>
      <c r="BRQ189" s="18"/>
      <c r="BRR189" s="18"/>
      <c r="BRS189" s="18"/>
      <c r="BRT189" s="18"/>
      <c r="BRU189" s="18"/>
      <c r="BRV189" s="18"/>
      <c r="BRW189" s="18"/>
      <c r="BRX189" s="18"/>
      <c r="BRY189" s="18"/>
      <c r="BRZ189" s="18"/>
      <c r="BSA189" s="18"/>
      <c r="BSB189" s="18"/>
      <c r="BSC189" s="18"/>
      <c r="BSD189" s="18"/>
      <c r="BSE189" s="18"/>
      <c r="BSF189" s="18"/>
      <c r="BSG189" s="18"/>
      <c r="BSH189" s="18"/>
      <c r="BSI189" s="18"/>
      <c r="BSJ189" s="18"/>
      <c r="BSK189" s="18"/>
      <c r="BSL189" s="18"/>
      <c r="BSM189" s="18"/>
      <c r="BSN189" s="18"/>
      <c r="BSO189" s="18"/>
      <c r="BSP189" s="18"/>
      <c r="BSQ189" s="18"/>
      <c r="BSR189" s="18"/>
      <c r="BSS189" s="18"/>
      <c r="BST189" s="18"/>
      <c r="BSU189" s="18"/>
      <c r="BSV189" s="18"/>
      <c r="BSW189" s="18"/>
      <c r="BSX189" s="18"/>
      <c r="BSY189" s="18"/>
      <c r="BSZ189" s="18"/>
      <c r="BTA189" s="18"/>
      <c r="BTB189" s="18"/>
      <c r="BTC189" s="18"/>
      <c r="BTD189" s="18"/>
      <c r="BTE189" s="18"/>
      <c r="BTF189" s="18"/>
      <c r="BTG189" s="18"/>
      <c r="BTH189" s="18"/>
    </row>
    <row r="190" spans="1:1880" ht="35.25" customHeight="1" x14ac:dyDescent="0.3">
      <c r="A190" s="100"/>
      <c r="B190" s="455" t="s">
        <v>21</v>
      </c>
      <c r="C190" s="456"/>
      <c r="D190" s="458"/>
      <c r="E190" s="458"/>
      <c r="F190" s="765"/>
      <c r="G190" s="444"/>
      <c r="H190" s="17"/>
      <c r="I190" s="72"/>
      <c r="J190"/>
    </row>
    <row r="191" spans="1:1880" ht="168" customHeight="1" x14ac:dyDescent="0.3">
      <c r="A191" s="116">
        <v>621</v>
      </c>
      <c r="B191" s="116" t="s">
        <v>275</v>
      </c>
      <c r="C191" s="116" t="s">
        <v>305</v>
      </c>
      <c r="D191" s="115" t="s">
        <v>455</v>
      </c>
      <c r="E191" s="341" t="e">
        <f>INDEX('PY1 Data(H)'!$A$1:$CZ$231,MATCH('Unit Data from Audit Worksheet'!$A191,'PY1 Data(H)'!$A$1:$A$231,0),MATCH('Unit Data from Audit Worksheet'!$D$2,'PY1 Data(H)'!$A$1:$CZ$1,0))</f>
        <v>#N/A</v>
      </c>
      <c r="F191" s="766">
        <v>0</v>
      </c>
      <c r="G191" s="401" t="s">
        <v>456</v>
      </c>
      <c r="I191" s="72"/>
      <c r="J191"/>
    </row>
    <row r="192" spans="1:1880" ht="186" customHeight="1" x14ac:dyDescent="0.3">
      <c r="A192" s="100">
        <v>547</v>
      </c>
      <c r="B192" s="343"/>
      <c r="C192" s="343" t="s">
        <v>138</v>
      </c>
      <c r="D192" s="340" t="s">
        <v>1327</v>
      </c>
      <c r="E192" s="341" t="e">
        <f>INDEX('PY1 Data(H)'!$A$1:$CZ$231,MATCH('Unit Data from Audit Worksheet'!$A192,'PY1 Data(H)'!$A$1:$A$231,0),MATCH('Unit Data from Audit Worksheet'!$D$2,'PY1 Data(H)'!$A$1:$CZ$1,0))</f>
        <v>#N/A</v>
      </c>
      <c r="F192" s="897"/>
      <c r="G192" s="400" t="str">
        <f>IF(F192&lt;1,"Please answer this question","")</f>
        <v>Please answer this question</v>
      </c>
      <c r="H192" s="373"/>
      <c r="I192" s="374"/>
      <c r="J192"/>
    </row>
    <row r="193" spans="1:122" s="18" customFormat="1" ht="138.6" customHeight="1" x14ac:dyDescent="0.3">
      <c r="A193" s="179">
        <v>659</v>
      </c>
      <c r="B193" s="429" t="s">
        <v>53</v>
      </c>
      <c r="C193" s="429" t="s">
        <v>295</v>
      </c>
      <c r="D193" s="182" t="s">
        <v>457</v>
      </c>
      <c r="E193" s="341" t="e">
        <f>INDEX('PY1 Data(H)'!$A$1:$CZ$231,MATCH('Unit Data from Audit Worksheet'!$A193,'PY1 Data(H)'!$A$1:$A$231,0),MATCH('Unit Data from Audit Worksheet'!$D$2,'PY1 Data(H)'!$A$1:$CZ$1,0))</f>
        <v>#N/A</v>
      </c>
      <c r="F193" s="897">
        <v>0</v>
      </c>
      <c r="G193" s="401" t="s">
        <v>458</v>
      </c>
      <c r="H193" s="372">
        <f>IF(F190&lt;0,"Error: Enter as positive.",)</f>
        <v>0</v>
      </c>
      <c r="I193" s="227"/>
      <c r="J193"/>
      <c r="L193"/>
      <c r="N193" s="176"/>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row>
    <row r="194" spans="1:122" ht="65.25" customHeight="1" x14ac:dyDescent="0.3">
      <c r="A194" s="179">
        <v>660</v>
      </c>
      <c r="B194" s="429" t="s">
        <v>53</v>
      </c>
      <c r="C194" s="429" t="s">
        <v>295</v>
      </c>
      <c r="D194" s="182" t="s">
        <v>459</v>
      </c>
      <c r="E194" s="341" t="e">
        <f>INDEX('PY1 Data(H)'!$A$1:$CZ$231,MATCH('Unit Data from Audit Worksheet'!$A194,'PY1 Data(H)'!$A$1:$A$231,0),MATCH('Unit Data from Audit Worksheet'!$D$2,'PY1 Data(H)'!$A$1:$CZ$1,0))</f>
        <v>#N/A</v>
      </c>
      <c r="F194" s="766">
        <v>0</v>
      </c>
      <c r="G194" s="401" t="str">
        <f>IF(ISBLANK(F194),"Please do not leave blank","")</f>
        <v/>
      </c>
      <c r="H194" s="372">
        <f>IF(F191&lt;0,"Note: Number is normally positive.",)</f>
        <v>0</v>
      </c>
      <c r="I194" s="17"/>
      <c r="J194"/>
    </row>
    <row r="195" spans="1:122" ht="94.5" customHeight="1" x14ac:dyDescent="0.3">
      <c r="A195" s="179">
        <v>661</v>
      </c>
      <c r="B195" s="429" t="s">
        <v>53</v>
      </c>
      <c r="C195" s="429" t="s">
        <v>297</v>
      </c>
      <c r="D195" s="316" t="s">
        <v>460</v>
      </c>
      <c r="E195" s="729" t="e">
        <f>INDEX('PY1 Data(H)'!$A$1:$CZ$231,MATCH('Unit Data from Audit Worksheet'!$A195,'PY1 Data(H)'!$A$1:$A$231,0),MATCH('Unit Data from Audit Worksheet'!$D$2,'PY1 Data(H)'!$A$1:$CZ$1,0))</f>
        <v>#N/A</v>
      </c>
      <c r="F195" s="779">
        <v>0</v>
      </c>
      <c r="G195" s="401" t="str">
        <f>IF(ISBLANK(F195),"Please do not leave blank ",IF(F195=H195,"","Please review percentage"))</f>
        <v/>
      </c>
      <c r="H195" s="402">
        <f>ROUND(IFERROR((F194/F193)*100,0),1)</f>
        <v>0</v>
      </c>
      <c r="I195" s="883"/>
      <c r="J195"/>
    </row>
    <row r="196" spans="1:122" ht="111.75" customHeight="1" x14ac:dyDescent="0.3">
      <c r="A196" s="100"/>
      <c r="B196" s="343"/>
      <c r="C196" s="343"/>
      <c r="D196" s="23" t="s">
        <v>22</v>
      </c>
      <c r="E196" s="780"/>
      <c r="F196" s="780"/>
      <c r="G196" s="401"/>
      <c r="H196" s="402"/>
      <c r="I196" s="884"/>
      <c r="J196"/>
    </row>
    <row r="197" spans="1:122" ht="32.25" customHeight="1" x14ac:dyDescent="0.3">
      <c r="A197" s="100"/>
      <c r="B197" s="455" t="s">
        <v>23</v>
      </c>
      <c r="C197" s="456"/>
      <c r="D197" s="458"/>
      <c r="E197" s="464"/>
      <c r="F197" s="906"/>
      <c r="G197" s="444"/>
      <c r="H197" s="17"/>
      <c r="I197" s="72"/>
      <c r="J197"/>
    </row>
    <row r="198" spans="1:122" ht="63.75" customHeight="1" x14ac:dyDescent="0.3">
      <c r="A198" s="29">
        <v>371</v>
      </c>
      <c r="B198" s="4" t="s">
        <v>51</v>
      </c>
      <c r="C198" s="4" t="s">
        <v>139</v>
      </c>
      <c r="D198" s="21" t="s">
        <v>533</v>
      </c>
      <c r="E198" s="341" t="e">
        <f>INDEX('PY1 Data(H)'!$A$1:$CZ$231,MATCH('Unit Data from Audit Worksheet'!$A198,'PY1 Data(H)'!$A$1:$A$231,0),MATCH('Unit Data from Audit Worksheet'!$D$2,'PY1 Data(H)'!$A$1:$CZ$1,0))</f>
        <v>#N/A</v>
      </c>
      <c r="F198" s="897">
        <v>0</v>
      </c>
      <c r="G198" s="372">
        <f>IF(F198&lt;0,"Error: Enter as positive.",)</f>
        <v>0</v>
      </c>
      <c r="H198" s="17"/>
      <c r="I198" s="72"/>
      <c r="J198"/>
    </row>
    <row r="199" spans="1:122" ht="72.599999999999994" customHeight="1" x14ac:dyDescent="0.3">
      <c r="A199" s="29">
        <v>1075</v>
      </c>
      <c r="B199" s="343" t="s">
        <v>53</v>
      </c>
      <c r="C199" s="343" t="s">
        <v>139</v>
      </c>
      <c r="D199" s="21" t="s">
        <v>1643</v>
      </c>
      <c r="E199" s="341" t="e">
        <f>INDEX('PY1 Data(H)'!$A$1:$CZ$231,MATCH('Unit Data from Audit Worksheet'!$A199,'PY1 Data(H)'!$A$1:$A$231,0),MATCH('Unit Data from Audit Worksheet'!$D$2,'PY1 Data(H)'!$A$1:$CZ$1,0))</f>
        <v>#N/A</v>
      </c>
      <c r="F199" s="897">
        <v>0</v>
      </c>
      <c r="G199" s="372"/>
      <c r="H199" s="17"/>
      <c r="I199" s="72"/>
      <c r="J199" s="173"/>
      <c r="L199" s="173"/>
      <c r="Y199" s="173"/>
      <c r="Z199" s="173"/>
      <c r="AA199" s="173"/>
      <c r="AB199" s="173"/>
      <c r="AC199" s="173"/>
      <c r="AD199" s="173"/>
      <c r="AE199" s="173"/>
      <c r="AF199" s="173"/>
      <c r="AG199" s="173"/>
      <c r="AH199" s="173"/>
      <c r="AI199" s="173"/>
      <c r="AJ199" s="173"/>
      <c r="AK199" s="173"/>
      <c r="AL199" s="173"/>
      <c r="AM199" s="173"/>
      <c r="AN199" s="173"/>
      <c r="AO199" s="173"/>
      <c r="AP199" s="173"/>
      <c r="AQ199" s="173"/>
      <c r="AR199" s="173"/>
      <c r="AS199" s="173"/>
      <c r="AT199" s="173"/>
      <c r="AU199" s="173"/>
      <c r="AV199" s="173"/>
      <c r="AW199" s="173"/>
      <c r="AX199" s="173"/>
      <c r="AY199" s="173"/>
      <c r="AZ199" s="173"/>
      <c r="BA199" s="173"/>
      <c r="BB199" s="173"/>
      <c r="BC199" s="173"/>
      <c r="BD199" s="173"/>
      <c r="BE199" s="173"/>
      <c r="BF199" s="173"/>
      <c r="BG199" s="173"/>
      <c r="BH199" s="173"/>
      <c r="BI199" s="173"/>
      <c r="BJ199" s="173"/>
      <c r="BK199" s="173"/>
      <c r="BL199" s="173"/>
      <c r="BM199" s="173"/>
      <c r="BN199" s="173"/>
      <c r="BO199" s="173"/>
      <c r="BP199" s="173"/>
      <c r="BQ199" s="173"/>
      <c r="BR199" s="173"/>
      <c r="BS199" s="173"/>
      <c r="BT199" s="173"/>
      <c r="BU199" s="173"/>
      <c r="BV199" s="173"/>
      <c r="BW199" s="173"/>
      <c r="BX199" s="173"/>
      <c r="BY199" s="173"/>
      <c r="BZ199" s="173"/>
      <c r="CA199" s="173"/>
      <c r="CB199" s="173"/>
      <c r="CC199" s="173"/>
      <c r="CD199" s="173"/>
      <c r="CE199" s="173"/>
      <c r="CF199" s="173"/>
      <c r="CG199" s="173"/>
      <c r="CH199" s="173"/>
      <c r="CI199" s="173"/>
      <c r="CJ199" s="173"/>
      <c r="CK199" s="173"/>
      <c r="CL199" s="173"/>
      <c r="CM199" s="173"/>
      <c r="CN199" s="173"/>
      <c r="CO199" s="173"/>
      <c r="CP199" s="173"/>
      <c r="CQ199" s="173"/>
      <c r="CR199" s="173"/>
      <c r="CS199" s="173"/>
      <c r="CT199" s="173"/>
      <c r="CU199" s="173"/>
      <c r="CV199" s="173"/>
      <c r="CW199" s="173"/>
      <c r="CX199" s="173"/>
      <c r="CY199" s="173"/>
      <c r="CZ199" s="173"/>
      <c r="DA199" s="173"/>
      <c r="DB199" s="173"/>
      <c r="DC199" s="173"/>
      <c r="DD199" s="173"/>
      <c r="DE199" s="173"/>
      <c r="DF199" s="173"/>
      <c r="DG199" s="173"/>
      <c r="DH199" s="173"/>
      <c r="DI199" s="173"/>
      <c r="DJ199" s="173"/>
      <c r="DK199" s="173"/>
      <c r="DL199" s="173"/>
      <c r="DM199" s="173"/>
      <c r="DN199" s="173"/>
      <c r="DO199" s="173"/>
      <c r="DP199" s="173"/>
      <c r="DQ199" s="173"/>
      <c r="DR199" s="173"/>
    </row>
    <row r="200" spans="1:122" ht="82.2" customHeight="1" x14ac:dyDescent="0.3">
      <c r="A200" s="29">
        <v>1076</v>
      </c>
      <c r="B200" s="343" t="s">
        <v>53</v>
      </c>
      <c r="C200" s="343" t="s">
        <v>139</v>
      </c>
      <c r="D200" s="21" t="s">
        <v>1644</v>
      </c>
      <c r="E200" s="341" t="e">
        <f>INDEX('PY1 Data(H)'!$A$1:$CZ$231,MATCH('Unit Data from Audit Worksheet'!$A200,'PY1 Data(H)'!$A$1:$A$231,0),MATCH('Unit Data from Audit Worksheet'!$D$2,'PY1 Data(H)'!$A$1:$CZ$1,0))</f>
        <v>#N/A</v>
      </c>
      <c r="F200" s="897">
        <v>0</v>
      </c>
      <c r="G200" s="372"/>
      <c r="H200" s="17"/>
      <c r="I200" s="72"/>
      <c r="J200" s="173"/>
      <c r="L200" s="173"/>
      <c r="Y200" s="173"/>
      <c r="Z200" s="173"/>
      <c r="AA200" s="173"/>
      <c r="AB200" s="173"/>
      <c r="AC200" s="173"/>
      <c r="AD200" s="173"/>
      <c r="AE200" s="173"/>
      <c r="AF200" s="173"/>
      <c r="AG200" s="173"/>
      <c r="AH200" s="173"/>
      <c r="AI200" s="173"/>
      <c r="AJ200" s="173"/>
      <c r="AK200" s="173"/>
      <c r="AL200" s="173"/>
      <c r="AM200" s="173"/>
      <c r="AN200" s="173"/>
      <c r="AO200" s="173"/>
      <c r="AP200" s="173"/>
      <c r="AQ200" s="173"/>
      <c r="AR200" s="173"/>
      <c r="AS200" s="173"/>
      <c r="AT200" s="173"/>
      <c r="AU200" s="173"/>
      <c r="AV200" s="173"/>
      <c r="AW200" s="173"/>
      <c r="AX200" s="173"/>
      <c r="AY200" s="173"/>
      <c r="AZ200" s="173"/>
      <c r="BA200" s="173"/>
      <c r="BB200" s="173"/>
      <c r="BC200" s="173"/>
      <c r="BD200" s="173"/>
      <c r="BE200" s="173"/>
      <c r="BF200" s="173"/>
      <c r="BG200" s="173"/>
      <c r="BH200" s="173"/>
      <c r="BI200" s="173"/>
      <c r="BJ200" s="173"/>
      <c r="BK200" s="173"/>
      <c r="BL200" s="173"/>
      <c r="BM200" s="173"/>
      <c r="BN200" s="173"/>
      <c r="BO200" s="173"/>
      <c r="BP200" s="173"/>
      <c r="BQ200" s="173"/>
      <c r="BR200" s="173"/>
      <c r="BS200" s="173"/>
      <c r="BT200" s="173"/>
      <c r="BU200" s="173"/>
      <c r="BV200" s="173"/>
      <c r="BW200" s="173"/>
      <c r="BX200" s="173"/>
      <c r="BY200" s="173"/>
      <c r="BZ200" s="173"/>
      <c r="CA200" s="173"/>
      <c r="CB200" s="173"/>
      <c r="CC200" s="173"/>
      <c r="CD200" s="173"/>
      <c r="CE200" s="173"/>
      <c r="CF200" s="173"/>
      <c r="CG200" s="173"/>
      <c r="CH200" s="173"/>
      <c r="CI200" s="173"/>
      <c r="CJ200" s="173"/>
      <c r="CK200" s="173"/>
      <c r="CL200" s="173"/>
      <c r="CM200" s="173"/>
      <c r="CN200" s="173"/>
      <c r="CO200" s="173"/>
      <c r="CP200" s="173"/>
      <c r="CQ200" s="173"/>
      <c r="CR200" s="173"/>
      <c r="CS200" s="173"/>
      <c r="CT200" s="173"/>
      <c r="CU200" s="173"/>
      <c r="CV200" s="173"/>
      <c r="CW200" s="173"/>
      <c r="CX200" s="173"/>
      <c r="CY200" s="173"/>
      <c r="CZ200" s="173"/>
      <c r="DA200" s="173"/>
      <c r="DB200" s="173"/>
      <c r="DC200" s="173"/>
      <c r="DD200" s="173"/>
      <c r="DE200" s="173"/>
      <c r="DF200" s="173"/>
      <c r="DG200" s="173"/>
      <c r="DH200" s="173"/>
      <c r="DI200" s="173"/>
      <c r="DJ200" s="173"/>
      <c r="DK200" s="173"/>
      <c r="DL200" s="173"/>
      <c r="DM200" s="173"/>
      <c r="DN200" s="173"/>
      <c r="DO200" s="173"/>
      <c r="DP200" s="173"/>
      <c r="DQ200" s="173"/>
      <c r="DR200" s="173"/>
    </row>
    <row r="201" spans="1:122" ht="103.8" customHeight="1" x14ac:dyDescent="0.3">
      <c r="A201" s="29">
        <v>1077</v>
      </c>
      <c r="B201" s="343" t="s">
        <v>53</v>
      </c>
      <c r="C201" s="343" t="s">
        <v>1645</v>
      </c>
      <c r="D201" s="21" t="s">
        <v>1708</v>
      </c>
      <c r="E201" s="341" t="e">
        <f>INDEX('PY1 Data(H)'!$A$1:$CZ$231,MATCH('Unit Data from Audit Worksheet'!$A201,'PY1 Data(H)'!$A$1:$A$231,0),MATCH('Unit Data from Audit Worksheet'!$D$2,'PY1 Data(H)'!$A$1:$CZ$1,0))</f>
        <v>#N/A</v>
      </c>
      <c r="F201" s="897">
        <v>0</v>
      </c>
      <c r="G201" s="372"/>
      <c r="H201" s="17"/>
      <c r="I201" s="72"/>
      <c r="J201" s="173"/>
      <c r="L201" s="173"/>
      <c r="Y201" s="173"/>
      <c r="Z201" s="173"/>
      <c r="AA201" s="173"/>
      <c r="AB201" s="173"/>
      <c r="AC201" s="173"/>
      <c r="AD201" s="173"/>
      <c r="AE201" s="173"/>
      <c r="AF201" s="173"/>
      <c r="AG201" s="173"/>
      <c r="AH201" s="173"/>
      <c r="AI201" s="173"/>
      <c r="AJ201" s="173"/>
      <c r="AK201" s="173"/>
      <c r="AL201" s="173"/>
      <c r="AM201" s="173"/>
      <c r="AN201" s="173"/>
      <c r="AO201" s="173"/>
      <c r="AP201" s="173"/>
      <c r="AQ201" s="173"/>
      <c r="AR201" s="173"/>
      <c r="AS201" s="173"/>
      <c r="AT201" s="173"/>
      <c r="AU201" s="173"/>
      <c r="AV201" s="173"/>
      <c r="AW201" s="173"/>
      <c r="AX201" s="173"/>
      <c r="AY201" s="173"/>
      <c r="AZ201" s="173"/>
      <c r="BA201" s="173"/>
      <c r="BB201" s="173"/>
      <c r="BC201" s="173"/>
      <c r="BD201" s="173"/>
      <c r="BE201" s="173"/>
      <c r="BF201" s="173"/>
      <c r="BG201" s="173"/>
      <c r="BH201" s="173"/>
      <c r="BI201" s="173"/>
      <c r="BJ201" s="173"/>
      <c r="BK201" s="173"/>
      <c r="BL201" s="173"/>
      <c r="BM201" s="173"/>
      <c r="BN201" s="173"/>
      <c r="BO201" s="173"/>
      <c r="BP201" s="173"/>
      <c r="BQ201" s="173"/>
      <c r="BR201" s="173"/>
      <c r="BS201" s="173"/>
      <c r="BT201" s="173"/>
      <c r="BU201" s="173"/>
      <c r="BV201" s="173"/>
      <c r="BW201" s="173"/>
      <c r="BX201" s="173"/>
      <c r="BY201" s="173"/>
      <c r="BZ201" s="173"/>
      <c r="CA201" s="173"/>
      <c r="CB201" s="173"/>
      <c r="CC201" s="173"/>
      <c r="CD201" s="173"/>
      <c r="CE201" s="173"/>
      <c r="CF201" s="173"/>
      <c r="CG201" s="173"/>
      <c r="CH201" s="173"/>
      <c r="CI201" s="173"/>
      <c r="CJ201" s="173"/>
      <c r="CK201" s="173"/>
      <c r="CL201" s="173"/>
      <c r="CM201" s="173"/>
      <c r="CN201" s="173"/>
      <c r="CO201" s="173"/>
      <c r="CP201" s="173"/>
      <c r="CQ201" s="173"/>
      <c r="CR201" s="173"/>
      <c r="CS201" s="173"/>
      <c r="CT201" s="173"/>
      <c r="CU201" s="173"/>
      <c r="CV201" s="173"/>
      <c r="CW201" s="173"/>
      <c r="CX201" s="173"/>
      <c r="CY201" s="173"/>
      <c r="CZ201" s="173"/>
      <c r="DA201" s="173"/>
      <c r="DB201" s="173"/>
      <c r="DC201" s="173"/>
      <c r="DD201" s="173"/>
      <c r="DE201" s="173"/>
      <c r="DF201" s="173"/>
      <c r="DG201" s="173"/>
      <c r="DH201" s="173"/>
      <c r="DI201" s="173"/>
      <c r="DJ201" s="173"/>
      <c r="DK201" s="173"/>
      <c r="DL201" s="173"/>
      <c r="DM201" s="173"/>
      <c r="DN201" s="173"/>
      <c r="DO201" s="173"/>
      <c r="DP201" s="173"/>
      <c r="DQ201" s="173"/>
      <c r="DR201" s="173"/>
    </row>
    <row r="202" spans="1:122" ht="32.25" customHeight="1" x14ac:dyDescent="0.3">
      <c r="A202" s="100"/>
      <c r="B202" s="455" t="s">
        <v>24</v>
      </c>
      <c r="C202" s="456"/>
      <c r="D202" s="458"/>
      <c r="E202" s="464"/>
      <c r="F202" s="770"/>
      <c r="G202" s="444"/>
      <c r="H202" s="17"/>
      <c r="I202" s="72"/>
      <c r="J202"/>
    </row>
    <row r="203" spans="1:122" ht="68.25" customHeight="1" x14ac:dyDescent="0.3">
      <c r="A203" s="100">
        <v>6</v>
      </c>
      <c r="B203" s="4" t="s">
        <v>50</v>
      </c>
      <c r="C203" s="4" t="s">
        <v>140</v>
      </c>
      <c r="D203" s="21" t="s">
        <v>534</v>
      </c>
      <c r="E203" s="341" t="e">
        <f>INDEX('PY1 Data(H)'!$A$1:$CZ$231,MATCH('Unit Data from Audit Worksheet'!$A203,'PY1 Data(H)'!$A$1:$A$231,0),MATCH('Unit Data from Audit Worksheet'!$D$2,'PY1 Data(H)'!$A$1:$CZ$1,0))</f>
        <v>#N/A</v>
      </c>
      <c r="F203" s="897">
        <v>0</v>
      </c>
      <c r="G203" s="372">
        <f>IF(F203&lt;0,"Error: Enter as positive.",)</f>
        <v>0</v>
      </c>
      <c r="H203" s="17"/>
      <c r="I203" s="72"/>
      <c r="J203"/>
    </row>
    <row r="204" spans="1:122" ht="33" customHeight="1" x14ac:dyDescent="0.3">
      <c r="A204" s="100"/>
      <c r="B204" s="455" t="s">
        <v>149</v>
      </c>
      <c r="C204" s="456"/>
      <c r="D204" s="458"/>
      <c r="E204" s="465"/>
      <c r="F204" s="781"/>
      <c r="G204" s="452"/>
      <c r="H204" s="373"/>
      <c r="I204" s="374"/>
      <c r="J204"/>
    </row>
    <row r="205" spans="1:122" ht="141" customHeight="1" x14ac:dyDescent="0.3">
      <c r="A205" s="100">
        <v>541</v>
      </c>
      <c r="B205" s="343" t="s">
        <v>53</v>
      </c>
      <c r="C205" s="343" t="s">
        <v>535</v>
      </c>
      <c r="D205" s="340" t="s">
        <v>536</v>
      </c>
      <c r="E205" s="341" t="e">
        <f>INDEX('PY1 Data(H)'!$A$1:$CZ$231,MATCH('Unit Data from Audit Worksheet'!$A205,'PY1 Data(H)'!$A$1:$A$231,0),MATCH('Unit Data from Audit Worksheet'!$D$2,'PY1 Data(H)'!$A$1:$CZ$1,0))</f>
        <v>#N/A</v>
      </c>
      <c r="F205" s="897">
        <v>0</v>
      </c>
      <c r="G205" s="372"/>
      <c r="H205" s="373"/>
      <c r="I205" s="374"/>
      <c r="J205"/>
    </row>
    <row r="206" spans="1:122" ht="28.5" customHeight="1" x14ac:dyDescent="0.3">
      <c r="A206" s="100"/>
      <c r="B206" s="456" t="s">
        <v>45</v>
      </c>
      <c r="C206" s="456"/>
      <c r="D206" s="458"/>
      <c r="E206" s="465"/>
      <c r="F206" s="781"/>
      <c r="G206" s="463"/>
      <c r="H206" s="373"/>
      <c r="I206" s="374"/>
      <c r="J206"/>
    </row>
    <row r="207" spans="1:122" ht="91.95" customHeight="1" x14ac:dyDescent="0.3">
      <c r="A207" s="100">
        <v>542</v>
      </c>
      <c r="B207" s="343" t="s">
        <v>53</v>
      </c>
      <c r="C207" s="728" t="s">
        <v>537</v>
      </c>
      <c r="D207" s="25" t="s">
        <v>141</v>
      </c>
      <c r="E207" s="341" t="e">
        <f>INDEX('PY1 Data(H)'!$A$1:$CZ$231,MATCH('Unit Data from Audit Worksheet'!$A207,'PY1 Data(H)'!$A$1:$A$231,0),MATCH('Unit Data from Audit Worksheet'!$D$2,'PY1 Data(H)'!$A$1:$CZ$1,0))</f>
        <v>#N/A</v>
      </c>
      <c r="F207" s="897">
        <v>0</v>
      </c>
      <c r="G207" s="372"/>
      <c r="H207" s="373"/>
      <c r="I207" s="403"/>
      <c r="J207"/>
    </row>
    <row r="208" spans="1:122" ht="24.75" customHeight="1" x14ac:dyDescent="0.3">
      <c r="A208" s="100"/>
      <c r="B208" s="455" t="s">
        <v>538</v>
      </c>
      <c r="C208" s="455"/>
      <c r="D208" s="437"/>
      <c r="E208" s="438"/>
      <c r="F208" s="771"/>
      <c r="G208" s="453"/>
      <c r="H208" s="17"/>
      <c r="I208" s="72"/>
      <c r="J208"/>
    </row>
    <row r="209" spans="1:15" ht="25.5" customHeight="1" x14ac:dyDescent="0.3">
      <c r="A209" s="100"/>
      <c r="B209" s="466" t="s">
        <v>10</v>
      </c>
      <c r="C209" s="466"/>
      <c r="D209" s="437"/>
      <c r="E209" s="438"/>
      <c r="F209" s="898"/>
      <c r="G209" s="453"/>
      <c r="H209" s="17"/>
      <c r="I209" s="72"/>
      <c r="J209"/>
    </row>
    <row r="210" spans="1:15" ht="77.25" customHeight="1" x14ac:dyDescent="0.3">
      <c r="A210" s="30">
        <v>528</v>
      </c>
      <c r="B210" s="343" t="s">
        <v>50</v>
      </c>
      <c r="C210" s="4" t="s">
        <v>142</v>
      </c>
      <c r="D210" s="296" t="s">
        <v>558</v>
      </c>
      <c r="E210" s="341" t="e">
        <f>INDEX('PY1 Data(H)'!$A$1:$CZ$231,MATCH('Unit Data from Audit Worksheet'!$A210,'PY1 Data(H)'!$A$1:$A$231,0),MATCH('Unit Data from Audit Worksheet'!$D$2,'PY1 Data(H)'!$A$1:$CZ$1,0))</f>
        <v>#N/A</v>
      </c>
      <c r="F210" s="897">
        <v>0</v>
      </c>
      <c r="G210" s="372">
        <f>IF(F210="","Error: Unit must enter this information if they levy taxes.",)</f>
        <v>0</v>
      </c>
      <c r="H210" s="404"/>
      <c r="I210" s="72"/>
      <c r="J210"/>
    </row>
    <row r="211" spans="1:15" ht="85.8" customHeight="1" x14ac:dyDescent="0.3">
      <c r="A211" s="30">
        <v>529</v>
      </c>
      <c r="B211" s="343" t="s">
        <v>50</v>
      </c>
      <c r="C211" s="4" t="s">
        <v>142</v>
      </c>
      <c r="D211" s="296" t="s">
        <v>539</v>
      </c>
      <c r="E211" s="341" t="e">
        <f>INDEX('PY1 Data(H)'!$A$1:$CZ$231,MATCH('Unit Data from Audit Worksheet'!$A211,'PY1 Data(H)'!$A$1:$A$231,0),MATCH('Unit Data from Audit Worksheet'!$D$2,'PY1 Data(H)'!$A$1:$CZ$1,0))</f>
        <v>#N/A</v>
      </c>
      <c r="F211" s="897">
        <v>0</v>
      </c>
      <c r="G211" s="372">
        <f>IF(F211="","Error: Unit must enter this information if they levy taxes.",)</f>
        <v>0</v>
      </c>
      <c r="H211" s="17"/>
      <c r="I211" s="72"/>
      <c r="J211"/>
    </row>
    <row r="212" spans="1:15" ht="85.8" customHeight="1" x14ac:dyDescent="0.3">
      <c r="A212" s="30">
        <v>530</v>
      </c>
      <c r="B212" s="343" t="s">
        <v>50</v>
      </c>
      <c r="C212" s="4" t="s">
        <v>142</v>
      </c>
      <c r="D212" s="432" t="s">
        <v>540</v>
      </c>
      <c r="E212" s="341" t="e">
        <f>INDEX('PY1 Data(H)'!$A$1:$CZ$231,MATCH('Unit Data from Audit Worksheet'!$A212,'PY1 Data(H)'!$A$1:$A$231,0),MATCH('Unit Data from Audit Worksheet'!$D$2,'PY1 Data(H)'!$A$1:$CZ$1,0))</f>
        <v>#N/A</v>
      </c>
      <c r="F212" s="897">
        <v>0</v>
      </c>
      <c r="G212" s="372">
        <f>IF(F212="","Error: Unit must enter this information if they levy taxes.",)</f>
        <v>0</v>
      </c>
      <c r="H212" s="17"/>
      <c r="I212" s="72"/>
      <c r="J212"/>
    </row>
    <row r="213" spans="1:15" ht="85.8" customHeight="1" x14ac:dyDescent="0.3">
      <c r="A213" s="30">
        <v>531</v>
      </c>
      <c r="B213" s="343" t="s">
        <v>50</v>
      </c>
      <c r="C213" s="4" t="s">
        <v>142</v>
      </c>
      <c r="D213" s="432" t="s">
        <v>541</v>
      </c>
      <c r="E213" s="341" t="e">
        <f>INDEX('PY1 Data(H)'!$A$1:$CZ$231,MATCH('Unit Data from Audit Worksheet'!$A213,'PY1 Data(H)'!$A$1:$A$231,0),MATCH('Unit Data from Audit Worksheet'!$D$2,'PY1 Data(H)'!$A$1:$CZ$1,0))</f>
        <v>#N/A</v>
      </c>
      <c r="F213" s="897">
        <v>0</v>
      </c>
      <c r="G213" s="372">
        <f>IF(F213="","Error: Unit must enter this information if they levy taxes.",)</f>
        <v>0</v>
      </c>
      <c r="H213" s="17"/>
      <c r="I213" s="72"/>
      <c r="J213"/>
    </row>
    <row r="214" spans="1:15" ht="85.8" customHeight="1" x14ac:dyDescent="0.3">
      <c r="A214" s="100">
        <v>61</v>
      </c>
      <c r="B214" s="4" t="s">
        <v>53</v>
      </c>
      <c r="C214" s="4" t="s">
        <v>142</v>
      </c>
      <c r="D214" s="25" t="s">
        <v>542</v>
      </c>
      <c r="E214" s="651" t="e">
        <f>INDEX('PY1 Data(H)'!$A$1:$CZ$231,MATCH('Unit Data from Audit Worksheet'!$A214,'PY1 Data(H)'!$A$1:$A$231,0),MATCH('Unit Data from Audit Worksheet'!$D$2,'PY1 Data(H)'!$A$1:$CZ$1,0))</f>
        <v>#N/A</v>
      </c>
      <c r="F214" s="905">
        <v>0</v>
      </c>
      <c r="G214" s="372" t="e">
        <f>IF(F214=H214," ","Please check values in account 528, 529, 530 and  531.")</f>
        <v>#DIV/0!</v>
      </c>
      <c r="H214" s="405" t="e">
        <f>ROUND((F210+F211-F212-F213)/(F210+F211)*100,2)</f>
        <v>#DIV/0!</v>
      </c>
      <c r="I214" s="72"/>
      <c r="J214"/>
    </row>
    <row r="215" spans="1:15" ht="85.8" customHeight="1" x14ac:dyDescent="0.3">
      <c r="A215" s="100">
        <v>102</v>
      </c>
      <c r="B215" s="4" t="s">
        <v>53</v>
      </c>
      <c r="C215" s="4" t="s">
        <v>142</v>
      </c>
      <c r="D215" s="53" t="s">
        <v>543</v>
      </c>
      <c r="E215" s="651" t="e">
        <f>INDEX('PY1 Data(H)'!$A$1:$CZ$231,MATCH('Unit Data from Audit Worksheet'!$A215,'PY1 Data(H)'!$A$1:$A$231,0),MATCH('Unit Data from Audit Worksheet'!$D$2,'PY1 Data(H)'!$A$1:$CZ$1,0))</f>
        <v>#N/A</v>
      </c>
      <c r="F215" s="905">
        <v>0</v>
      </c>
      <c r="G215" s="372" t="e">
        <f>IF(F215=H215," ","Please check values in account 528 and 530.")</f>
        <v>#DIV/0!</v>
      </c>
      <c r="H215" s="405" t="e">
        <f>ROUND((F210-F212)/(F210)*100,2)</f>
        <v>#DIV/0!</v>
      </c>
      <c r="I215" s="72"/>
      <c r="J215"/>
    </row>
    <row r="216" spans="1:15" ht="85.8" customHeight="1" x14ac:dyDescent="0.3">
      <c r="A216" s="100">
        <v>103</v>
      </c>
      <c r="B216" s="4" t="s">
        <v>53</v>
      </c>
      <c r="C216" s="4" t="s">
        <v>142</v>
      </c>
      <c r="D216" s="25" t="s">
        <v>544</v>
      </c>
      <c r="E216" s="651" t="e">
        <f>INDEX('PY1 Data(H)'!$A$1:$CZ$231,MATCH('Unit Data from Audit Worksheet'!$A216,'PY1 Data(H)'!$A$1:$A$231,0),MATCH('Unit Data from Audit Worksheet'!$D$2,'PY1 Data(H)'!$A$1:$CZ$1,0))</f>
        <v>#N/A</v>
      </c>
      <c r="F216" s="782">
        <v>0</v>
      </c>
      <c r="G216" s="372" t="e">
        <f>IF(F216=H216," ","Please check values in account 529 and 531.")</f>
        <v>#DIV/0!</v>
      </c>
      <c r="H216" s="405" t="e">
        <f>ROUND((F211-F213)/F211*100,2)</f>
        <v>#DIV/0!</v>
      </c>
      <c r="I216" s="72"/>
      <c r="J216"/>
    </row>
    <row r="217" spans="1:15" ht="91.2" customHeight="1" x14ac:dyDescent="0.3">
      <c r="A217" s="100">
        <v>544</v>
      </c>
      <c r="B217" s="343" t="s">
        <v>53</v>
      </c>
      <c r="C217" s="343" t="s">
        <v>142</v>
      </c>
      <c r="D217" s="21" t="s">
        <v>545</v>
      </c>
      <c r="E217" s="730" t="e">
        <f>INDEX('PY1 Data(H)'!$A$1:$CZ$231,MATCH('Unit Data from Audit Worksheet'!$A217,'PY1 Data(H)'!$A$1:$A$231,0),MATCH('Unit Data from Audit Worksheet'!$D$2,'PY1 Data(H)'!$A$1:$CZ$1,0))</f>
        <v>#N/A</v>
      </c>
      <c r="F217" s="783">
        <v>0</v>
      </c>
      <c r="G217" s="372"/>
      <c r="H217" s="17"/>
      <c r="I217" s="885"/>
      <c r="J217"/>
    </row>
    <row r="218" spans="1:15" ht="96" customHeight="1" x14ac:dyDescent="0.3">
      <c r="A218" s="100">
        <v>545</v>
      </c>
      <c r="B218" s="343" t="s">
        <v>53</v>
      </c>
      <c r="C218" s="343" t="s">
        <v>142</v>
      </c>
      <c r="D218" s="21" t="s">
        <v>546</v>
      </c>
      <c r="E218" s="517"/>
      <c r="F218" s="783">
        <v>0</v>
      </c>
      <c r="G218" s="372"/>
      <c r="H218" s="17"/>
      <c r="I218" s="886"/>
      <c r="J218"/>
    </row>
    <row r="219" spans="1:15" ht="171" customHeight="1" x14ac:dyDescent="0.3">
      <c r="A219" s="116">
        <v>991</v>
      </c>
      <c r="B219" s="116" t="s">
        <v>401</v>
      </c>
      <c r="C219" s="116"/>
      <c r="D219" s="664" t="s">
        <v>2096</v>
      </c>
      <c r="E219" s="341" t="e">
        <f>INDEX('PY1 Data(H)'!$A$1:$CZ$231,MATCH('Unit Data from Audit Worksheet'!$A219,'PY1 Data(H)'!$A$1:$A$231,0),MATCH('Unit Data from Audit Worksheet'!$D$2,'PY1 Data(H)'!$A$1:$CZ$1,0))</f>
        <v>#N/A</v>
      </c>
      <c r="F219" s="897"/>
      <c r="G219" s="400"/>
      <c r="H219" s="803" t="s">
        <v>2097</v>
      </c>
      <c r="I219" s="887"/>
      <c r="J219"/>
    </row>
    <row r="220" spans="1:15" ht="27.75" customHeight="1" x14ac:dyDescent="0.3">
      <c r="A220" s="100"/>
      <c r="B220" s="455" t="s">
        <v>299</v>
      </c>
      <c r="C220" s="455"/>
      <c r="D220" s="455"/>
      <c r="E220" s="467"/>
      <c r="F220" s="784"/>
      <c r="G220" s="468"/>
      <c r="H220" s="17"/>
      <c r="I220" s="885"/>
      <c r="J220"/>
    </row>
    <row r="221" spans="1:15" ht="68.25" customHeight="1" x14ac:dyDescent="0.3">
      <c r="A221" s="100">
        <v>620</v>
      </c>
      <c r="B221" s="343" t="s">
        <v>53</v>
      </c>
      <c r="C221" s="343"/>
      <c r="D221" s="21" t="s">
        <v>1266</v>
      </c>
      <c r="E221" s="481"/>
      <c r="F221" s="785"/>
      <c r="G221" s="400" t="str">
        <f>IF(F221&lt;1,"Please answer this question","")</f>
        <v>Please answer this question</v>
      </c>
      <c r="H221" s="17"/>
      <c r="I221" s="885"/>
      <c r="J221"/>
    </row>
    <row r="222" spans="1:15" ht="123.75" customHeight="1" x14ac:dyDescent="0.3">
      <c r="A222" s="433"/>
      <c r="B222" s="949" t="s">
        <v>380</v>
      </c>
      <c r="C222" s="949"/>
      <c r="D222" s="949"/>
      <c r="E222" s="478"/>
      <c r="F222" s="786"/>
      <c r="G222" s="478"/>
      <c r="H222" s="17"/>
      <c r="I222" s="885"/>
      <c r="J222"/>
    </row>
    <row r="223" spans="1:15" ht="63" customHeight="1" x14ac:dyDescent="0.3">
      <c r="A223" s="179">
        <v>947</v>
      </c>
      <c r="B223" s="429"/>
      <c r="C223" s="429"/>
      <c r="D223" s="316" t="s">
        <v>351</v>
      </c>
      <c r="E223" s="542"/>
      <c r="F223" s="907"/>
      <c r="G223" s="400" t="str">
        <f>IF(ISBLANK(F223),"Please do not leave blank","")</f>
        <v>Please do not leave blank</v>
      </c>
      <c r="H223" s="17"/>
      <c r="I223" s="72"/>
      <c r="J223"/>
      <c r="K223" s="176"/>
      <c r="M223" s="176"/>
      <c r="O223" s="176"/>
    </row>
    <row r="224" spans="1:15" ht="65.25" customHeight="1" x14ac:dyDescent="0.3">
      <c r="A224" s="179">
        <v>948</v>
      </c>
      <c r="B224" s="429"/>
      <c r="C224" s="429"/>
      <c r="D224" s="316" t="s">
        <v>352</v>
      </c>
      <c r="E224" s="542"/>
      <c r="F224" s="907"/>
      <c r="G224" s="400" t="str">
        <f t="shared" ref="G224:G226" si="3">IF(ISBLANK(F224),"Please do not leave blank","")</f>
        <v>Please do not leave blank</v>
      </c>
      <c r="H224" s="17"/>
      <c r="I224" s="72"/>
      <c r="J224"/>
      <c r="K224" s="176"/>
      <c r="M224" s="176"/>
      <c r="O224" s="176"/>
    </row>
    <row r="225" spans="1:15" ht="76.5" customHeight="1" x14ac:dyDescent="0.3">
      <c r="A225" s="179">
        <v>949</v>
      </c>
      <c r="B225" s="429"/>
      <c r="C225" s="429"/>
      <c r="D225" s="316" t="s">
        <v>353</v>
      </c>
      <c r="E225" s="542"/>
      <c r="F225" s="907"/>
      <c r="G225" s="400" t="str">
        <f t="shared" si="3"/>
        <v>Please do not leave blank</v>
      </c>
      <c r="H225" s="17"/>
      <c r="I225" s="72"/>
      <c r="J225"/>
      <c r="K225" s="176"/>
      <c r="M225" s="176"/>
      <c r="O225" s="176"/>
    </row>
    <row r="226" spans="1:15" ht="60" customHeight="1" x14ac:dyDescent="0.3">
      <c r="A226" s="179">
        <v>950</v>
      </c>
      <c r="B226" s="429"/>
      <c r="C226" s="429"/>
      <c r="D226" s="316" t="s">
        <v>339</v>
      </c>
      <c r="E226" s="542"/>
      <c r="F226" s="907"/>
      <c r="G226" s="400" t="str">
        <f t="shared" si="3"/>
        <v>Please do not leave blank</v>
      </c>
      <c r="H226" s="17"/>
      <c r="I226" s="72"/>
      <c r="J226"/>
      <c r="K226" s="176"/>
      <c r="M226" s="176"/>
      <c r="O226" s="176"/>
    </row>
    <row r="227" spans="1:15" ht="87.6" customHeight="1" x14ac:dyDescent="0.3">
      <c r="A227" s="179">
        <v>952</v>
      </c>
      <c r="B227" s="429"/>
      <c r="C227" s="429"/>
      <c r="D227" s="389" t="s">
        <v>1331</v>
      </c>
      <c r="E227" s="542"/>
      <c r="F227" s="908"/>
      <c r="G227" s="400" t="s">
        <v>559</v>
      </c>
      <c r="H227" s="17"/>
      <c r="I227" s="888"/>
      <c r="J227"/>
      <c r="K227" s="176"/>
      <c r="M227" s="176"/>
      <c r="O227" s="176"/>
    </row>
    <row r="228" spans="1:15" ht="24.6" customHeight="1" thickBot="1" x14ac:dyDescent="0.35">
      <c r="A228" s="100"/>
      <c r="B228" s="469"/>
      <c r="C228" s="470"/>
      <c r="D228" s="471" t="s">
        <v>343</v>
      </c>
      <c r="E228" s="460"/>
      <c r="F228" s="472"/>
      <c r="G228" s="473"/>
      <c r="H228" s="474"/>
      <c r="I228" s="72"/>
      <c r="J228"/>
      <c r="K228" s="176"/>
      <c r="M228" s="176"/>
      <c r="O228" s="176"/>
    </row>
    <row r="229" spans="1:15" ht="21.6" customHeight="1" thickBot="1" x14ac:dyDescent="0.35">
      <c r="B229" s="946" t="s">
        <v>381</v>
      </c>
      <c r="C229" s="947"/>
      <c r="D229" s="947"/>
      <c r="E229" s="948"/>
      <c r="F229" s="72"/>
      <c r="G229" s="400"/>
      <c r="H229" s="17"/>
      <c r="I229" s="885"/>
      <c r="J229"/>
    </row>
    <row r="230" spans="1:15" ht="75.75" customHeight="1" x14ac:dyDescent="0.3">
      <c r="B230" s="932" t="s">
        <v>382</v>
      </c>
      <c r="C230" s="932"/>
      <c r="D230" s="932"/>
      <c r="E230" s="932"/>
      <c r="F230" s="72"/>
      <c r="G230" s="400"/>
      <c r="H230" s="17"/>
      <c r="I230" s="885"/>
      <c r="J230"/>
    </row>
    <row r="231" spans="1:15" ht="15" thickBot="1" x14ac:dyDescent="0.35">
      <c r="A231" s="406"/>
      <c r="B231" s="407"/>
      <c r="C231" s="407"/>
      <c r="D231" s="408"/>
      <c r="E231" s="341"/>
      <c r="F231" s="72"/>
      <c r="G231" s="400"/>
      <c r="H231" s="17"/>
      <c r="I231" s="885"/>
      <c r="J231"/>
    </row>
    <row r="232" spans="1:15" ht="15" thickBot="1" x14ac:dyDescent="0.35">
      <c r="B232" s="143" t="s">
        <v>331</v>
      </c>
      <c r="C232" s="144" t="s">
        <v>332</v>
      </c>
      <c r="D232" s="409"/>
      <c r="E232" s="410"/>
      <c r="F232" s="92"/>
      <c r="G232" s="400"/>
      <c r="H232" s="17"/>
      <c r="I232" s="885"/>
      <c r="J232"/>
    </row>
    <row r="233" spans="1:15" ht="44.25" customHeight="1" thickBot="1" x14ac:dyDescent="0.35">
      <c r="B233" s="147" t="s">
        <v>356</v>
      </c>
      <c r="C233" s="146"/>
      <c r="D233" s="145"/>
      <c r="E233" s="344"/>
      <c r="F233" s="411"/>
      <c r="G233" s="400"/>
      <c r="H233" s="17"/>
      <c r="I233" s="885"/>
      <c r="J233"/>
    </row>
    <row r="234" spans="1:15" ht="44.25" customHeight="1" thickBot="1" x14ac:dyDescent="0.35">
      <c r="B234" s="147"/>
      <c r="C234" s="152"/>
      <c r="D234" s="412" t="s">
        <v>371</v>
      </c>
      <c r="E234" s="413"/>
      <c r="F234" s="414"/>
      <c r="G234" s="414"/>
      <c r="H234" s="17"/>
      <c r="I234" s="885"/>
    </row>
    <row r="235" spans="1:15" ht="32.4" customHeight="1" thickBot="1" x14ac:dyDescent="0.35">
      <c r="A235" s="253">
        <v>960</v>
      </c>
      <c r="B235" s="939" t="s">
        <v>357</v>
      </c>
      <c r="C235" s="940"/>
      <c r="D235" s="909"/>
      <c r="E235" s="642" t="str">
        <f>IF(ISBLANK($D235),"&lt;&lt;&lt;&lt;&lt;&lt;&lt;&lt;&lt;&lt;&lt;&lt;&lt;&lt;&lt;","")</f>
        <v>&lt;&lt;&lt;&lt;&lt;&lt;&lt;&lt;&lt;&lt;&lt;&lt;&lt;&lt;&lt;</v>
      </c>
      <c r="F235" s="643" t="str">
        <f>IF(ISBLANK($D235),"Required","")</f>
        <v>Required</v>
      </c>
      <c r="G235" s="479"/>
      <c r="H235" s="373"/>
      <c r="I235" s="885"/>
    </row>
    <row r="236" spans="1:15" ht="32.4" customHeight="1" thickBot="1" x14ac:dyDescent="0.35">
      <c r="A236" s="253">
        <v>962</v>
      </c>
      <c r="B236" s="937" t="s">
        <v>333</v>
      </c>
      <c r="C236" s="938"/>
      <c r="D236" s="909"/>
      <c r="E236" s="642" t="str">
        <f>IF(ISBLANK($D236),"&lt;&lt;&lt;&lt;&lt;&lt;&lt;&lt;&lt;&lt;&lt;&lt;&lt;&lt;&lt;","")</f>
        <v>&lt;&lt;&lt;&lt;&lt;&lt;&lt;&lt;&lt;&lt;&lt;&lt;&lt;&lt;&lt;</v>
      </c>
      <c r="F236" s="643" t="str">
        <f>IF(ISBLANK($D236),"Required","")</f>
        <v>Required</v>
      </c>
      <c r="H236" s="17"/>
      <c r="I236" s="885"/>
    </row>
    <row r="237" spans="1:15" ht="32.4" customHeight="1" thickBot="1" x14ac:dyDescent="0.35">
      <c r="A237" s="253">
        <v>964</v>
      </c>
      <c r="B237" s="937" t="s">
        <v>334</v>
      </c>
      <c r="C237" s="938"/>
      <c r="D237" s="910"/>
      <c r="E237" s="642" t="str">
        <f>IF(ISBLANK($D237),"&lt;&lt;&lt;&lt;&lt;&lt;&lt;&lt;&lt;&lt;&lt;&lt;&lt;&lt;&lt;","")</f>
        <v>&lt;&lt;&lt;&lt;&lt;&lt;&lt;&lt;&lt;&lt;&lt;&lt;&lt;&lt;&lt;</v>
      </c>
      <c r="F237" s="643" t="str">
        <f>IF(ISBLANK($D237),"Required","")</f>
        <v>Required</v>
      </c>
      <c r="H237" s="17"/>
      <c r="I237" s="889"/>
    </row>
    <row r="238" spans="1:15" ht="32.4" customHeight="1" thickBot="1" x14ac:dyDescent="0.35">
      <c r="A238" s="641">
        <v>966</v>
      </c>
      <c r="B238" s="933" t="s">
        <v>1329</v>
      </c>
      <c r="C238" s="934"/>
      <c r="D238" s="911"/>
      <c r="E238" s="642" t="str">
        <f>IF(ISBLANK($D238),"&lt;&lt;&lt;&lt;&lt;&lt;&lt;&lt;&lt;&lt;&lt;&lt;&lt;&lt;&lt;","")</f>
        <v>&lt;&lt;&lt;&lt;&lt;&lt;&lt;&lt;&lt;&lt;&lt;&lt;&lt;&lt;&lt;</v>
      </c>
      <c r="F238" s="643" t="str">
        <f>IF(ISBLANK($D238),"Required","")</f>
        <v>Required</v>
      </c>
      <c r="G238"/>
      <c r="H238" s="17"/>
      <c r="I238" s="885"/>
    </row>
    <row r="239" spans="1:15" ht="32.4" customHeight="1" thickBot="1" x14ac:dyDescent="0.35">
      <c r="A239" s="641"/>
      <c r="B239" s="933" t="s">
        <v>1330</v>
      </c>
      <c r="C239" s="934"/>
      <c r="D239" s="909"/>
      <c r="E239" s="644"/>
      <c r="F239" s="643"/>
      <c r="G239"/>
      <c r="H239" s="17"/>
      <c r="I239" s="885"/>
    </row>
    <row r="240" spans="1:15" ht="32.4" customHeight="1" thickBot="1" x14ac:dyDescent="0.35">
      <c r="A240" s="253">
        <v>968</v>
      </c>
      <c r="B240" s="935" t="s">
        <v>336</v>
      </c>
      <c r="C240" s="936"/>
      <c r="D240" s="912"/>
      <c r="E240" s="645" t="str">
        <f>IF(ISBLANK($D240),"&lt;&lt;&lt;&lt;&lt;&lt;&lt;&lt;&lt;&lt;&lt;&lt;&lt;&lt;&lt;","")</f>
        <v>&lt;&lt;&lt;&lt;&lt;&lt;&lt;&lt;&lt;&lt;&lt;&lt;&lt;&lt;&lt;</v>
      </c>
      <c r="F240" s="643" t="str">
        <f>IF(ISBLANK($D240),"Required","")</f>
        <v>Required</v>
      </c>
      <c r="H240" s="17"/>
      <c r="I240" s="885"/>
    </row>
    <row r="241" spans="1:9" x14ac:dyDescent="0.3">
      <c r="A241" s="100"/>
      <c r="B241" s="475"/>
      <c r="C241" s="475"/>
      <c r="D241" s="480" t="s">
        <v>41</v>
      </c>
      <c r="E241" s="476"/>
      <c r="F241" s="476"/>
      <c r="G241" s="476"/>
      <c r="H241" s="477"/>
      <c r="I241" s="100"/>
    </row>
    <row r="242" spans="1:9" x14ac:dyDescent="0.3">
      <c r="A242" s="100"/>
      <c r="B242" s="343"/>
      <c r="C242" s="343"/>
      <c r="D242" s="150"/>
      <c r="E242" s="177"/>
      <c r="F242" s="415"/>
      <c r="G242" s="415"/>
      <c r="H242" s="17"/>
      <c r="I242" s="100"/>
    </row>
    <row r="243" spans="1:9" x14ac:dyDescent="0.3">
      <c r="A243" s="100"/>
      <c r="B243" s="343"/>
      <c r="C243" s="343"/>
      <c r="D243" s="21"/>
      <c r="E243" s="341"/>
      <c r="F243" s="415"/>
      <c r="G243" s="415"/>
      <c r="H243" s="17"/>
      <c r="I243" s="100"/>
    </row>
    <row r="244" spans="1:9" x14ac:dyDescent="0.3">
      <c r="A244" s="515">
        <f>SUBTOTAL(109,A9:A240)</f>
        <v>88825</v>
      </c>
      <c r="E244" s="233" t="e">
        <f>SUM(E9:E221)</f>
        <v>#N/A</v>
      </c>
    </row>
    <row r="245" spans="1:9" x14ac:dyDescent="0.3">
      <c r="A245" s="100"/>
      <c r="B245" s="434"/>
      <c r="C245" s="434"/>
      <c r="D245" s="416"/>
      <c r="E245" s="233" t="e">
        <f>E156</f>
        <v>#N/A</v>
      </c>
      <c r="F245" s="18"/>
      <c r="G245" s="417"/>
      <c r="H245" s="17"/>
      <c r="I245" s="100"/>
    </row>
    <row r="246" spans="1:9" x14ac:dyDescent="0.3">
      <c r="A246" s="253"/>
      <c r="B246" s="253"/>
      <c r="C246" s="253"/>
      <c r="D246" s="416"/>
      <c r="E246" s="233" t="e">
        <f>E163</f>
        <v>#N/A</v>
      </c>
      <c r="F246" s="176"/>
      <c r="G246" s="417"/>
      <c r="H246" s="17"/>
      <c r="I246" s="100"/>
    </row>
    <row r="247" spans="1:9" x14ac:dyDescent="0.3">
      <c r="A247" s="253"/>
      <c r="B247" s="253"/>
      <c r="C247" s="253"/>
      <c r="D247" s="418"/>
      <c r="E247" s="233" t="e">
        <f>E169</f>
        <v>#N/A</v>
      </c>
      <c r="F247" s="176"/>
      <c r="G247" s="417"/>
      <c r="H247" s="17"/>
      <c r="I247" s="100"/>
    </row>
    <row r="248" spans="1:9" x14ac:dyDescent="0.3">
      <c r="A248" s="253"/>
      <c r="B248" s="253"/>
      <c r="C248" s="253"/>
      <c r="D248" s="418"/>
      <c r="E248" s="233" t="e">
        <f>E175</f>
        <v>#N/A</v>
      </c>
      <c r="F248" s="176"/>
      <c r="G248" s="417"/>
      <c r="H248" s="17"/>
      <c r="I248" s="100"/>
    </row>
    <row r="249" spans="1:9" x14ac:dyDescent="0.3">
      <c r="A249" s="253"/>
      <c r="B249" s="253"/>
      <c r="C249" s="253"/>
      <c r="D249" s="418"/>
      <c r="E249" s="233" t="e">
        <f>E176</f>
        <v>#N/A</v>
      </c>
      <c r="F249" s="176"/>
      <c r="G249" s="417"/>
      <c r="H249" s="17"/>
      <c r="I249" s="100"/>
    </row>
    <row r="250" spans="1:9" x14ac:dyDescent="0.3">
      <c r="A250" s="253"/>
      <c r="B250" s="253"/>
      <c r="C250" s="253"/>
      <c r="D250" s="418"/>
      <c r="E250" s="233" t="e">
        <f>E244-E245-E246-E247-E248-E249</f>
        <v>#N/A</v>
      </c>
      <c r="F250" s="176"/>
      <c r="G250" s="417"/>
      <c r="H250" s="17"/>
      <c r="I250" s="100"/>
    </row>
    <row r="251" spans="1:9" x14ac:dyDescent="0.3">
      <c r="A251" s="253"/>
      <c r="D251" s="288"/>
      <c r="E251" s="233"/>
      <c r="F251" s="176"/>
      <c r="H251" s="17"/>
      <c r="I251" s="100"/>
    </row>
    <row r="252" spans="1:9" x14ac:dyDescent="0.3">
      <c r="D252" s="288"/>
      <c r="E252" s="234"/>
      <c r="F252" s="176"/>
      <c r="H252" s="17"/>
      <c r="I252" s="100"/>
    </row>
    <row r="253" spans="1:9" x14ac:dyDescent="0.3">
      <c r="D253" s="288"/>
      <c r="E253" s="233"/>
      <c r="F253" s="176"/>
      <c r="H253" s="17"/>
      <c r="I253" s="100"/>
    </row>
    <row r="254" spans="1:9" x14ac:dyDescent="0.3">
      <c r="D254" s="288"/>
      <c r="E254" s="177"/>
      <c r="F254" s="176"/>
      <c r="I254" s="100"/>
    </row>
    <row r="255" spans="1:9" x14ac:dyDescent="0.3">
      <c r="E255" s="232"/>
      <c r="F255" s="176"/>
      <c r="G255" s="420"/>
      <c r="I255" s="100"/>
    </row>
    <row r="256" spans="1:9" x14ac:dyDescent="0.3">
      <c r="F256" s="176"/>
      <c r="I256" s="100"/>
    </row>
    <row r="257" spans="5:11" x14ac:dyDescent="0.3">
      <c r="E257" s="177"/>
      <c r="F257" s="176"/>
      <c r="I257" s="100"/>
    </row>
    <row r="258" spans="5:11" x14ac:dyDescent="0.3">
      <c r="E258" s="177"/>
      <c r="F258" s="176"/>
      <c r="I258" s="100"/>
    </row>
    <row r="259" spans="5:11" x14ac:dyDescent="0.3">
      <c r="I259" s="100"/>
    </row>
    <row r="260" spans="5:11" x14ac:dyDescent="0.3">
      <c r="I260" s="100"/>
    </row>
    <row r="261" spans="5:11" x14ac:dyDescent="0.3">
      <c r="I261" s="100"/>
    </row>
    <row r="262" spans="5:11" x14ac:dyDescent="0.3">
      <c r="I262" s="100"/>
    </row>
    <row r="263" spans="5:11" x14ac:dyDescent="0.3">
      <c r="I263" s="100"/>
    </row>
    <row r="264" spans="5:11" x14ac:dyDescent="0.3">
      <c r="I264" s="100"/>
    </row>
    <row r="265" spans="5:11" x14ac:dyDescent="0.3">
      <c r="I265" s="100"/>
    </row>
    <row r="266" spans="5:11" x14ac:dyDescent="0.3">
      <c r="I266" s="176"/>
    </row>
    <row r="267" spans="5:11" x14ac:dyDescent="0.3">
      <c r="I267" s="176"/>
      <c r="K267" s="177"/>
    </row>
    <row r="268" spans="5:11" x14ac:dyDescent="0.3">
      <c r="I268" s="176"/>
      <c r="K268" s="177"/>
    </row>
    <row r="269" spans="5:11" x14ac:dyDescent="0.3">
      <c r="I269" s="176"/>
      <c r="K269" s="177"/>
    </row>
    <row r="270" spans="5:11" x14ac:dyDescent="0.3">
      <c r="I270" s="176"/>
      <c r="K270" s="177"/>
    </row>
    <row r="271" spans="5:11" x14ac:dyDescent="0.3">
      <c r="I271" s="176"/>
      <c r="K271" s="177"/>
    </row>
    <row r="272" spans="5:11" x14ac:dyDescent="0.3">
      <c r="I272" s="176"/>
      <c r="K272" s="177"/>
    </row>
    <row r="273" spans="9:11" x14ac:dyDescent="0.3">
      <c r="I273" s="100"/>
      <c r="K273" s="177"/>
    </row>
    <row r="274" spans="9:11" x14ac:dyDescent="0.3">
      <c r="I274" s="100"/>
      <c r="J274" s="177"/>
      <c r="K274" s="177"/>
    </row>
    <row r="275" spans="9:11" x14ac:dyDescent="0.3">
      <c r="I275" s="100"/>
      <c r="J275" s="177"/>
      <c r="K275" s="177"/>
    </row>
    <row r="276" spans="9:11" x14ac:dyDescent="0.3">
      <c r="I276" s="100"/>
      <c r="J276" s="177"/>
      <c r="K276" s="177"/>
    </row>
    <row r="277" spans="9:11" x14ac:dyDescent="0.3">
      <c r="I277" s="100"/>
      <c r="J277" s="177"/>
      <c r="K277" s="177"/>
    </row>
    <row r="278" spans="9:11" x14ac:dyDescent="0.3">
      <c r="I278" s="100"/>
      <c r="J278" s="177"/>
      <c r="K278" s="177"/>
    </row>
    <row r="279" spans="9:11" x14ac:dyDescent="0.3">
      <c r="I279" s="100"/>
      <c r="J279" s="177"/>
      <c r="K279" s="177"/>
    </row>
    <row r="280" spans="9:11" x14ac:dyDescent="0.3">
      <c r="I280" s="100"/>
      <c r="J280" s="177"/>
      <c r="K280" s="177"/>
    </row>
    <row r="281" spans="9:11" x14ac:dyDescent="0.3">
      <c r="I281" s="100"/>
      <c r="J281" s="177"/>
      <c r="K281" s="177"/>
    </row>
    <row r="282" spans="9:11" x14ac:dyDescent="0.3">
      <c r="I282" s="176"/>
      <c r="J282" s="177"/>
      <c r="K282" s="177"/>
    </row>
    <row r="283" spans="9:11" x14ac:dyDescent="0.3">
      <c r="I283" s="176"/>
      <c r="J283" s="177"/>
      <c r="K283" s="177"/>
    </row>
    <row r="284" spans="9:11" x14ac:dyDescent="0.3">
      <c r="I284" s="176"/>
      <c r="J284" s="177"/>
      <c r="K284" s="177"/>
    </row>
    <row r="285" spans="9:11" x14ac:dyDescent="0.3">
      <c r="I285" s="176"/>
      <c r="J285" s="177"/>
      <c r="K285" s="177"/>
    </row>
    <row r="286" spans="9:11" x14ac:dyDescent="0.3">
      <c r="I286" s="176"/>
      <c r="J286" s="177"/>
      <c r="K286" s="177"/>
    </row>
    <row r="287" spans="9:11" x14ac:dyDescent="0.3">
      <c r="I287" s="176"/>
      <c r="J287" s="177"/>
      <c r="K287" s="177"/>
    </row>
    <row r="288" spans="9:11" x14ac:dyDescent="0.3">
      <c r="I288" s="176"/>
      <c r="J288" s="177"/>
      <c r="K288" s="177"/>
    </row>
    <row r="289" spans="9:11" x14ac:dyDescent="0.3">
      <c r="I289" s="176"/>
      <c r="J289" s="177"/>
      <c r="K289" s="177"/>
    </row>
    <row r="290" spans="9:11" x14ac:dyDescent="0.3">
      <c r="I290" s="176"/>
      <c r="J290" s="177"/>
      <c r="K290" s="177"/>
    </row>
    <row r="291" spans="9:11" x14ac:dyDescent="0.3">
      <c r="I291" s="176"/>
      <c r="J291" s="177"/>
      <c r="K291" s="177"/>
    </row>
    <row r="292" spans="9:11" x14ac:dyDescent="0.3">
      <c r="I292" s="176"/>
      <c r="J292" s="177"/>
      <c r="K292" s="177"/>
    </row>
    <row r="293" spans="9:11" x14ac:dyDescent="0.3">
      <c r="I293" s="176"/>
      <c r="J293" s="177"/>
      <c r="K293" s="177"/>
    </row>
    <row r="294" spans="9:11" x14ac:dyDescent="0.3">
      <c r="I294" s="176"/>
      <c r="J294" s="177"/>
      <c r="K294" s="177"/>
    </row>
    <row r="295" spans="9:11" x14ac:dyDescent="0.3">
      <c r="I295" s="176"/>
      <c r="J295" s="177"/>
      <c r="K295" s="177"/>
    </row>
    <row r="296" spans="9:11" x14ac:dyDescent="0.3">
      <c r="I296" s="176"/>
      <c r="J296" s="177"/>
      <c r="K296" s="177"/>
    </row>
    <row r="297" spans="9:11" x14ac:dyDescent="0.3">
      <c r="I297" s="176"/>
      <c r="J297" s="177"/>
      <c r="K297" s="177"/>
    </row>
    <row r="298" spans="9:11" x14ac:dyDescent="0.3">
      <c r="I298" s="176"/>
      <c r="J298" s="177"/>
      <c r="K298" s="177"/>
    </row>
    <row r="299" spans="9:11" x14ac:dyDescent="0.3">
      <c r="I299" s="176"/>
      <c r="J299" s="177"/>
      <c r="K299" s="177"/>
    </row>
    <row r="300" spans="9:11" x14ac:dyDescent="0.3">
      <c r="I300" s="176"/>
      <c r="J300" s="177"/>
      <c r="K300" s="177"/>
    </row>
    <row r="301" spans="9:11" x14ac:dyDescent="0.3">
      <c r="I301" s="176"/>
      <c r="J301" s="177"/>
      <c r="K301" s="177"/>
    </row>
    <row r="302" spans="9:11" x14ac:dyDescent="0.3">
      <c r="I302" s="176"/>
      <c r="J302" s="177"/>
      <c r="K302" s="177"/>
    </row>
    <row r="303" spans="9:11" x14ac:dyDescent="0.3">
      <c r="I303" s="176"/>
      <c r="J303" s="177"/>
      <c r="K303" s="177"/>
    </row>
    <row r="304" spans="9:11" x14ac:dyDescent="0.3">
      <c r="I304" s="176"/>
      <c r="J304" s="177"/>
      <c r="K304" s="177"/>
    </row>
    <row r="305" spans="9:11" x14ac:dyDescent="0.3">
      <c r="I305" s="176"/>
      <c r="J305" s="177"/>
      <c r="K305" s="177"/>
    </row>
    <row r="306" spans="9:11" x14ac:dyDescent="0.3">
      <c r="I306" s="176"/>
      <c r="J306" s="177"/>
      <c r="K306" s="177"/>
    </row>
    <row r="307" spans="9:11" x14ac:dyDescent="0.3">
      <c r="I307" s="176"/>
      <c r="J307" s="177"/>
      <c r="K307" s="177"/>
    </row>
    <row r="308" spans="9:11" x14ac:dyDescent="0.3">
      <c r="I308" s="176"/>
      <c r="J308" s="177"/>
      <c r="K308" s="177"/>
    </row>
    <row r="309" spans="9:11" x14ac:dyDescent="0.3">
      <c r="I309" s="176"/>
      <c r="J309" s="177"/>
      <c r="K309" s="177"/>
    </row>
    <row r="310" spans="9:11" x14ac:dyDescent="0.3">
      <c r="I310" s="176"/>
      <c r="J310" s="177"/>
      <c r="K310" s="177"/>
    </row>
    <row r="311" spans="9:11" x14ac:dyDescent="0.3">
      <c r="I311" s="176"/>
      <c r="J311" s="177"/>
      <c r="K311" s="177"/>
    </row>
    <row r="312" spans="9:11" x14ac:dyDescent="0.3">
      <c r="I312" s="176"/>
      <c r="J312" s="177"/>
      <c r="K312" s="177"/>
    </row>
    <row r="313" spans="9:11" x14ac:dyDescent="0.3">
      <c r="I313" s="176"/>
      <c r="J313" s="177"/>
      <c r="K313" s="177"/>
    </row>
    <row r="314" spans="9:11" x14ac:dyDescent="0.3">
      <c r="I314" s="176"/>
      <c r="J314" s="177"/>
      <c r="K314" s="177"/>
    </row>
    <row r="315" spans="9:11" x14ac:dyDescent="0.3">
      <c r="I315" s="176"/>
      <c r="J315" s="177"/>
      <c r="K315" s="177"/>
    </row>
    <row r="316" spans="9:11" x14ac:dyDescent="0.3">
      <c r="I316" s="176"/>
      <c r="J316" s="177"/>
      <c r="K316" s="177"/>
    </row>
    <row r="317" spans="9:11" x14ac:dyDescent="0.3">
      <c r="I317" s="176"/>
      <c r="J317" s="177"/>
      <c r="K317" s="177"/>
    </row>
    <row r="318" spans="9:11" x14ac:dyDescent="0.3">
      <c r="I318" s="176"/>
      <c r="J318" s="177"/>
      <c r="K318" s="177"/>
    </row>
    <row r="319" spans="9:11" x14ac:dyDescent="0.3">
      <c r="I319" s="176"/>
      <c r="J319" s="177"/>
      <c r="K319" s="177"/>
    </row>
    <row r="320" spans="9:11" x14ac:dyDescent="0.3">
      <c r="I320" s="176"/>
      <c r="J320" s="177"/>
      <c r="K320" s="177"/>
    </row>
    <row r="321" spans="9:11" x14ac:dyDescent="0.3">
      <c r="I321" s="176"/>
      <c r="J321" s="177"/>
      <c r="K321" s="177"/>
    </row>
    <row r="322" spans="9:11" x14ac:dyDescent="0.3">
      <c r="I322" s="176"/>
      <c r="J322" s="177"/>
      <c r="K322" s="177"/>
    </row>
    <row r="323" spans="9:11" x14ac:dyDescent="0.3">
      <c r="I323" s="176"/>
      <c r="J323" s="177"/>
      <c r="K323" s="177"/>
    </row>
    <row r="324" spans="9:11" x14ac:dyDescent="0.3">
      <c r="I324" s="176"/>
      <c r="J324" s="177"/>
      <c r="K324" s="177"/>
    </row>
    <row r="325" spans="9:11" x14ac:dyDescent="0.3">
      <c r="I325" s="176"/>
      <c r="J325" s="177"/>
      <c r="K325" s="177"/>
    </row>
    <row r="326" spans="9:11" x14ac:dyDescent="0.3">
      <c r="I326" s="176"/>
      <c r="J326" s="177"/>
      <c r="K326" s="177"/>
    </row>
    <row r="327" spans="9:11" x14ac:dyDescent="0.3">
      <c r="I327" s="176"/>
      <c r="J327" s="177"/>
      <c r="K327" s="177"/>
    </row>
    <row r="328" spans="9:11" x14ac:dyDescent="0.3">
      <c r="I328" s="176"/>
      <c r="J328" s="177"/>
      <c r="K328" s="177"/>
    </row>
    <row r="329" spans="9:11" x14ac:dyDescent="0.3">
      <c r="I329" s="176"/>
      <c r="J329" s="177"/>
      <c r="K329" s="177"/>
    </row>
    <row r="330" spans="9:11" x14ac:dyDescent="0.3">
      <c r="I330" s="176"/>
      <c r="J330" s="177"/>
      <c r="K330" s="177"/>
    </row>
    <row r="331" spans="9:11" x14ac:dyDescent="0.3">
      <c r="I331" s="176"/>
      <c r="J331" s="177"/>
      <c r="K331" s="177"/>
    </row>
    <row r="332" spans="9:11" x14ac:dyDescent="0.3">
      <c r="I332" s="176"/>
      <c r="J332" s="177"/>
      <c r="K332" s="177"/>
    </row>
    <row r="333" spans="9:11" x14ac:dyDescent="0.3">
      <c r="I333" s="176"/>
      <c r="J333" s="177"/>
      <c r="K333" s="177"/>
    </row>
    <row r="334" spans="9:11" x14ac:dyDescent="0.3">
      <c r="I334" s="176"/>
      <c r="J334" s="177"/>
      <c r="K334" s="177"/>
    </row>
    <row r="335" spans="9:11" x14ac:dyDescent="0.3">
      <c r="I335" s="176"/>
      <c r="J335" s="177"/>
      <c r="K335" s="177"/>
    </row>
    <row r="336" spans="9:11" x14ac:dyDescent="0.3">
      <c r="I336" s="176"/>
      <c r="J336" s="177"/>
    </row>
    <row r="337" spans="9:10" x14ac:dyDescent="0.3">
      <c r="I337" s="176"/>
      <c r="J337" s="177"/>
    </row>
    <row r="338" spans="9:10" x14ac:dyDescent="0.3">
      <c r="I338" s="176"/>
      <c r="J338" s="177"/>
    </row>
    <row r="339" spans="9:10" x14ac:dyDescent="0.3">
      <c r="I339" s="176"/>
      <c r="J339" s="177"/>
    </row>
    <row r="340" spans="9:10" x14ac:dyDescent="0.3">
      <c r="I340" s="176"/>
      <c r="J340" s="177"/>
    </row>
    <row r="341" spans="9:10" x14ac:dyDescent="0.3">
      <c r="I341" s="176"/>
      <c r="J341" s="177"/>
    </row>
    <row r="342" spans="9:10" x14ac:dyDescent="0.3">
      <c r="I342" s="176"/>
      <c r="J342" s="177"/>
    </row>
    <row r="343" spans="9:10" x14ac:dyDescent="0.3">
      <c r="I343" s="176"/>
    </row>
    <row r="344" spans="9:10" x14ac:dyDescent="0.3">
      <c r="I344" s="176"/>
    </row>
    <row r="345" spans="9:10" x14ac:dyDescent="0.3">
      <c r="I345" s="176"/>
    </row>
    <row r="346" spans="9:10" x14ac:dyDescent="0.3">
      <c r="I346" s="176"/>
    </row>
    <row r="347" spans="9:10" x14ac:dyDescent="0.3">
      <c r="I347" s="176"/>
    </row>
    <row r="348" spans="9:10" x14ac:dyDescent="0.3">
      <c r="I348" s="176"/>
    </row>
    <row r="349" spans="9:10" x14ac:dyDescent="0.3">
      <c r="I349" s="176"/>
    </row>
    <row r="350" spans="9:10" x14ac:dyDescent="0.3">
      <c r="I350" s="176"/>
    </row>
    <row r="351" spans="9:10" x14ac:dyDescent="0.3">
      <c r="I351" s="100"/>
    </row>
    <row r="352" spans="9:10" x14ac:dyDescent="0.3">
      <c r="I352" s="100"/>
    </row>
    <row r="353" spans="9:9" x14ac:dyDescent="0.3">
      <c r="I353" s="100"/>
    </row>
    <row r="354" spans="9:9" x14ac:dyDescent="0.3">
      <c r="I354" s="100"/>
    </row>
    <row r="355" spans="9:9" x14ac:dyDescent="0.3">
      <c r="I355" s="100"/>
    </row>
    <row r="356" spans="9:9" x14ac:dyDescent="0.3">
      <c r="I356" s="100"/>
    </row>
    <row r="357" spans="9:9" x14ac:dyDescent="0.3">
      <c r="I357" s="100"/>
    </row>
    <row r="358" spans="9:9" x14ac:dyDescent="0.3">
      <c r="I358" s="100"/>
    </row>
    <row r="359" spans="9:9" x14ac:dyDescent="0.3">
      <c r="I359" s="100"/>
    </row>
    <row r="360" spans="9:9" x14ac:dyDescent="0.3">
      <c r="I360" s="100"/>
    </row>
  </sheetData>
  <sheetProtection algorithmName="SHA-512" hashValue="tGUCR3PUo7+9eMtkFflYqqvq6Tp5Quys7s4T+gWOvZsEwBGm7l5T6eHboRy27+7WFoOxnzfso78eihZR5V232g==" saltValue="aLN4VRz8bZvKC1Tc0/EmVg==" spinCount="100000" sheet="1" formatCells="0"/>
  <dataConsolidate link="1"/>
  <mergeCells count="14">
    <mergeCell ref="E2:G2"/>
    <mergeCell ref="B2:C2"/>
    <mergeCell ref="B108:D108"/>
    <mergeCell ref="B229:E229"/>
    <mergeCell ref="B222:D222"/>
    <mergeCell ref="B6:G6"/>
    <mergeCell ref="B7:G7"/>
    <mergeCell ref="B230:E230"/>
    <mergeCell ref="B238:C238"/>
    <mergeCell ref="B240:C240"/>
    <mergeCell ref="B237:C237"/>
    <mergeCell ref="B235:C235"/>
    <mergeCell ref="B236:C236"/>
    <mergeCell ref="B239:C239"/>
  </mergeCells>
  <phoneticPr fontId="54" type="noConversion"/>
  <conditionalFormatting sqref="G210:G213 G217:G218">
    <cfRule type="cellIs" dxfId="94" priority="105" stopIfTrue="1" operator="notEqual">
      <formula>0</formula>
    </cfRule>
  </conditionalFormatting>
  <conditionalFormatting sqref="H25">
    <cfRule type="cellIs" dxfId="93" priority="104" stopIfTrue="1" operator="notEqual">
      <formula>0</formula>
    </cfRule>
  </conditionalFormatting>
  <conditionalFormatting sqref="H39:H40">
    <cfRule type="cellIs" dxfId="92" priority="103" stopIfTrue="1" operator="notEqual">
      <formula>0</formula>
    </cfRule>
  </conditionalFormatting>
  <conditionalFormatting sqref="H58">
    <cfRule type="cellIs" dxfId="91" priority="102" stopIfTrue="1" operator="notEqual">
      <formula>0</formula>
    </cfRule>
  </conditionalFormatting>
  <conditionalFormatting sqref="H106">
    <cfRule type="cellIs" dxfId="90" priority="100" stopIfTrue="1" operator="notEqual">
      <formula>0</formula>
    </cfRule>
  </conditionalFormatting>
  <conditionalFormatting sqref="H121">
    <cfRule type="cellIs" dxfId="89" priority="98" stopIfTrue="1" operator="notEqual">
      <formula>0</formula>
    </cfRule>
  </conditionalFormatting>
  <conditionalFormatting sqref="H122">
    <cfRule type="cellIs" dxfId="88" priority="97" stopIfTrue="1" operator="notEqual">
      <formula>0</formula>
    </cfRule>
  </conditionalFormatting>
  <conditionalFormatting sqref="G196">
    <cfRule type="cellIs" priority="69" stopIfTrue="1" operator="equal">
      <formula>";;;"</formula>
    </cfRule>
  </conditionalFormatting>
  <conditionalFormatting sqref="G196">
    <cfRule type="cellIs" dxfId="87" priority="68" stopIfTrue="1" operator="equal">
      <formula>0</formula>
    </cfRule>
  </conditionalFormatting>
  <conditionalFormatting sqref="G195">
    <cfRule type="cellIs" priority="66" stopIfTrue="1" operator="equal">
      <formula>";;;"</formula>
    </cfRule>
  </conditionalFormatting>
  <conditionalFormatting sqref="G195">
    <cfRule type="cellIs" dxfId="86" priority="65" stopIfTrue="1" operator="equal">
      <formula>0</formula>
    </cfRule>
  </conditionalFormatting>
  <conditionalFormatting sqref="G195">
    <cfRule type="cellIs" dxfId="85" priority="64" stopIfTrue="1" operator="equal">
      <formula>0</formula>
    </cfRule>
  </conditionalFormatting>
  <conditionalFormatting sqref="G194">
    <cfRule type="cellIs" priority="54" stopIfTrue="1" operator="equal">
      <formula>";;;"</formula>
    </cfRule>
  </conditionalFormatting>
  <conditionalFormatting sqref="G194">
    <cfRule type="cellIs" dxfId="84" priority="53" stopIfTrue="1" operator="equal">
      <formula>0</formula>
    </cfRule>
  </conditionalFormatting>
  <conditionalFormatting sqref="G194">
    <cfRule type="cellIs" dxfId="83" priority="52" stopIfTrue="1" operator="equal">
      <formula>0</formula>
    </cfRule>
  </conditionalFormatting>
  <conditionalFormatting sqref="G189">
    <cfRule type="cellIs" priority="21" stopIfTrue="1" operator="equal">
      <formula>";;;"</formula>
    </cfRule>
  </conditionalFormatting>
  <conditionalFormatting sqref="G189">
    <cfRule type="cellIs" dxfId="82" priority="20" stopIfTrue="1" operator="equal">
      <formula>0</formula>
    </cfRule>
  </conditionalFormatting>
  <conditionalFormatting sqref="G189">
    <cfRule type="cellIs" dxfId="81" priority="19" stopIfTrue="1" operator="equal">
      <formula>0</formula>
    </cfRule>
  </conditionalFormatting>
  <conditionalFormatting sqref="G187">
    <cfRule type="cellIs" priority="18" stopIfTrue="1" operator="equal">
      <formula>";;;"</formula>
    </cfRule>
  </conditionalFormatting>
  <conditionalFormatting sqref="G187">
    <cfRule type="cellIs" dxfId="80" priority="17" stopIfTrue="1" operator="equal">
      <formula>0</formula>
    </cfRule>
  </conditionalFormatting>
  <conditionalFormatting sqref="G187">
    <cfRule type="cellIs" dxfId="79" priority="16" stopIfTrue="1" operator="equal">
      <formula>0</formula>
    </cfRule>
  </conditionalFormatting>
  <conditionalFormatting sqref="G188">
    <cfRule type="cellIs" priority="15" stopIfTrue="1" operator="equal">
      <formula>";;;"</formula>
    </cfRule>
  </conditionalFormatting>
  <conditionalFormatting sqref="G188">
    <cfRule type="cellIs" dxfId="78" priority="14" stopIfTrue="1" operator="equal">
      <formula>0</formula>
    </cfRule>
  </conditionalFormatting>
  <conditionalFormatting sqref="G188">
    <cfRule type="cellIs" dxfId="77" priority="13" stopIfTrue="1" operator="equal">
      <formula>0</formula>
    </cfRule>
  </conditionalFormatting>
  <conditionalFormatting sqref="G191">
    <cfRule type="cellIs" priority="12" stopIfTrue="1" operator="equal">
      <formula>";;;"</formula>
    </cfRule>
  </conditionalFormatting>
  <conditionalFormatting sqref="G191">
    <cfRule type="cellIs" dxfId="76" priority="11" stopIfTrue="1" operator="equal">
      <formula>0</formula>
    </cfRule>
  </conditionalFormatting>
  <conditionalFormatting sqref="G191">
    <cfRule type="cellIs" dxfId="75" priority="10" stopIfTrue="1" operator="equal">
      <formula>0</formula>
    </cfRule>
  </conditionalFormatting>
  <conditionalFormatting sqref="G193">
    <cfRule type="cellIs" priority="4" stopIfTrue="1" operator="equal">
      <formula>";;;"</formula>
    </cfRule>
  </conditionalFormatting>
  <conditionalFormatting sqref="G193">
    <cfRule type="cellIs" dxfId="74" priority="3" stopIfTrue="1" operator="equal">
      <formula>0</formula>
    </cfRule>
  </conditionalFormatting>
  <conditionalFormatting sqref="G193">
    <cfRule type="cellIs" dxfId="73" priority="2" stopIfTrue="1" operator="equal">
      <formula>0</formula>
    </cfRule>
  </conditionalFormatting>
  <conditionalFormatting sqref="H75">
    <cfRule type="expression" dxfId="72" priority="1">
      <formula>$F$75=""</formula>
    </cfRule>
  </conditionalFormatting>
  <dataValidations xWindow="829" yWindow="690" count="17">
    <dataValidation type="list" allowBlank="1" showErrorMessage="1" prompt="Please select from the drop-down list." sqref="F88" xr:uid="{00000000-0002-0000-0100-000005000000}">
      <formula1>$N$2:$N$4</formula1>
    </dataValidation>
    <dataValidation type="list" allowBlank="1" showInputMessage="1" showErrorMessage="1" sqref="F226" xr:uid="{9CC5535C-800A-4D03-A86E-273A5BC3EBB6}">
      <formula1>$M$1:$M$2</formula1>
    </dataValidation>
    <dataValidation type="list" allowBlank="1" showErrorMessage="1" prompt="Please select from drop down list." sqref="F140 F184" xr:uid="{FCE57F22-20D9-4CFA-AFE5-1751E216D3C1}">
      <formula1>$O$1:$O$2</formula1>
    </dataValidation>
    <dataValidation type="list" allowBlank="1" showErrorMessage="1" prompt="Please select from the drop down box the most appropriate answer" sqref="F221" xr:uid="{7584867B-76E5-42C2-B404-3B1B6C94E6E2}">
      <formula1>$O$1:$O$2</formula1>
    </dataValidation>
    <dataValidation type="list" allowBlank="1" showInputMessage="1" showErrorMessage="1" sqref="F225" xr:uid="{DB0EB8F5-2DE0-4833-AFDF-F7BB7A8D56E1}">
      <formula1>$M$8:$M$10</formula1>
    </dataValidation>
    <dataValidation type="custom" allowBlank="1" showInputMessage="1" showErrorMessage="1" error="Please enter a numeric value.  If this data is not applicable to your unit of government, the cell should be populated with zero." sqref="F142 F138 F126 F60 F132:F134 F83:F84 F89:F106" xr:uid="{B5815DCD-160E-4CA9-A461-76D5F396E4F1}">
      <formula1>ISNUMBER(F60)</formula1>
    </dataValidation>
    <dataValidation type="custom" allowBlank="1" showErrorMessage="1" error="Please enter a numeric value.  If this data is not applicable to your unit of government, the cell should be populated with zero." prompt="_x000a__x000a_" sqref="F179" xr:uid="{DA17F63A-7740-447E-B0DD-1FD94F0BE4C8}">
      <formula1>ISNUMBER(F179)</formula1>
    </dataValidation>
    <dataValidation type="custom" allowBlank="1" showErrorMessage="1" error="Please enter a numeric value.  If this data is not applicable to your unit of government, the cell should be populated with zero." sqref="F194:F195 F217:F218" xr:uid="{6656F482-2030-43E8-B669-24F0F4187CE8}">
      <formula1>ISNUMBER(F194)</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190" xr:uid="{8DAFED68-C7CC-4E4B-B0DE-1B3BA6E17585}">
      <formula1>-ISNUMBER(221)</formula1>
    </dataValidation>
    <dataValidation type="custom" allowBlank="1" showErrorMessage="1" error="Please enter a numeric value.  If this data is not applicable to your unit of government the cell should be populated with zero." sqref="F183" xr:uid="{CB641EB2-3894-4A74-BBEC-CDF7A3E8D5D8}">
      <formula1>ISNUMBER(F183)</formula1>
    </dataValidation>
    <dataValidation type="custom" allowBlank="1" showErrorMessage="1" error="Please enter a numeric value.  If this data is not applicable to your unit of government, the cell should be populated wih zero." sqref="F191" xr:uid="{EE3DADAD-5656-406D-A714-9D6C22BCD542}">
      <formula1>ISNUMBER(F191)</formula1>
    </dataValidation>
    <dataValidation type="list" allowBlank="1" showErrorMessage="1" error="Please enter a numeric value.  If this data is not applicable to your unit of government, the cell should be populated with zero." prompt="Please select from drop down list." sqref="F135:F136" xr:uid="{10031305-6BCA-4971-AFBD-C982B886D697}">
      <formula1>"1, 2, 3"</formula1>
    </dataValidation>
    <dataValidation type="list" allowBlank="1" showInputMessage="1" showErrorMessage="1" sqref="F192" xr:uid="{8FA8776C-7A50-4893-9EF9-7DEFDF6B2769}">
      <formula1>$O$1:$O$4</formula1>
    </dataValidation>
    <dataValidation type="list" allowBlank="1" showInputMessage="1" showErrorMessage="1" sqref="F219" xr:uid="{97463CB5-8B36-4FC4-BD0E-DA04278AD21D}">
      <formula1>$Q$1:$Q$4</formula1>
    </dataValidation>
    <dataValidation type="list" showInputMessage="1" showErrorMessage="1" prompt="Please do not leave blank, select applicable response_x000a_&quot;Capital&quot;_x000a_&quot;Operations&quot;_x000a_&quot;N/A&quot;" sqref="F75" xr:uid="{E83CB82A-3353-4A25-8458-46E299A2F046}">
      <formula1>$M$4:$M$6</formula1>
    </dataValidation>
    <dataValidation type="list" allowBlank="1" showInputMessage="1" showErrorMessage="1" sqref="F123:F124 F149" xr:uid="{F3D0E497-03D8-4826-BD1C-7685A2C70470}">
      <formula1>$O$1:$O$2</formula1>
    </dataValidation>
    <dataValidation type="list" allowBlank="1" showInputMessage="1" showErrorMessage="1" sqref="F150" xr:uid="{351E1587-3C7C-4F38-86EE-5C651F498CBA}">
      <formula1>$O$1:$O$3</formula1>
    </dataValidation>
  </dataValidations>
  <printOptions headings="1" gridLines="1"/>
  <pageMargins left="0.25" right="0.25" top="0.25" bottom="0.75" header="0.3" footer="0.3"/>
  <pageSetup scale="72" fitToHeight="0" orientation="portrait" r:id="rId1"/>
  <headerFooter>
    <oddFooter>&amp;LPage &amp;P&amp;R&amp;Z&amp;F</oddFooter>
  </headerFooter>
  <ignoredErrors>
    <ignoredError sqref="H214:H216"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Names(H)'!$A$1:$A$104</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dimension ref="A1:N55"/>
  <sheetViews>
    <sheetView zoomScaleNormal="100" workbookViewId="0">
      <selection activeCell="C11" sqref="C11"/>
    </sheetView>
  </sheetViews>
  <sheetFormatPr defaultRowHeight="14.4" x14ac:dyDescent="0.3"/>
  <cols>
    <col min="1" max="1" width="9.44140625" style="148" customWidth="1"/>
    <col min="2" max="2" width="103.109375" customWidth="1"/>
    <col min="3" max="3" width="19" customWidth="1"/>
    <col min="4" max="4" width="50.33203125" style="483" customWidth="1"/>
    <col min="5" max="5" width="30.33203125" customWidth="1"/>
    <col min="6" max="6" width="13.5546875" customWidth="1"/>
    <col min="8" max="10" width="8.88671875" style="634"/>
    <col min="11" max="11" width="1.6640625" style="634" customWidth="1"/>
    <col min="12" max="13" width="8.88671875" style="634" hidden="1" customWidth="1"/>
    <col min="14" max="14" width="13" style="634" customWidth="1"/>
  </cols>
  <sheetData>
    <row r="1" spans="1:14" s="539" customFormat="1" ht="12" customHeight="1" thickBot="1" x14ac:dyDescent="0.35">
      <c r="A1" s="538"/>
      <c r="D1" s="623"/>
      <c r="E1"/>
      <c r="F1"/>
      <c r="G1"/>
      <c r="H1" s="633"/>
      <c r="I1" s="633"/>
      <c r="J1" s="633"/>
      <c r="K1" s="633"/>
      <c r="L1" s="633"/>
      <c r="M1" s="633"/>
      <c r="N1" s="633"/>
    </row>
    <row r="2" spans="1:14" ht="42" customHeight="1" thickBot="1" x14ac:dyDescent="0.35">
      <c r="A2" s="953" t="s">
        <v>793</v>
      </c>
      <c r="B2" s="954"/>
      <c r="C2" s="954"/>
      <c r="D2" s="954"/>
    </row>
    <row r="3" spans="1:14" s="539" customFormat="1" ht="10.199999999999999" customHeight="1" thickBot="1" x14ac:dyDescent="0.35">
      <c r="A3" s="622"/>
      <c r="D3" s="623"/>
      <c r="E3"/>
      <c r="F3"/>
      <c r="G3"/>
      <c r="H3" s="633"/>
      <c r="I3" s="633"/>
      <c r="J3" s="633"/>
      <c r="K3" s="633"/>
      <c r="L3" s="633"/>
      <c r="M3" s="633"/>
      <c r="N3" s="633"/>
    </row>
    <row r="4" spans="1:14" ht="25.8" customHeight="1" thickBot="1" x14ac:dyDescent="0.35">
      <c r="A4" s="955" t="s">
        <v>794</v>
      </c>
      <c r="B4" s="956"/>
      <c r="C4" s="956"/>
      <c r="D4" s="956"/>
    </row>
    <row r="5" spans="1:14" s="539" customFormat="1" ht="13.2" customHeight="1" thickBot="1" x14ac:dyDescent="0.35">
      <c r="A5" s="624"/>
      <c r="B5" s="627"/>
      <c r="C5" s="627"/>
      <c r="D5" s="631"/>
      <c r="E5"/>
      <c r="F5"/>
      <c r="G5"/>
      <c r="H5" s="633"/>
      <c r="I5" s="633"/>
      <c r="J5" s="633"/>
      <c r="K5" s="633"/>
      <c r="L5" s="633"/>
      <c r="M5" s="633"/>
      <c r="N5" s="633"/>
    </row>
    <row r="6" spans="1:14" ht="22.8" customHeight="1" thickBot="1" x14ac:dyDescent="0.35">
      <c r="A6" s="957" t="s">
        <v>587</v>
      </c>
      <c r="B6" s="958"/>
      <c r="C6" s="958"/>
      <c r="D6" s="958"/>
    </row>
    <row r="7" spans="1:14" s="173" customFormat="1" ht="10.199999999999999" customHeight="1" thickBot="1" x14ac:dyDescent="0.35">
      <c r="A7"/>
      <c r="B7"/>
      <c r="C7"/>
      <c r="D7"/>
      <c r="H7" s="634"/>
      <c r="I7" s="634"/>
      <c r="J7" s="634"/>
      <c r="K7" s="634"/>
      <c r="L7" s="634"/>
      <c r="M7" s="634"/>
      <c r="N7" s="634"/>
    </row>
    <row r="8" spans="1:14" s="173" customFormat="1" ht="36.6" customHeight="1" thickBot="1" x14ac:dyDescent="0.4">
      <c r="A8" s="959" t="s">
        <v>1641</v>
      </c>
      <c r="B8" s="960"/>
      <c r="C8" s="960"/>
      <c r="D8" s="961"/>
      <c r="H8" s="634"/>
      <c r="I8" s="634"/>
      <c r="J8" s="634"/>
      <c r="K8" s="634"/>
      <c r="L8" s="634"/>
      <c r="M8" s="634"/>
      <c r="N8" s="634"/>
    </row>
    <row r="9" spans="1:14" s="539" customFormat="1" ht="13.95" customHeight="1" thickBot="1" x14ac:dyDescent="0.35">
      <c r="A9" s="625"/>
      <c r="B9" s="626"/>
      <c r="C9" s="626"/>
      <c r="D9" s="632"/>
      <c r="E9"/>
      <c r="F9"/>
      <c r="G9"/>
      <c r="H9" s="633"/>
      <c r="I9" s="633"/>
      <c r="J9" s="633"/>
      <c r="K9" s="633"/>
      <c r="L9" s="633"/>
      <c r="M9" s="633"/>
      <c r="N9" s="633"/>
    </row>
    <row r="10" spans="1:14" ht="52.2" customHeight="1" x14ac:dyDescent="0.3">
      <c r="A10" s="731" t="s">
        <v>567</v>
      </c>
      <c r="B10" s="732"/>
      <c r="C10" s="732"/>
      <c r="D10" s="733"/>
      <c r="E10" s="891" t="s">
        <v>1657</v>
      </c>
    </row>
    <row r="11" spans="1:14" s="523" customFormat="1" ht="43.8" customHeight="1" x14ac:dyDescent="0.3">
      <c r="A11" s="665">
        <v>906</v>
      </c>
      <c r="B11" s="666" t="s">
        <v>383</v>
      </c>
      <c r="C11" s="734"/>
      <c r="D11" s="668" t="str">
        <f t="shared" ref="D11:D33" si="0">IF(C11="","This Question must be answered before uploading, the report will not be processed if left blank","")</f>
        <v>This Question must be answered before uploading, the report will not be processed if left blank</v>
      </c>
      <c r="E11" s="868"/>
      <c r="F11"/>
      <c r="G11"/>
      <c r="H11" s="635"/>
      <c r="I11" s="635"/>
      <c r="J11" s="635"/>
      <c r="K11" s="635"/>
      <c r="L11" s="635"/>
      <c r="M11" s="635"/>
      <c r="N11" s="635"/>
    </row>
    <row r="12" spans="1:14" ht="40.200000000000003" customHeight="1" x14ac:dyDescent="0.3">
      <c r="A12" s="665">
        <v>907</v>
      </c>
      <c r="B12" s="666" t="s">
        <v>785</v>
      </c>
      <c r="C12" s="734"/>
      <c r="D12" s="668" t="str">
        <f t="shared" si="0"/>
        <v>This Question must be answered before uploading, the report will not be processed if left blank</v>
      </c>
      <c r="E12" s="869"/>
      <c r="H12" s="635"/>
      <c r="I12" s="635"/>
      <c r="J12" s="635"/>
      <c r="K12" s="635"/>
      <c r="L12" s="635"/>
      <c r="M12" s="635"/>
    </row>
    <row r="13" spans="1:14" s="173" customFormat="1" ht="47.4" customHeight="1" x14ac:dyDescent="0.3">
      <c r="A13" s="811">
        <v>1055</v>
      </c>
      <c r="B13" s="666" t="s">
        <v>781</v>
      </c>
      <c r="C13" s="734"/>
      <c r="D13" s="810" t="str">
        <f>IF(C13="","This question must be answered before uploading. The report will not be processed if left blank.",IF(C13="Yes"," Financial Performance Indicator of Concern that requires a response.  Please provide source document and page number in cell E13.",""))</f>
        <v>This question must be answered before uploading. The report will not be processed if left blank.</v>
      </c>
      <c r="E13" s="869"/>
      <c r="F13"/>
      <c r="G13"/>
      <c r="H13" s="635"/>
      <c r="I13" s="635"/>
      <c r="J13" s="635"/>
      <c r="K13" s="635"/>
      <c r="L13" s="635"/>
      <c r="M13" s="635"/>
      <c r="N13" s="634"/>
    </row>
    <row r="14" spans="1:14" s="173" customFormat="1" ht="50.4" customHeight="1" x14ac:dyDescent="0.3">
      <c r="A14" s="811">
        <v>1056</v>
      </c>
      <c r="B14" s="666" t="s">
        <v>782</v>
      </c>
      <c r="C14" s="734"/>
      <c r="D14" s="810" t="str">
        <f>IF(C14="","This question must be answered before uploading. The report will not be processed if left blank.",IF(C14="Yes","Financial Performance Indicator of Concern that requires a response.  Please provide source document and page number in cell E14.",""))</f>
        <v>This question must be answered before uploading. The report will not be processed if left blank.</v>
      </c>
      <c r="E14" s="869"/>
      <c r="F14"/>
      <c r="G14"/>
      <c r="H14" s="635"/>
      <c r="I14" s="635"/>
      <c r="J14" s="635"/>
      <c r="K14" s="635"/>
      <c r="L14" s="635"/>
      <c r="M14" s="635"/>
      <c r="N14" s="634"/>
    </row>
    <row r="15" spans="1:14" s="173" customFormat="1" ht="45.6" customHeight="1" x14ac:dyDescent="0.3">
      <c r="A15" s="665">
        <v>1057</v>
      </c>
      <c r="B15" s="666" t="s">
        <v>1658</v>
      </c>
      <c r="C15" s="734"/>
      <c r="D15" s="810" t="str">
        <f>IF(C15="","This question must be answered before uploading. The report will not be processed if left blank.",IF(C15="Yes","Financial Performance Indicator of Concern that requires a response.  Please provide source document and page number in cell E15.",""))</f>
        <v>This question must be answered before uploading. The report will not be processed if left blank.</v>
      </c>
      <c r="E15" s="869"/>
      <c r="F15"/>
      <c r="G15"/>
      <c r="H15" s="635"/>
      <c r="I15" s="635"/>
      <c r="J15" s="635"/>
      <c r="K15" s="635"/>
      <c r="L15" s="635"/>
      <c r="M15" s="635"/>
      <c r="N15" s="634"/>
    </row>
    <row r="16" spans="1:14" ht="44.4" customHeight="1" x14ac:dyDescent="0.3">
      <c r="A16" s="811">
        <v>1058</v>
      </c>
      <c r="B16" s="787" t="s">
        <v>1659</v>
      </c>
      <c r="C16" s="734"/>
      <c r="D16" s="810" t="str">
        <f>IF(C16="","This question must be answered before uploading. The report will not be processed if left blank.",IF(C16="Yes","Financial Performance Indicator of Concern that requires a response.  Please provide source document and page number in cell E16.",""))</f>
        <v>This question must be answered before uploading. The report will not be processed if left blank.</v>
      </c>
      <c r="E16" s="869"/>
    </row>
    <row r="17" spans="1:14" ht="72.599999999999994" customHeight="1" x14ac:dyDescent="0.3">
      <c r="A17" s="665">
        <v>1059</v>
      </c>
      <c r="B17" s="666" t="s">
        <v>1660</v>
      </c>
      <c r="C17" s="734"/>
      <c r="D17" s="668" t="str">
        <f>IF(C17="","This question must be answered before uploading. The report will not be processed if left blank.",IF(C17="No","Financial Performance Indicator of Concern that requires a response.  Please provide source document and page number in cell E17.",""))</f>
        <v>This question must be answered before uploading. The report will not be processed if left blank.</v>
      </c>
      <c r="E17" s="869"/>
      <c r="H17" s="635"/>
      <c r="I17" s="635"/>
      <c r="J17" s="635"/>
      <c r="K17" s="635"/>
      <c r="L17" s="635"/>
      <c r="M17" s="635"/>
    </row>
    <row r="18" spans="1:14" s="173" customFormat="1" ht="60.6" customHeight="1" x14ac:dyDescent="0.3">
      <c r="A18" s="628">
        <v>1078</v>
      </c>
      <c r="B18" s="629" t="s">
        <v>1661</v>
      </c>
      <c r="C18" s="734"/>
      <c r="D18" s="668" t="str">
        <f>IF(C18="","This question must be answered before uploading. The report will not be processed if left blank.",IF(C18="Yes","Please provide source document and page number in cell E18.",""))</f>
        <v>This question must be answered before uploading. The report will not be processed if left blank.</v>
      </c>
      <c r="E18" s="869"/>
      <c r="H18" s="635"/>
      <c r="I18" s="635"/>
      <c r="J18" s="635"/>
      <c r="K18" s="635"/>
      <c r="L18" s="635"/>
      <c r="M18" s="635"/>
      <c r="N18" s="634"/>
    </row>
    <row r="19" spans="1:14" s="173" customFormat="1" ht="60.6" customHeight="1" x14ac:dyDescent="0.3">
      <c r="A19" s="628">
        <v>1067</v>
      </c>
      <c r="B19" s="630" t="s">
        <v>1662</v>
      </c>
      <c r="C19" s="734"/>
      <c r="D19" s="668" t="str">
        <f>IF(C19="","This question must be answered before uploading. The report will not be processed if left blank.",IF(C19="No","Financial Performance Indicator of Concern that requires a response.  Please provide source document and page number in cell E19.",""))</f>
        <v>This question must be answered before uploading. The report will not be processed if left blank.</v>
      </c>
      <c r="E19" s="869"/>
      <c r="H19" s="635"/>
      <c r="I19" s="635"/>
      <c r="J19" s="635"/>
      <c r="K19" s="635"/>
      <c r="L19" s="635"/>
      <c r="M19" s="635"/>
      <c r="N19" s="634"/>
    </row>
    <row r="20" spans="1:14" ht="40.200000000000003" customHeight="1" x14ac:dyDescent="0.3">
      <c r="A20" s="665">
        <v>951</v>
      </c>
      <c r="B20" s="666" t="s">
        <v>786</v>
      </c>
      <c r="C20" s="734"/>
      <c r="D20" s="668" t="str">
        <f t="shared" si="0"/>
        <v>This Question must be answered before uploading, the report will not be processed if left blank</v>
      </c>
      <c r="E20" s="869"/>
      <c r="H20" s="635"/>
      <c r="I20" s="635"/>
      <c r="J20" s="635"/>
      <c r="K20" s="635"/>
      <c r="L20" s="635"/>
      <c r="M20" s="635"/>
    </row>
    <row r="21" spans="1:14" ht="40.200000000000003" customHeight="1" x14ac:dyDescent="0.3">
      <c r="A21" s="665">
        <v>953</v>
      </c>
      <c r="B21" s="666" t="s">
        <v>1663</v>
      </c>
      <c r="C21" s="734"/>
      <c r="D21" s="668" t="str">
        <f t="shared" si="0"/>
        <v>This Question must be answered before uploading, the report will not be processed if left blank</v>
      </c>
      <c r="E21" s="869"/>
      <c r="H21" s="635"/>
      <c r="I21" s="635"/>
      <c r="J21" s="635"/>
      <c r="K21" s="635"/>
      <c r="L21" s="635"/>
      <c r="M21" s="635"/>
    </row>
    <row r="22" spans="1:14" ht="49.8" customHeight="1" x14ac:dyDescent="0.3">
      <c r="A22" s="665">
        <v>955</v>
      </c>
      <c r="B22" s="666" t="s">
        <v>1664</v>
      </c>
      <c r="C22" s="734"/>
      <c r="D22" s="668" t="str">
        <f>IF(C22="","This question must be answered before uploading. The report will not be processed if left blank.",IF(C22&gt;0,"Financial Performance Indicator of Concern that requires a response.  Please provide source document and page number in E22.",""))</f>
        <v>This question must be answered before uploading. The report will not be processed if left blank.</v>
      </c>
      <c r="E22" s="869"/>
      <c r="H22" s="635"/>
      <c r="I22" s="635"/>
      <c r="J22" s="635"/>
      <c r="K22" s="635"/>
      <c r="L22" s="635"/>
      <c r="M22" s="635"/>
    </row>
    <row r="23" spans="1:14" ht="67.2" customHeight="1" x14ac:dyDescent="0.3">
      <c r="A23" s="665">
        <v>957</v>
      </c>
      <c r="B23" s="666" t="s">
        <v>1665</v>
      </c>
      <c r="C23" s="734"/>
      <c r="D23" s="668" t="str">
        <f>IF(C23="","This question must be answered before uploading. The report will not be processed if left blank.",IF(C23&gt;0,"Financial Performance Indicator of Concern that requires a response.  Please provide source document and page number in E23.",""))</f>
        <v>This question must be answered before uploading. The report will not be processed if left blank.</v>
      </c>
      <c r="E23" s="869"/>
      <c r="H23" s="635"/>
      <c r="I23" s="635"/>
      <c r="J23" s="635"/>
      <c r="K23" s="635"/>
      <c r="L23" s="635"/>
      <c r="M23" s="635"/>
    </row>
    <row r="24" spans="1:14" s="173" customFormat="1" ht="96.6" customHeight="1" x14ac:dyDescent="0.3">
      <c r="A24" s="665">
        <v>973</v>
      </c>
      <c r="B24" s="666" t="s">
        <v>1666</v>
      </c>
      <c r="C24" s="734"/>
      <c r="D24" s="668" t="str">
        <f>IF(C24="","This question must be answered before uploading. The report will not be processed if left blank.",IF(C24&gt;0,"Financial Performance Indicator of Concern that requires a response.",""))</f>
        <v>This question must be answered before uploading. The report will not be processed if left blank.</v>
      </c>
      <c r="E24" s="869"/>
      <c r="F24"/>
      <c r="G24"/>
      <c r="H24" s="635"/>
      <c r="I24" s="635"/>
      <c r="J24" s="635"/>
      <c r="K24" s="635"/>
      <c r="L24" s="635"/>
      <c r="M24" s="635"/>
      <c r="N24" s="634"/>
    </row>
    <row r="25" spans="1:14" s="173" customFormat="1" ht="46.2" customHeight="1" x14ac:dyDescent="0.3">
      <c r="A25" s="665">
        <v>959</v>
      </c>
      <c r="B25" s="666" t="s">
        <v>445</v>
      </c>
      <c r="C25" s="734"/>
      <c r="D25" s="810" t="str">
        <f>IF(C25="","This question must be answered before uploading. The report will not be processed if left blank.",IF(C25="Yes","Financial Performance Indicator of Concern that requires a response.  Please provide  source document and page number in cell E25.",""))</f>
        <v>This question must be answered before uploading. The report will not be processed if left blank.</v>
      </c>
      <c r="E25" s="869"/>
      <c r="F25"/>
      <c r="G25"/>
      <c r="H25" s="635"/>
      <c r="I25" s="635"/>
      <c r="J25" s="635"/>
      <c r="K25" s="635"/>
      <c r="L25" s="635"/>
      <c r="M25" s="635"/>
      <c r="N25" s="634"/>
    </row>
    <row r="26" spans="1:14" ht="67.2" customHeight="1" x14ac:dyDescent="0.3">
      <c r="A26" s="665">
        <v>974</v>
      </c>
      <c r="B26" s="666" t="s">
        <v>448</v>
      </c>
      <c r="C26" s="734"/>
      <c r="D26" s="810" t="str">
        <f>IF(C26="","This question must be answered before uploading. The report will not be processed if left blank.",IF(C26="Yes","Financial Performance Indicator of Concern that requires a response.  Please provide source document and page number in cell E26.",""))</f>
        <v>This question must be answered before uploading. The report will not be processed if left blank.</v>
      </c>
      <c r="E26" s="869"/>
      <c r="H26" s="635"/>
      <c r="I26" s="635"/>
      <c r="J26" s="635"/>
      <c r="K26" s="635"/>
      <c r="L26" s="635"/>
      <c r="M26" s="635"/>
    </row>
    <row r="27" spans="1:14" ht="40.200000000000003" customHeight="1" x14ac:dyDescent="0.3">
      <c r="A27" s="665" t="s">
        <v>418</v>
      </c>
      <c r="B27" s="666" t="s">
        <v>2095</v>
      </c>
      <c r="C27" s="734"/>
      <c r="D27" s="668" t="str">
        <f>IF(C27="","This Question must be answered before uploading, the report will not be processed if left blank",IF(C27="Yes","Please submit copy via LGC File Portal.",""))</f>
        <v>This Question must be answered before uploading, the report will not be processed if left blank</v>
      </c>
      <c r="E27" s="869"/>
      <c r="H27" s="635"/>
      <c r="I27" s="635"/>
      <c r="J27" s="635"/>
      <c r="K27" s="635"/>
      <c r="L27" s="635"/>
      <c r="M27" s="635"/>
    </row>
    <row r="28" spans="1:14" ht="40.200000000000003" customHeight="1" x14ac:dyDescent="0.3">
      <c r="A28" s="665" t="s">
        <v>419</v>
      </c>
      <c r="B28" s="666" t="s">
        <v>1667</v>
      </c>
      <c r="C28" s="734"/>
      <c r="D28" s="668" t="str">
        <f t="shared" ref="D28:D29" si="1">IF(C28="","This Question must be answered before uploading, the report will not be processed if left blank",IF(C28="Yes","Please submit copy via LGC File Portal.",""))</f>
        <v>This Question must be answered before uploading, the report will not be processed if left blank</v>
      </c>
      <c r="E28" s="869"/>
      <c r="H28" s="635"/>
      <c r="I28" s="635"/>
      <c r="J28" s="635"/>
      <c r="K28" s="635"/>
      <c r="L28" s="635"/>
      <c r="M28" s="635"/>
    </row>
    <row r="29" spans="1:14" ht="40.200000000000003" customHeight="1" x14ac:dyDescent="0.3">
      <c r="A29" s="665" t="s">
        <v>420</v>
      </c>
      <c r="B29" s="666" t="s">
        <v>1668</v>
      </c>
      <c r="C29" s="734"/>
      <c r="D29" s="668" t="str">
        <f t="shared" si="1"/>
        <v>This Question must be answered before uploading, the report will not be processed if left blank</v>
      </c>
      <c r="E29" s="869"/>
      <c r="H29" s="635"/>
      <c r="I29" s="635"/>
      <c r="J29" s="635"/>
      <c r="K29" s="635"/>
      <c r="L29" s="635"/>
      <c r="M29" s="635"/>
    </row>
    <row r="30" spans="1:14" s="173" customFormat="1" ht="40.200000000000003" customHeight="1" x14ac:dyDescent="0.3">
      <c r="A30" s="812" t="s">
        <v>1669</v>
      </c>
      <c r="B30" s="813" t="s">
        <v>1743</v>
      </c>
      <c r="C30" s="735">
        <v>45473</v>
      </c>
      <c r="D30" s="867" t="s">
        <v>1745</v>
      </c>
      <c r="E30" s="869"/>
      <c r="H30" s="635"/>
      <c r="I30" s="635"/>
      <c r="J30" s="635"/>
      <c r="K30" s="635"/>
      <c r="L30" s="635"/>
      <c r="M30" s="635"/>
      <c r="N30" s="634"/>
    </row>
    <row r="31" spans="1:14" ht="40.200000000000003" customHeight="1" x14ac:dyDescent="0.3">
      <c r="A31" s="665">
        <v>1079</v>
      </c>
      <c r="B31" s="666" t="s">
        <v>1670</v>
      </c>
      <c r="C31" s="735"/>
      <c r="D31" s="810" t="str">
        <f>IF(C31="","This question must be answered before uploading. The report will not be processed if left blank.",IF(C31&gt;'Performance  Indicators Print'!N23,"Financial Performance Indicator of Concern that requires a response.",""))</f>
        <v>This question must be answered before uploading. The report will not be processed if left blank.</v>
      </c>
      <c r="E31" s="869"/>
      <c r="H31" s="635"/>
      <c r="I31" s="635"/>
      <c r="J31" s="635"/>
      <c r="K31" s="635"/>
      <c r="L31" s="635"/>
      <c r="M31" s="635"/>
    </row>
    <row r="32" spans="1:14" ht="52.95" customHeight="1" x14ac:dyDescent="0.3">
      <c r="A32" s="665">
        <v>980</v>
      </c>
      <c r="B32" s="666" t="s">
        <v>1744</v>
      </c>
      <c r="C32" s="735"/>
      <c r="D32" s="668" t="str">
        <f t="shared" si="0"/>
        <v>This Question must be answered before uploading, the report will not be processed if left blank</v>
      </c>
      <c r="E32" s="869"/>
      <c r="H32"/>
      <c r="I32"/>
      <c r="J32"/>
      <c r="K32"/>
      <c r="L32"/>
      <c r="M32"/>
      <c r="N32"/>
    </row>
    <row r="33" spans="1:14" ht="40.200000000000003" customHeight="1" x14ac:dyDescent="0.3">
      <c r="A33" s="873">
        <v>975</v>
      </c>
      <c r="B33" s="874" t="s">
        <v>1671</v>
      </c>
      <c r="C33" s="875"/>
      <c r="D33" s="876" t="str">
        <f t="shared" si="0"/>
        <v>This Question must be answered before uploading, the report will not be processed if left blank</v>
      </c>
      <c r="E33" s="869"/>
      <c r="H33" s="635"/>
      <c r="I33" s="635"/>
      <c r="J33" s="635"/>
      <c r="K33" s="635"/>
      <c r="L33" s="635"/>
      <c r="M33" s="635"/>
    </row>
    <row r="34" spans="1:14" s="173" customFormat="1" ht="40.200000000000003" customHeight="1" x14ac:dyDescent="0.3">
      <c r="A34" s="878" t="s">
        <v>1672</v>
      </c>
      <c r="B34" s="879"/>
      <c r="C34" s="880"/>
      <c r="D34" s="890"/>
      <c r="E34" s="869"/>
      <c r="H34" s="635"/>
      <c r="I34" s="635"/>
      <c r="J34" s="635"/>
      <c r="K34" s="635"/>
      <c r="L34" s="635"/>
      <c r="M34" s="635"/>
      <c r="N34" s="634"/>
    </row>
    <row r="35" spans="1:14" s="173" customFormat="1" ht="40.200000000000003" customHeight="1" x14ac:dyDescent="0.3">
      <c r="A35" s="916">
        <v>1068</v>
      </c>
      <c r="B35" s="917" t="s">
        <v>1673</v>
      </c>
      <c r="C35" s="877"/>
      <c r="D35" s="896" t="str">
        <f>IF(C35="","This Question must be answered before uploading, the report will not be processed if left blank","")</f>
        <v>This Question must be answered before uploading, the report will not be processed if left blank</v>
      </c>
      <c r="E35" s="869"/>
      <c r="H35" s="635"/>
      <c r="I35" s="635"/>
      <c r="J35" s="635"/>
      <c r="K35" s="635"/>
      <c r="L35" s="635"/>
      <c r="M35" s="635"/>
      <c r="N35" s="634"/>
    </row>
    <row r="36" spans="1:14" s="173" customFormat="1" ht="40.200000000000003" customHeight="1" x14ac:dyDescent="0.3">
      <c r="A36" s="665">
        <v>1069</v>
      </c>
      <c r="B36" s="666" t="s">
        <v>1674</v>
      </c>
      <c r="C36" s="734"/>
      <c r="D36" s="668" t="str">
        <f t="shared" ref="D36:D38" si="2">IF(C36="","This Question must be answered before uploading, the report will not be processed if left blank","")</f>
        <v>This Question must be answered before uploading, the report will not be processed if left blank</v>
      </c>
      <c r="E36" s="869"/>
      <c r="H36" s="635"/>
      <c r="I36" s="635"/>
      <c r="J36" s="635"/>
      <c r="K36" s="635"/>
      <c r="L36" s="635"/>
      <c r="M36" s="635"/>
      <c r="N36" s="634"/>
    </row>
    <row r="37" spans="1:14" s="173" customFormat="1" ht="40.200000000000003" customHeight="1" x14ac:dyDescent="0.3">
      <c r="A37" s="665">
        <v>1070</v>
      </c>
      <c r="B37" s="666" t="s">
        <v>1675</v>
      </c>
      <c r="C37" s="734"/>
      <c r="D37" s="668" t="str">
        <f t="shared" si="2"/>
        <v>This Question must be answered before uploading, the report will not be processed if left blank</v>
      </c>
      <c r="E37" s="869"/>
      <c r="H37" s="635"/>
      <c r="I37" s="635"/>
      <c r="J37" s="635"/>
      <c r="K37" s="635"/>
      <c r="L37" s="635"/>
      <c r="M37" s="635"/>
      <c r="N37" s="634"/>
    </row>
    <row r="38" spans="1:14" s="173" customFormat="1" ht="40.200000000000003" customHeight="1" x14ac:dyDescent="0.3">
      <c r="A38" s="665">
        <v>1071</v>
      </c>
      <c r="B38" s="666" t="s">
        <v>1720</v>
      </c>
      <c r="C38" s="814"/>
      <c r="D38" s="668" t="str">
        <f t="shared" si="2"/>
        <v>This Question must be answered before uploading, the report will not be processed if left blank</v>
      </c>
      <c r="E38" s="869"/>
      <c r="H38" s="635"/>
      <c r="I38" s="635"/>
      <c r="J38" s="635"/>
      <c r="K38" s="635"/>
      <c r="L38" s="635"/>
      <c r="M38" s="635"/>
      <c r="N38" s="634"/>
    </row>
    <row r="39" spans="1:14" x14ac:dyDescent="0.3">
      <c r="A39" s="538"/>
      <c r="B39" s="623"/>
      <c r="C39" s="871"/>
      <c r="D39" s="623"/>
      <c r="E39" s="870"/>
    </row>
    <row r="40" spans="1:14" s="173" customFormat="1" ht="40.200000000000003" customHeight="1" x14ac:dyDescent="0.3">
      <c r="A40" s="665" t="s">
        <v>421</v>
      </c>
      <c r="B40" s="669" t="str">
        <f>IF(D40="","This Question must be answered before uploading, the report will not be processed if left blank","")</f>
        <v>This Question must be answered before uploading, the report will not be processed if left blank</v>
      </c>
      <c r="C40" s="894" t="s">
        <v>384</v>
      </c>
      <c r="D40" s="736"/>
      <c r="E40" s="870"/>
      <c r="F40"/>
      <c r="G40"/>
      <c r="H40" s="634"/>
      <c r="I40" s="634"/>
      <c r="J40" s="634"/>
      <c r="K40" s="634"/>
      <c r="L40" s="634"/>
      <c r="M40" s="634"/>
      <c r="N40" s="634"/>
    </row>
    <row r="41" spans="1:14" ht="14.4" customHeight="1" x14ac:dyDescent="0.3">
      <c r="A41" s="796"/>
      <c r="B41" s="623"/>
      <c r="C41" s="895"/>
      <c r="D41" s="623"/>
      <c r="E41" s="870"/>
    </row>
    <row r="42" spans="1:14" ht="40.200000000000003" customHeight="1" x14ac:dyDescent="0.3">
      <c r="A42" s="665" t="s">
        <v>422</v>
      </c>
      <c r="B42" s="669" t="str">
        <f>IF(D42="","This Question must be answered before uploading, the report will not be processed if left blank","")</f>
        <v>This Question must be answered before uploading, the report will not be processed if left blank</v>
      </c>
      <c r="C42" s="894" t="s">
        <v>385</v>
      </c>
      <c r="D42" s="736"/>
      <c r="E42" s="870"/>
    </row>
    <row r="43" spans="1:14" ht="14.4" customHeight="1" x14ac:dyDescent="0.3">
      <c r="A43" s="796"/>
      <c r="B43" s="623"/>
      <c r="C43" s="895"/>
      <c r="D43" s="623"/>
      <c r="E43" s="870"/>
    </row>
    <row r="44" spans="1:14" s="173" customFormat="1" ht="40.200000000000003" customHeight="1" x14ac:dyDescent="0.3">
      <c r="A44" s="665" t="s">
        <v>585</v>
      </c>
      <c r="B44" s="669" t="str">
        <f>IF(D44="","This Question must be answered before uploading, the report will not be processed if left blank","")</f>
        <v>This Question must be answered before uploading, the report will not be processed if left blank</v>
      </c>
      <c r="C44" s="894" t="s">
        <v>789</v>
      </c>
      <c r="D44" s="764"/>
      <c r="E44" s="870"/>
      <c r="F44"/>
      <c r="G44"/>
      <c r="H44" s="634"/>
      <c r="I44" s="634"/>
      <c r="J44" s="634"/>
      <c r="K44" s="634"/>
      <c r="L44" s="634"/>
      <c r="M44" s="634"/>
      <c r="N44" s="634"/>
    </row>
    <row r="48" spans="1:14" x14ac:dyDescent="0.3">
      <c r="D48" s="483" t="s">
        <v>300</v>
      </c>
    </row>
    <row r="52" spans="1:4" x14ac:dyDescent="0.3">
      <c r="A52" s="737"/>
      <c r="B52" s="738" t="s">
        <v>386</v>
      </c>
      <c r="C52" s="739">
        <v>1</v>
      </c>
      <c r="D52" s="740"/>
    </row>
    <row r="53" spans="1:4" x14ac:dyDescent="0.3">
      <c r="A53" s="741"/>
      <c r="B53" s="742" t="s">
        <v>387</v>
      </c>
      <c r="C53" s="743">
        <v>45535</v>
      </c>
      <c r="D53" s="744"/>
    </row>
    <row r="54" spans="1:4" x14ac:dyDescent="0.3">
      <c r="B54" s="539"/>
      <c r="C54" s="623"/>
    </row>
    <row r="55" spans="1:4" x14ac:dyDescent="0.3">
      <c r="B55" s="539"/>
      <c r="C55" s="623"/>
    </row>
  </sheetData>
  <sheetProtection algorithmName="SHA-512" hashValue="qFyAQCUTIZi2VVefMEwT0IItI4klMgNtiiwKCEXthfRApudoPcWnshfILf5V+/NalOECKo6gKdgIgH0gX1/3ZQ==" saltValue="H4iKcWYRfZH5RIdXXFX3hQ==" spinCount="100000" sheet="1" objects="1" scenarios="1"/>
  <mergeCells count="4">
    <mergeCell ref="A2:D2"/>
    <mergeCell ref="A4:D4"/>
    <mergeCell ref="A6:D6"/>
    <mergeCell ref="A8:D8"/>
  </mergeCells>
  <conditionalFormatting sqref="E13">
    <cfRule type="expression" dxfId="71" priority="13">
      <formula>C13="Yes"</formula>
    </cfRule>
  </conditionalFormatting>
  <conditionalFormatting sqref="E14">
    <cfRule type="expression" dxfId="70" priority="12">
      <formula>C14="Yes"</formula>
    </cfRule>
  </conditionalFormatting>
  <conditionalFormatting sqref="E15">
    <cfRule type="expression" dxfId="69" priority="11">
      <formula>C15="Yes"</formula>
    </cfRule>
  </conditionalFormatting>
  <conditionalFormatting sqref="E16">
    <cfRule type="expression" dxfId="68" priority="9">
      <formula>C16="Yes"</formula>
    </cfRule>
  </conditionalFormatting>
  <conditionalFormatting sqref="E17">
    <cfRule type="expression" dxfId="67" priority="8">
      <formula>C17="No"</formula>
    </cfRule>
  </conditionalFormatting>
  <conditionalFormatting sqref="E18">
    <cfRule type="expression" dxfId="66" priority="7">
      <formula>$C$18="Yes"</formula>
    </cfRule>
  </conditionalFormatting>
  <conditionalFormatting sqref="E19">
    <cfRule type="expression" dxfId="65" priority="6">
      <formula>C19="No"</formula>
    </cfRule>
  </conditionalFormatting>
  <conditionalFormatting sqref="E22">
    <cfRule type="expression" dxfId="64" priority="5">
      <formula>$C$22&gt;0</formula>
    </cfRule>
  </conditionalFormatting>
  <conditionalFormatting sqref="E23">
    <cfRule type="expression" dxfId="63" priority="4">
      <formula>$C$23&gt;0</formula>
    </cfRule>
  </conditionalFormatting>
  <conditionalFormatting sqref="E25">
    <cfRule type="expression" dxfId="62" priority="3">
      <formula>C25="Yes"</formula>
    </cfRule>
  </conditionalFormatting>
  <conditionalFormatting sqref="E26">
    <cfRule type="expression" dxfId="61" priority="2">
      <formula>C26="Yes"</formula>
    </cfRule>
  </conditionalFormatting>
  <conditionalFormatting sqref="E31">
    <cfRule type="expression" dxfId="60" priority="1">
      <formula>$D$31="Financial Performance Indicator of Concern that requires a response."</formula>
    </cfRule>
  </conditionalFormatting>
  <dataValidations count="11">
    <dataValidation type="list" allowBlank="1" showInputMessage="1" showErrorMessage="1" prompt="Please select Yes or No from the drop down list" sqref="C21 C27:C29 C19 C15:C17 C33:C35 C37" xr:uid="{42DC82DB-0AE6-4795-B8A2-67794DECDEAD}">
      <formula1>"Yes, No"</formula1>
    </dataValidation>
    <dataValidation type="whole" operator="greaterThan" allowBlank="1" showInputMessage="1" showErrorMessage="1" prompt="Please enter a whole number.  If there are no findings please enter 0" sqref="C22:C24" xr:uid="{22039F36-BF2D-4D90-ACF3-F17B7FAD9827}">
      <formula1>-1</formula1>
    </dataValidation>
    <dataValidation type="list" allowBlank="1" showInputMessage="1" showErrorMessage="1" prompt="Please select Yes, No or N/A from the drop down list" sqref="C25:C26 C36" xr:uid="{1338E819-A8A7-4AB4-965C-9AAE0E62C78A}">
      <formula1>"Yes, No, N/A"</formula1>
    </dataValidation>
    <dataValidation type="date" operator="greaterThan" showInputMessage="1" showErrorMessage="1" promptTitle="MM/DD/YYYY" prompt="This cannot be blank" sqref="C32" xr:uid="{F2F609DE-2DD8-4C56-AEA4-B39EA636E384}">
      <formula1>45107</formula1>
    </dataValidation>
    <dataValidation type="list" allowBlank="1" showInputMessage="1" showErrorMessage="1" prompt="Please select Yes or No from the drop down list" sqref="C32" xr:uid="{B4C96C02-4742-4E38-B12A-360ABBD230F0}">
      <formula1>"Yes,No"</formula1>
    </dataValidation>
    <dataValidation type="list" allowBlank="1" showInputMessage="1" showErrorMessage="1" sqref="C32" xr:uid="{C1CF9E65-608C-4B9B-B8C1-8E5A300F6B99}">
      <formula1>"Yes, No"</formula1>
    </dataValidation>
    <dataValidation type="list" allowBlank="1" showInputMessage="1" showErrorMessage="1" sqref="C32" xr:uid="{2F6B1B33-D794-41C2-9ACB-1601D80589F6}">
      <formula1>"Yes,No"</formula1>
    </dataValidation>
    <dataValidation type="list" allowBlank="1" showInputMessage="1" showErrorMessage="1" prompt="Please select Yes or No from the drop down list." sqref="C11:C14 C20" xr:uid="{09FCC64E-5331-4E1E-8B61-60F4B5075DD5}">
      <formula1>"Yes, No"</formula1>
    </dataValidation>
    <dataValidation type="date" operator="greaterThan" allowBlank="1" showInputMessage="1" showErrorMessage="1" sqref="D44" xr:uid="{22BF405D-0813-42A6-A8B6-5986117A42CC}">
      <formula1>45107</formula1>
    </dataValidation>
    <dataValidation type="list" allowBlank="1" showInputMessage="1" showErrorMessage="1" prompt="Please select Yes, No or N/A from the dropdown list." sqref="C18" xr:uid="{C1BD4E08-9D30-436E-A90A-B7558807136A}">
      <formula1>"Yes, No, N/A"</formula1>
    </dataValidation>
    <dataValidation type="custom" allowBlank="1" showInputMessage="1" showErrorMessage="1" error="Submit Date is prior to fiscal year end." sqref="C31" xr:uid="{6AFDAFF0-46B3-4C24-B178-BE9B728A05B4}">
      <formula1>C30&lt;C31</formula1>
    </dataValidation>
  </dataValidations>
  <pageMargins left="0.7" right="0.7" top="0.75" bottom="0.75" header="0.3" footer="0.3"/>
  <pageSetup scale="50" orientation="portrait" r:id="rId1"/>
  <rowBreaks count="1" manualBreakCount="1">
    <brk id="44" max="1638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C707-5E48-4ACE-9ED0-D0FEE0779031}">
  <sheetPr>
    <pageSetUpPr fitToPage="1"/>
  </sheetPr>
  <dimension ref="A1:CC38"/>
  <sheetViews>
    <sheetView showGridLines="0" zoomScale="80" zoomScaleNormal="80" workbookViewId="0">
      <selection activeCell="F4" sqref="F4:G5"/>
    </sheetView>
  </sheetViews>
  <sheetFormatPr defaultColWidth="9.109375" defaultRowHeight="14.4" x14ac:dyDescent="0.3"/>
  <cols>
    <col min="1" max="1" width="6.33203125" style="485" customWidth="1"/>
    <col min="2" max="2" width="57.6640625" style="485" customWidth="1"/>
    <col min="3" max="3" width="14.44140625" style="485" customWidth="1"/>
    <col min="4" max="4" width="15.88671875" style="485" customWidth="1"/>
    <col min="5" max="5" width="16.21875" style="485" customWidth="1"/>
    <col min="6" max="6" width="18.44140625" style="485" customWidth="1"/>
    <col min="7" max="7" width="16.21875" style="485" customWidth="1"/>
    <col min="8" max="8" width="71.44140625" style="485" customWidth="1"/>
    <col min="9" max="9" width="56.77734375" style="486" customWidth="1"/>
    <col min="10" max="10" width="46.109375" style="486" customWidth="1"/>
    <col min="11" max="11" width="9.5546875" style="621" hidden="1" customWidth="1"/>
    <col min="12" max="12" width="20.44140625" style="597" hidden="1" customWidth="1"/>
    <col min="13" max="14" width="15.6640625" style="597" hidden="1" customWidth="1"/>
    <col min="15" max="15" width="17.88671875" style="597" hidden="1" customWidth="1"/>
    <col min="16" max="16" width="11.109375" style="598" hidden="1" customWidth="1"/>
    <col min="17" max="18" width="9.109375" style="599" customWidth="1"/>
    <col min="19" max="59" width="9.109375" style="599"/>
    <col min="60" max="16384" width="9.109375" style="485"/>
  </cols>
  <sheetData>
    <row r="1" spans="1:78" ht="40.5" customHeight="1" thickBot="1" x14ac:dyDescent="0.35">
      <c r="A1" s="549"/>
      <c r="B1" s="964" t="s">
        <v>746</v>
      </c>
      <c r="C1" s="964"/>
      <c r="D1" s="964"/>
      <c r="E1" s="964"/>
      <c r="F1" s="964"/>
      <c r="G1" s="964"/>
      <c r="H1" s="965"/>
      <c r="I1" s="962"/>
      <c r="J1" s="963"/>
      <c r="K1" s="596"/>
    </row>
    <row r="2" spans="1:78" ht="72" customHeight="1" thickBot="1" x14ac:dyDescent="0.35">
      <c r="A2" s="550"/>
      <c r="B2" s="966" t="s">
        <v>747</v>
      </c>
      <c r="C2" s="967"/>
      <c r="D2" s="967"/>
      <c r="E2" s="967"/>
      <c r="F2" s="967"/>
      <c r="G2" s="967"/>
      <c r="H2" s="968"/>
      <c r="I2" s="981" t="s">
        <v>748</v>
      </c>
      <c r="J2" s="984" t="s">
        <v>806</v>
      </c>
      <c r="K2" s="600"/>
    </row>
    <row r="3" spans="1:78" ht="15" customHeight="1" thickBot="1" x14ac:dyDescent="0.35">
      <c r="A3" s="551"/>
      <c r="B3" s="552"/>
      <c r="C3" s="553"/>
      <c r="D3" s="553"/>
      <c r="E3" s="553"/>
      <c r="F3" s="553"/>
      <c r="G3" s="554"/>
      <c r="H3" s="595"/>
      <c r="I3" s="982"/>
      <c r="J3" s="985"/>
      <c r="K3" s="600"/>
    </row>
    <row r="4" spans="1:78" ht="21.75" customHeight="1" thickBot="1" x14ac:dyDescent="0.35">
      <c r="A4" s="555"/>
      <c r="B4" s="556" t="s">
        <v>417</v>
      </c>
      <c r="C4" s="969" t="str">
        <f>'Unit Data from Audit Worksheet'!D2</f>
        <v>Select Unit Name from Drop Down List</v>
      </c>
      <c r="D4" s="970"/>
      <c r="E4" s="971"/>
      <c r="F4" s="972" t="s">
        <v>1746</v>
      </c>
      <c r="G4" s="973"/>
      <c r="H4" s="976" t="s">
        <v>803</v>
      </c>
      <c r="I4" s="982"/>
      <c r="J4" s="985"/>
      <c r="K4" s="601"/>
      <c r="L4" s="602"/>
    </row>
    <row r="5" spans="1:78" ht="21.6" thickBot="1" x14ac:dyDescent="0.35">
      <c r="A5" s="557"/>
      <c r="B5" s="558" t="s">
        <v>402</v>
      </c>
      <c r="C5" s="978" t="e">
        <f>'Unit Data from Audit Worksheet'!D3</f>
        <v>#N/A</v>
      </c>
      <c r="D5" s="979"/>
      <c r="E5" s="980"/>
      <c r="F5" s="974"/>
      <c r="G5" s="975"/>
      <c r="H5" s="977"/>
      <c r="I5" s="982"/>
      <c r="J5" s="985"/>
      <c r="K5" s="603"/>
      <c r="L5" s="604" t="s">
        <v>411</v>
      </c>
    </row>
    <row r="6" spans="1:78" ht="18.75" customHeight="1" x14ac:dyDescent="0.3">
      <c r="A6" s="551"/>
      <c r="B6" s="1005" t="s">
        <v>776</v>
      </c>
      <c r="C6" s="1005"/>
      <c r="D6" s="1005"/>
      <c r="E6" s="1005"/>
      <c r="F6" s="1005"/>
      <c r="G6" s="1005"/>
      <c r="H6" s="1006"/>
      <c r="I6" s="982"/>
      <c r="J6" s="985"/>
      <c r="K6" s="603"/>
      <c r="L6" s="604"/>
    </row>
    <row r="7" spans="1:78" ht="116.25" customHeight="1" thickBot="1" x14ac:dyDescent="0.35">
      <c r="A7" s="559"/>
      <c r="B7" s="1007"/>
      <c r="C7" s="1007"/>
      <c r="D7" s="1007"/>
      <c r="E7" s="1007"/>
      <c r="F7" s="1007"/>
      <c r="G7" s="1007"/>
      <c r="H7" s="1008"/>
      <c r="I7" s="983"/>
      <c r="J7" s="986"/>
      <c r="K7" s="603"/>
      <c r="L7" s="604"/>
    </row>
    <row r="8" spans="1:78" ht="185.1" customHeight="1" thickBot="1" x14ac:dyDescent="0.35">
      <c r="A8" s="560"/>
      <c r="B8" s="990"/>
      <c r="C8" s="990"/>
      <c r="D8" s="990"/>
      <c r="E8" s="990"/>
      <c r="F8" s="990"/>
      <c r="G8" s="991"/>
      <c r="H8" s="1009" t="s">
        <v>751</v>
      </c>
      <c r="I8" s="504"/>
      <c r="J8" s="1002"/>
      <c r="K8" s="603"/>
      <c r="L8" s="688" t="str">
        <f>IF(L9&gt;=100000000,"16.00%",IF(L9&lt;100000000,"20.00%"))</f>
        <v>20.00%</v>
      </c>
    </row>
    <row r="9" spans="1:78" ht="132" customHeight="1" thickBot="1" x14ac:dyDescent="0.35">
      <c r="A9" s="560"/>
      <c r="B9" s="992"/>
      <c r="C9" s="992"/>
      <c r="D9" s="992"/>
      <c r="E9" s="992"/>
      <c r="F9" s="992"/>
      <c r="G9" s="993"/>
      <c r="H9" s="1010"/>
      <c r="I9" s="488"/>
      <c r="J9" s="1003"/>
      <c r="K9" s="603"/>
      <c r="L9" s="688">
        <f>+(Import!$L$58+Import!$L$63+Import!$L$60-Import!$L$61-Import!$L$62)</f>
        <v>0</v>
      </c>
    </row>
    <row r="10" spans="1:78" ht="64.8" customHeight="1" thickBot="1" x14ac:dyDescent="0.35">
      <c r="A10" s="497"/>
      <c r="B10" s="994" t="s">
        <v>1701</v>
      </c>
      <c r="C10" s="995"/>
      <c r="D10" s="995"/>
      <c r="E10" s="995"/>
      <c r="F10" s="487" t="s">
        <v>450</v>
      </c>
      <c r="G10" s="487" t="s">
        <v>575</v>
      </c>
      <c r="H10" s="562"/>
      <c r="I10" s="488"/>
      <c r="J10" s="856"/>
      <c r="K10" s="605"/>
      <c r="L10" s="597">
        <v>2022</v>
      </c>
      <c r="M10" s="602">
        <v>2023</v>
      </c>
      <c r="N10" s="597">
        <v>2024</v>
      </c>
      <c r="O10" s="606"/>
      <c r="P10" s="607"/>
    </row>
    <row r="11" spans="1:78" ht="246" customHeight="1" thickBot="1" x14ac:dyDescent="0.35">
      <c r="A11" s="560" t="s">
        <v>749</v>
      </c>
      <c r="B11" s="996"/>
      <c r="C11" s="997"/>
      <c r="D11" s="997"/>
      <c r="E11" s="998"/>
      <c r="F11" s="489" t="str">
        <f>IF($L$9&gt;99999999,"16%--Median of simiar units is 32%","20%--Median of similar units is 39%")</f>
        <v>20%--Median of similar units is 39%</v>
      </c>
      <c r="G11" s="490" t="str">
        <f>N11</f>
        <v/>
      </c>
      <c r="H11" s="563" t="s">
        <v>1272</v>
      </c>
      <c r="I11" s="509" t="s">
        <v>1283</v>
      </c>
      <c r="J11" s="857"/>
      <c r="K11" s="603"/>
      <c r="L11" s="584" t="e">
        <f>HLOOKUP($C$5,'PY2 Data(H)'!$D$2:$CZ$319,219,FALSE)</f>
        <v>#N/A</v>
      </c>
      <c r="M11" s="584" t="e">
        <f>HLOOKUP($C$5,'PY1 Data(H)'!$D$2:$CZ$326,221,FALSE)</f>
        <v>#N/A</v>
      </c>
      <c r="N11" s="584" t="str">
        <f>IFERROR((Import!L38+Import!L39-Import!L43-Import!L44-Import!L156+Import!L71)/(Import!L58+Import!L63+Import!L60-Import!L61-Import!L62),"")</f>
        <v/>
      </c>
      <c r="O11" s="689">
        <f>IF(N11&lt;VALUE(L8),1,0)</f>
        <v>0</v>
      </c>
      <c r="P11" s="607"/>
    </row>
    <row r="12" spans="1:78" ht="95.25" customHeight="1" thickBot="1" x14ac:dyDescent="0.35">
      <c r="A12" s="560" t="s">
        <v>750</v>
      </c>
      <c r="B12" s="999" t="s">
        <v>1703</v>
      </c>
      <c r="C12" s="1000"/>
      <c r="D12" s="1000"/>
      <c r="E12" s="1001"/>
      <c r="F12" s="489" t="s">
        <v>798</v>
      </c>
      <c r="G12" s="654" t="b">
        <f>IF(AND(L12="Operations",M12&lt;0),"Operations",IF(AND(L12="Capital",M12&lt;0),"Capital",IF(L12="N/A","N/A")))</f>
        <v>0</v>
      </c>
      <c r="H12" s="652" t="s">
        <v>804</v>
      </c>
      <c r="I12" s="510" t="s">
        <v>1704</v>
      </c>
      <c r="J12" s="857"/>
      <c r="K12" s="603"/>
      <c r="L12" s="845">
        <f>'Unit Data from Audit Worksheet'!F75</f>
        <v>0</v>
      </c>
      <c r="M12" s="844">
        <f>'Unit Data from Audit Worksheet'!F74</f>
        <v>0</v>
      </c>
      <c r="N12" s="584"/>
      <c r="O12" s="606"/>
      <c r="P12" s="607"/>
    </row>
    <row r="13" spans="1:78" ht="162.6" customHeight="1" thickBot="1" x14ac:dyDescent="0.35">
      <c r="A13" s="560" t="s">
        <v>752</v>
      </c>
      <c r="B13" s="999" t="s">
        <v>799</v>
      </c>
      <c r="C13" s="1000"/>
      <c r="D13" s="1000"/>
      <c r="E13" s="1001"/>
      <c r="F13" s="489" t="s">
        <v>796</v>
      </c>
      <c r="G13" s="653">
        <f>Import!L50</f>
        <v>0</v>
      </c>
      <c r="H13" s="652" t="s">
        <v>797</v>
      </c>
      <c r="I13" s="510" t="s">
        <v>1273</v>
      </c>
      <c r="J13" s="857"/>
      <c r="K13" s="603"/>
      <c r="L13" s="584"/>
      <c r="M13" s="584"/>
      <c r="N13" s="584"/>
      <c r="O13" s="606"/>
      <c r="P13" s="607"/>
    </row>
    <row r="14" spans="1:78" ht="64.2" customHeight="1" thickBot="1" x14ac:dyDescent="0.35">
      <c r="A14" s="564"/>
      <c r="B14" s="1004" t="s">
        <v>1702</v>
      </c>
      <c r="C14" s="1004"/>
      <c r="D14" s="1004"/>
      <c r="E14" s="994"/>
      <c r="F14" s="487" t="s">
        <v>450</v>
      </c>
      <c r="G14" s="487" t="s">
        <v>575</v>
      </c>
      <c r="H14" s="565" t="s">
        <v>754</v>
      </c>
      <c r="I14" s="505"/>
      <c r="J14" s="858"/>
      <c r="K14" s="603"/>
      <c r="L14" s="608" t="e">
        <f>HLOOKUP($C$5,'PY2 Data(H)'!$D$2:$CZ$233,195,FALSE)</f>
        <v>#N/A</v>
      </c>
      <c r="M14" s="608" t="e">
        <f>HLOOKUP($C$5,'PY1 Data(H)'!$D$2:$CZ$326,189,FALSE)</f>
        <v>#N/A</v>
      </c>
      <c r="N14" s="609" t="e">
        <f>Import!L196</f>
        <v>#N/A</v>
      </c>
      <c r="O14" s="610"/>
      <c r="P14" s="611"/>
      <c r="Q14" s="612"/>
      <c r="R14" s="612"/>
      <c r="S14" s="612"/>
      <c r="T14" s="612"/>
      <c r="U14" s="612"/>
      <c r="V14" s="612"/>
      <c r="W14" s="612"/>
      <c r="X14" s="612"/>
      <c r="Y14" s="612"/>
      <c r="Z14" s="612"/>
      <c r="AA14" s="612"/>
      <c r="AB14" s="612"/>
      <c r="AC14" s="612"/>
      <c r="AD14" s="612"/>
      <c r="AE14" s="612"/>
      <c r="AF14" s="612"/>
      <c r="AG14" s="612"/>
      <c r="AH14" s="612"/>
      <c r="AI14" s="612"/>
      <c r="AJ14" s="612"/>
      <c r="AK14" s="612"/>
      <c r="AL14" s="612"/>
      <c r="AM14" s="612"/>
      <c r="AN14" s="612"/>
      <c r="AO14" s="612"/>
      <c r="AP14" s="612"/>
      <c r="AQ14" s="612"/>
      <c r="AR14" s="612"/>
      <c r="AS14" s="612"/>
      <c r="AT14" s="612"/>
      <c r="AU14" s="612"/>
      <c r="AV14" s="612"/>
      <c r="AW14" s="612"/>
      <c r="AX14" s="612"/>
      <c r="AY14" s="612"/>
      <c r="AZ14" s="612"/>
      <c r="BA14" s="612"/>
      <c r="BB14" s="612"/>
      <c r="BC14" s="612"/>
      <c r="BD14" s="612"/>
      <c r="BE14" s="612"/>
      <c r="BF14" s="612"/>
      <c r="BG14" s="612"/>
      <c r="BH14" s="492"/>
      <c r="BI14" s="492"/>
      <c r="BJ14" s="492"/>
      <c r="BK14" s="492"/>
      <c r="BL14" s="492"/>
      <c r="BM14" s="492"/>
      <c r="BN14" s="492"/>
      <c r="BO14" s="492"/>
      <c r="BP14" s="492"/>
      <c r="BQ14" s="492"/>
      <c r="BR14" s="492"/>
      <c r="BS14" s="492"/>
      <c r="BT14" s="492"/>
      <c r="BU14" s="492"/>
      <c r="BV14" s="492"/>
      <c r="BW14" s="492"/>
      <c r="BX14" s="492"/>
      <c r="BY14" s="492"/>
      <c r="BZ14" s="492"/>
    </row>
    <row r="15" spans="1:78" ht="202.5" customHeight="1" thickBot="1" x14ac:dyDescent="0.35">
      <c r="A15" s="560" t="s">
        <v>753</v>
      </c>
      <c r="B15" s="566"/>
      <c r="C15" s="493"/>
      <c r="D15" s="493"/>
      <c r="E15" s="494"/>
      <c r="F15" s="561" t="s">
        <v>403</v>
      </c>
      <c r="G15" s="495" t="e">
        <f>N15</f>
        <v>#DIV/0!</v>
      </c>
      <c r="H15" s="563" t="s">
        <v>576</v>
      </c>
      <c r="I15" s="510" t="s">
        <v>405</v>
      </c>
      <c r="J15" s="857"/>
      <c r="K15" s="603"/>
      <c r="L15" s="608" t="e">
        <f>HLOOKUP($C$5,'PY2 Data(H)'!$D$2:$CZ$251,221,FALSE)</f>
        <v>#N/A</v>
      </c>
      <c r="M15" s="608" t="e">
        <f>HLOOKUP($C$5,'PY1 Data(H)'!$D$2:$CZ$326,223,FALSE)</f>
        <v>#N/A</v>
      </c>
      <c r="N15" s="609" t="e">
        <f>(+Import!L79-Import!L80-Import!L77-Import!L78)/(Import!L83-Import!L84-Import!L85-Import!L86-Import!L$87-Import!L88-Import!L82)</f>
        <v>#DIV/0!</v>
      </c>
    </row>
    <row r="16" spans="1:78" ht="27.75" customHeight="1" thickBot="1" x14ac:dyDescent="0.35">
      <c r="A16" s="497"/>
      <c r="B16" s="567" t="s">
        <v>756</v>
      </c>
      <c r="C16" s="496">
        <v>2022</v>
      </c>
      <c r="D16" s="496">
        <v>2023</v>
      </c>
      <c r="E16" s="496">
        <v>2024</v>
      </c>
      <c r="F16" s="487" t="s">
        <v>450</v>
      </c>
      <c r="G16" s="487" t="s">
        <v>575</v>
      </c>
      <c r="H16" s="491"/>
      <c r="I16" s="505"/>
      <c r="J16" s="858"/>
      <c r="K16" s="603"/>
      <c r="L16" s="609"/>
      <c r="M16" s="609"/>
      <c r="N16" s="609"/>
    </row>
    <row r="17" spans="1:81" ht="113.4" customHeight="1" thickBot="1" x14ac:dyDescent="0.35">
      <c r="A17" s="560" t="s">
        <v>755</v>
      </c>
      <c r="B17" s="571" t="s">
        <v>758</v>
      </c>
      <c r="C17" s="655" t="e">
        <f>IF(L14=0,"N/A",L17)</f>
        <v>#N/A</v>
      </c>
      <c r="D17" s="655" t="e">
        <f>IF(M14=0,"N/A",M17)</f>
        <v>#N/A</v>
      </c>
      <c r="E17" s="655" t="e">
        <f>IF(N14=0,"N/A",N17)</f>
        <v>#N/A</v>
      </c>
      <c r="F17" s="489" t="s">
        <v>577</v>
      </c>
      <c r="G17" s="568" t="e">
        <f>E17</f>
        <v>#N/A</v>
      </c>
      <c r="H17" s="563" t="s">
        <v>1337</v>
      </c>
      <c r="I17" s="510" t="s">
        <v>1338</v>
      </c>
      <c r="J17" s="859"/>
      <c r="K17" s="603"/>
      <c r="L17" s="613" t="e">
        <f>HLOOKUP($C$5,'PY2 Data(H)'!$D$2:$CZ$251,222,FALSE)</f>
        <v>#N/A</v>
      </c>
      <c r="M17" s="613" t="e">
        <f>HLOOKUP($C$5,'PY1 Data(H)'!$D$2:$CZ$326,224,FALSE)</f>
        <v>#N/A</v>
      </c>
      <c r="N17" s="613">
        <f>+Import!L94-Import!L96+Import!L95-Import!L111-Import!L97</f>
        <v>0</v>
      </c>
    </row>
    <row r="18" spans="1:81" ht="139.19999999999999" customHeight="1" thickBot="1" x14ac:dyDescent="0.35">
      <c r="A18" s="560" t="s">
        <v>757</v>
      </c>
      <c r="B18" s="580" t="s">
        <v>760</v>
      </c>
      <c r="C18" s="569" t="e">
        <f>IF(L14=0,"N/A",L18)</f>
        <v>#N/A</v>
      </c>
      <c r="D18" s="569" t="e">
        <f>IF(M14=0,"N/A",M18)</f>
        <v>#N/A</v>
      </c>
      <c r="E18" s="569" t="e">
        <f>IF(N14=0,"N/A",N18)</f>
        <v>#N/A</v>
      </c>
      <c r="F18" s="489" t="s">
        <v>563</v>
      </c>
      <c r="G18" s="570" t="e">
        <f>E18</f>
        <v>#N/A</v>
      </c>
      <c r="H18" s="563" t="s">
        <v>761</v>
      </c>
      <c r="I18" s="510" t="s">
        <v>1339</v>
      </c>
      <c r="J18" s="860"/>
      <c r="K18" s="603"/>
      <c r="L18" s="584" t="e">
        <f>HLOOKUP($C$5,'PY2 Data(H)'!$D$2:$CZ$251,223,FALSE)</f>
        <v>#N/A</v>
      </c>
      <c r="M18" s="584" t="e">
        <f>HLOOKUP($C$5,'PY1 Data(H)'!$D$2:$CZ$326,225,FALSE)</f>
        <v>#N/A</v>
      </c>
      <c r="N18" s="614" t="e">
        <f>Import!L75/(Import!L96+Import!L99-Import!L95+Import!L111)</f>
        <v>#DIV/0!</v>
      </c>
      <c r="O18" s="615"/>
    </row>
    <row r="19" spans="1:81" ht="75" customHeight="1" thickBot="1" x14ac:dyDescent="0.35">
      <c r="A19" s="560" t="s">
        <v>759</v>
      </c>
      <c r="B19" s="1015" t="s">
        <v>762</v>
      </c>
      <c r="C19" s="1015"/>
      <c r="D19" s="1016"/>
      <c r="E19" s="572" t="str">
        <f>IF(N19&lt;0,"Yes","No")</f>
        <v>No</v>
      </c>
      <c r="F19" s="573"/>
      <c r="G19" s="490" t="str">
        <f>E19</f>
        <v>No</v>
      </c>
      <c r="H19" s="563" t="s">
        <v>763</v>
      </c>
      <c r="I19" s="510" t="s">
        <v>564</v>
      </c>
      <c r="J19" s="859"/>
      <c r="K19" s="603"/>
      <c r="L19" s="616"/>
      <c r="M19" s="829">
        <f>((Import!L99+Import!L96)*0.03)-Import!L103</f>
        <v>0</v>
      </c>
      <c r="N19" s="830">
        <f>M19*0.03</f>
        <v>0</v>
      </c>
    </row>
    <row r="20" spans="1:81" s="634" customFormat="1" ht="76.8" customHeight="1" thickBot="1" x14ac:dyDescent="0.35">
      <c r="A20" s="919">
        <v>8</v>
      </c>
      <c r="B20" s="920" t="s">
        <v>1687</v>
      </c>
      <c r="C20" s="921" t="e">
        <f>L20</f>
        <v>#N/A</v>
      </c>
      <c r="D20" s="921" t="e">
        <f>M20</f>
        <v>#N/A</v>
      </c>
      <c r="E20" s="922" t="e">
        <f>N20</f>
        <v>#DIV/0!</v>
      </c>
      <c r="F20" s="923" t="s">
        <v>1688</v>
      </c>
      <c r="G20" s="924" t="e">
        <f>E20</f>
        <v>#DIV/0!</v>
      </c>
      <c r="H20" s="925" t="s">
        <v>1689</v>
      </c>
      <c r="I20" s="926" t="s">
        <v>1690</v>
      </c>
      <c r="J20" s="861"/>
      <c r="K20" s="603"/>
      <c r="L20" s="827" t="e">
        <f>IF(HLOOKUP($C$5,'PY2 Data(H)'!$D$2:$CZ$234,231,FALSE)=0,"Prior year data not submitted as of workbook published date.",(HLOOKUP($C$5,'PY2 Data(H)'!$D$2:$CZ$234,231,FALSE)))</f>
        <v>#N/A</v>
      </c>
      <c r="M20" s="827" t="e">
        <f>IF(HLOOKUP($C$5,'PY1 Data(H)'!$D$2:$CZ$234,233,FALSE)=0,"Prior year data not submitted as of workbook published date.",(HLOOKUP($C$5,'PY1 Data(H)'!$D$2:$CZ$234,233,FALSE)))</f>
        <v>#N/A</v>
      </c>
      <c r="N20" s="828" t="e">
        <f>1-((Import!L134+Import!L135+Import!L136+Import!L137)/(Import!L126+Import!L127+Import!L128+Import!L129))</f>
        <v>#DIV/0!</v>
      </c>
      <c r="O20" s="597"/>
      <c r="P20" s="598"/>
      <c r="Q20" s="599"/>
      <c r="R20" s="599"/>
      <c r="S20" s="599"/>
      <c r="T20" s="599"/>
      <c r="U20" s="599"/>
      <c r="V20" s="599"/>
      <c r="W20" s="599"/>
      <c r="X20" s="599"/>
      <c r="Y20" s="599"/>
      <c r="Z20" s="599"/>
      <c r="AA20" s="599"/>
      <c r="AB20" s="599"/>
      <c r="AC20" s="599"/>
      <c r="AD20" s="599"/>
      <c r="AE20" s="599"/>
      <c r="AF20" s="599"/>
      <c r="AG20" s="599"/>
      <c r="AH20" s="599"/>
      <c r="AI20" s="599"/>
      <c r="AJ20" s="599"/>
      <c r="AK20" s="599"/>
      <c r="AL20" s="599"/>
      <c r="AM20" s="599"/>
      <c r="AN20" s="599"/>
      <c r="AO20" s="599"/>
      <c r="AP20" s="599"/>
      <c r="AQ20" s="599"/>
      <c r="AR20" s="599"/>
      <c r="AS20" s="599"/>
      <c r="AT20" s="599"/>
      <c r="AU20" s="599"/>
      <c r="AV20" s="599"/>
      <c r="AW20" s="599"/>
      <c r="AX20" s="599"/>
      <c r="AY20" s="599"/>
      <c r="AZ20" s="599"/>
      <c r="BA20" s="599"/>
      <c r="BB20" s="599"/>
      <c r="BC20" s="599"/>
      <c r="BD20" s="599"/>
      <c r="BE20" s="599"/>
      <c r="BF20" s="599"/>
      <c r="BG20" s="599"/>
      <c r="BH20" s="485"/>
      <c r="BI20" s="485"/>
      <c r="BJ20" s="485"/>
      <c r="BK20" s="485"/>
      <c r="BL20" s="485"/>
      <c r="BM20" s="485"/>
      <c r="BN20" s="485"/>
      <c r="BO20" s="485"/>
      <c r="BP20" s="485"/>
      <c r="BQ20" s="485"/>
      <c r="BR20" s="485"/>
      <c r="BS20" s="485"/>
      <c r="BT20" s="485"/>
      <c r="BU20" s="485"/>
      <c r="BV20" s="485"/>
      <c r="BW20" s="485"/>
      <c r="BX20" s="485"/>
      <c r="BY20" s="485"/>
      <c r="BZ20" s="485"/>
      <c r="CA20" s="485"/>
      <c r="CB20" s="485"/>
      <c r="CC20" s="485"/>
    </row>
    <row r="21" spans="1:81" s="634" customFormat="1" ht="19.2" customHeight="1" thickBot="1" x14ac:dyDescent="0.35">
      <c r="A21" s="560"/>
      <c r="B21" s="788"/>
      <c r="C21" s="788"/>
      <c r="D21" s="788"/>
      <c r="E21" s="572"/>
      <c r="F21" s="573"/>
      <c r="G21" s="826"/>
      <c r="H21" s="789"/>
      <c r="I21" s="574"/>
      <c r="J21" s="861"/>
      <c r="K21" s="603"/>
      <c r="L21" s="616"/>
      <c r="M21" s="616"/>
      <c r="N21" s="617"/>
      <c r="O21" s="597"/>
      <c r="P21" s="598"/>
      <c r="Q21" s="599"/>
      <c r="R21" s="599"/>
      <c r="S21" s="599"/>
      <c r="T21" s="599"/>
      <c r="U21" s="599"/>
      <c r="V21" s="599"/>
      <c r="W21" s="599"/>
      <c r="X21" s="599"/>
      <c r="Y21" s="599"/>
      <c r="Z21" s="599"/>
      <c r="AA21" s="599"/>
      <c r="AB21" s="599"/>
      <c r="AC21" s="599"/>
      <c r="AD21" s="599"/>
      <c r="AE21" s="599"/>
      <c r="AF21" s="599"/>
      <c r="AG21" s="599"/>
      <c r="AH21" s="599"/>
      <c r="AI21" s="599"/>
      <c r="AJ21" s="599"/>
      <c r="AK21" s="599"/>
      <c r="AL21" s="599"/>
      <c r="AM21" s="599"/>
      <c r="AN21" s="599"/>
      <c r="AO21" s="599"/>
      <c r="AP21" s="599"/>
      <c r="AQ21" s="599"/>
      <c r="AR21" s="599"/>
      <c r="AS21" s="599"/>
      <c r="AT21" s="599"/>
      <c r="AU21" s="599"/>
      <c r="AV21" s="599"/>
      <c r="AW21" s="599"/>
      <c r="AX21" s="599"/>
      <c r="AY21" s="599"/>
      <c r="AZ21" s="599"/>
      <c r="BA21" s="599"/>
      <c r="BB21" s="599"/>
      <c r="BC21" s="599"/>
      <c r="BD21" s="599"/>
      <c r="BE21" s="599"/>
      <c r="BF21" s="599"/>
      <c r="BG21" s="599"/>
      <c r="BH21" s="485"/>
      <c r="BI21" s="485"/>
      <c r="BJ21" s="485"/>
      <c r="BK21" s="485"/>
      <c r="BL21" s="485"/>
      <c r="BM21" s="485"/>
      <c r="BN21" s="485"/>
      <c r="BO21" s="485"/>
      <c r="BP21" s="485"/>
      <c r="BQ21" s="485"/>
      <c r="BR21" s="485"/>
      <c r="BS21" s="485"/>
      <c r="BT21" s="485"/>
      <c r="BU21" s="485"/>
      <c r="BV21" s="485"/>
      <c r="BW21" s="485"/>
      <c r="BX21" s="485"/>
      <c r="BY21" s="485"/>
      <c r="BZ21" s="485"/>
      <c r="CA21" s="485"/>
      <c r="CB21" s="485"/>
      <c r="CC21" s="485"/>
    </row>
    <row r="22" spans="1:81" s="173" customFormat="1" ht="18.600000000000001" thickBot="1" x14ac:dyDescent="0.35">
      <c r="A22" s="514"/>
      <c r="B22" s="1013" t="s">
        <v>578</v>
      </c>
      <c r="C22" s="1013"/>
      <c r="D22" s="1013"/>
      <c r="E22" s="499">
        <v>2024</v>
      </c>
      <c r="F22" s="575" t="s">
        <v>579</v>
      </c>
      <c r="G22" s="576"/>
      <c r="H22" s="498"/>
      <c r="I22" s="512"/>
      <c r="J22" s="862"/>
      <c r="K22" s="603"/>
      <c r="L22" s="597"/>
      <c r="M22" s="597"/>
      <c r="N22" s="597"/>
      <c r="O22" s="597"/>
      <c r="P22" s="598"/>
      <c r="Q22" s="599"/>
      <c r="R22" s="599"/>
      <c r="S22" s="599"/>
      <c r="T22" s="599"/>
      <c r="U22" s="599"/>
      <c r="V22" s="599"/>
      <c r="W22" s="599"/>
      <c r="X22" s="599"/>
      <c r="Y22" s="599"/>
      <c r="Z22" s="599"/>
      <c r="AA22" s="599"/>
      <c r="AB22" s="599"/>
      <c r="AC22" s="599"/>
      <c r="AD22" s="599"/>
      <c r="AE22" s="599"/>
      <c r="AF22" s="599"/>
      <c r="AG22" s="599"/>
      <c r="AH22" s="599"/>
      <c r="AI22" s="599"/>
      <c r="AJ22" s="599"/>
      <c r="AK22" s="599"/>
      <c r="AL22" s="599"/>
      <c r="AM22" s="599"/>
      <c r="AN22" s="599"/>
      <c r="AO22" s="599"/>
      <c r="AP22" s="599"/>
      <c r="AQ22" s="599"/>
      <c r="AR22" s="599"/>
      <c r="AS22" s="599"/>
      <c r="AT22" s="599"/>
      <c r="AU22" s="599"/>
      <c r="AV22" s="599"/>
      <c r="AW22" s="599"/>
      <c r="AX22" s="599"/>
      <c r="AY22" s="599"/>
      <c r="AZ22" s="599"/>
      <c r="BA22" s="599"/>
      <c r="BB22" s="599"/>
      <c r="BC22" s="599"/>
      <c r="BD22" s="599"/>
      <c r="BE22" s="599"/>
      <c r="BF22" s="599"/>
      <c r="BG22" s="599"/>
      <c r="BH22" s="485"/>
      <c r="BI22" s="485"/>
      <c r="BJ22" s="485"/>
      <c r="BK22" s="485"/>
      <c r="BL22" s="485"/>
      <c r="BM22" s="485"/>
      <c r="BN22" s="485"/>
      <c r="BO22" s="485"/>
      <c r="BP22" s="485"/>
      <c r="BQ22" s="485"/>
      <c r="BR22" s="485"/>
      <c r="BS22" s="485"/>
      <c r="BT22" s="485"/>
      <c r="BU22" s="485"/>
      <c r="BV22" s="485"/>
      <c r="BW22" s="485"/>
      <c r="BX22" s="485"/>
      <c r="BY22" s="485"/>
      <c r="BZ22" s="485"/>
      <c r="CA22" s="485"/>
      <c r="CB22" s="485"/>
      <c r="CC22" s="485"/>
    </row>
    <row r="23" spans="1:81" s="173" customFormat="1" ht="116.4" customHeight="1" thickBot="1" x14ac:dyDescent="0.35">
      <c r="A23" s="577" t="s">
        <v>1691</v>
      </c>
      <c r="B23" s="1011" t="s">
        <v>1670</v>
      </c>
      <c r="C23" s="1012"/>
      <c r="D23" s="1012"/>
      <c r="E23" s="841">
        <f>'TD Info Completed by Auditor'!C31</f>
        <v>0</v>
      </c>
      <c r="F23" s="581"/>
      <c r="G23" s="841" t="str">
        <f>IF('TD Info Completed by Auditor'!C31&gt;N23,"Late","Response Not Required")</f>
        <v>Response Not Required</v>
      </c>
      <c r="H23" s="508" t="s">
        <v>580</v>
      </c>
      <c r="I23" s="927" t="s">
        <v>1692</v>
      </c>
      <c r="J23" s="863"/>
      <c r="K23" s="603"/>
      <c r="L23" s="831">
        <f>'TD Info Completed by Auditor'!C31</f>
        <v>0</v>
      </c>
      <c r="M23" s="832">
        <f>'TD Info Completed by Auditor'!C30</f>
        <v>45473</v>
      </c>
      <c r="N23" s="833">
        <f>IF(M23=DATEVALUE("6/30/2024"),N25,IF(M23=DATEVALUE("9/30/2024"),N26,IF(M23=DATEVALUE("12/31/2024"),N27,IF(M23=DATEVALUE("3/31/2025"),N28))))</f>
        <v>45657</v>
      </c>
      <c r="O23" s="597"/>
      <c r="P23" s="598"/>
      <c r="Q23" s="599"/>
      <c r="R23" s="599"/>
      <c r="S23" s="599"/>
      <c r="T23" s="599"/>
      <c r="U23" s="599"/>
      <c r="V23" s="599"/>
      <c r="W23" s="599"/>
      <c r="X23" s="599"/>
      <c r="Y23" s="599"/>
      <c r="Z23" s="599"/>
      <c r="AA23" s="599"/>
      <c r="AB23" s="599"/>
      <c r="AC23" s="599"/>
      <c r="AD23" s="599"/>
      <c r="AE23" s="599"/>
      <c r="AF23" s="599"/>
      <c r="AG23" s="599"/>
      <c r="AH23" s="599"/>
      <c r="AI23" s="599"/>
      <c r="AJ23" s="599"/>
      <c r="AK23" s="599"/>
      <c r="AL23" s="599"/>
      <c r="AM23" s="599"/>
      <c r="AN23" s="599"/>
      <c r="AO23" s="599"/>
      <c r="AP23" s="599"/>
      <c r="AQ23" s="599"/>
      <c r="AR23" s="599"/>
      <c r="AS23" s="599"/>
      <c r="AT23" s="599"/>
      <c r="AU23" s="599"/>
      <c r="AV23" s="599"/>
      <c r="AW23" s="599"/>
      <c r="AX23" s="599"/>
      <c r="AY23" s="599"/>
      <c r="AZ23" s="599"/>
      <c r="BA23" s="599"/>
      <c r="BB23" s="599"/>
      <c r="BC23" s="599"/>
      <c r="BD23" s="599"/>
      <c r="BE23" s="599"/>
      <c r="BF23" s="599"/>
      <c r="BG23" s="599"/>
      <c r="BH23" s="485"/>
      <c r="BI23" s="485"/>
      <c r="BJ23" s="485"/>
      <c r="BK23" s="485"/>
      <c r="BL23" s="485"/>
      <c r="BM23" s="485"/>
      <c r="BN23" s="485"/>
      <c r="BO23" s="485"/>
      <c r="BP23" s="485"/>
      <c r="BQ23" s="485"/>
      <c r="BR23" s="485"/>
      <c r="BS23" s="485"/>
      <c r="BT23" s="485"/>
      <c r="BU23" s="485"/>
      <c r="BV23" s="485"/>
      <c r="BW23" s="485"/>
      <c r="BX23" s="485"/>
      <c r="BY23" s="485"/>
      <c r="BZ23" s="485"/>
      <c r="CA23" s="485"/>
      <c r="CB23" s="485"/>
      <c r="CC23" s="485"/>
    </row>
    <row r="24" spans="1:81" s="173" customFormat="1" ht="18" customHeight="1" thickBot="1" x14ac:dyDescent="0.35">
      <c r="A24" s="578"/>
      <c r="B24" s="1017"/>
      <c r="C24" s="1017"/>
      <c r="D24" s="1018"/>
      <c r="E24" s="499">
        <v>2024</v>
      </c>
      <c r="F24" s="175" t="s">
        <v>579</v>
      </c>
      <c r="G24" s="500"/>
      <c r="H24" s="500"/>
      <c r="I24" s="513"/>
      <c r="J24" s="864"/>
      <c r="K24" s="603"/>
      <c r="L24" s="834" t="s">
        <v>1693</v>
      </c>
      <c r="M24" s="597" t="s">
        <v>1694</v>
      </c>
      <c r="N24" s="835"/>
      <c r="O24" s="597"/>
      <c r="P24" s="598"/>
      <c r="Q24" s="599"/>
      <c r="R24" s="599"/>
      <c r="S24" s="599"/>
      <c r="T24" s="599"/>
      <c r="U24" s="599"/>
      <c r="V24" s="599"/>
      <c r="W24" s="599"/>
      <c r="X24" s="599"/>
      <c r="Y24" s="599"/>
      <c r="Z24" s="599"/>
      <c r="AA24" s="599"/>
      <c r="AB24" s="599"/>
      <c r="AC24" s="599"/>
      <c r="AD24" s="599"/>
      <c r="AE24" s="599"/>
      <c r="AF24" s="599"/>
      <c r="AG24" s="599"/>
      <c r="AH24" s="599"/>
      <c r="AI24" s="599"/>
      <c r="AJ24" s="599"/>
      <c r="AK24" s="599"/>
      <c r="AL24" s="599"/>
      <c r="AM24" s="599"/>
      <c r="AN24" s="599"/>
      <c r="AO24" s="599"/>
      <c r="AP24" s="599"/>
      <c r="AQ24" s="599"/>
      <c r="AR24" s="599"/>
      <c r="AS24" s="599"/>
      <c r="AT24" s="599"/>
      <c r="AU24" s="599"/>
      <c r="AV24" s="599"/>
      <c r="AW24" s="599"/>
      <c r="AX24" s="599"/>
      <c r="AY24" s="599"/>
      <c r="AZ24" s="599"/>
      <c r="BA24" s="599"/>
      <c r="BB24" s="599"/>
      <c r="BC24" s="599"/>
      <c r="BD24" s="599"/>
      <c r="BE24" s="599"/>
      <c r="BF24" s="599"/>
      <c r="BG24" s="599"/>
      <c r="BH24" s="485"/>
      <c r="BI24" s="485"/>
      <c r="BJ24" s="485"/>
      <c r="BK24" s="485"/>
      <c r="BL24" s="485"/>
      <c r="BM24" s="485"/>
      <c r="BN24" s="485"/>
      <c r="BO24" s="485"/>
      <c r="BP24" s="485"/>
      <c r="BQ24" s="485"/>
      <c r="BR24" s="485"/>
      <c r="BS24" s="485"/>
      <c r="BT24" s="485"/>
      <c r="BU24" s="485"/>
      <c r="BV24" s="485"/>
      <c r="BW24" s="485"/>
      <c r="BX24" s="485"/>
      <c r="BY24" s="485"/>
      <c r="BZ24" s="485"/>
      <c r="CA24" s="485"/>
      <c r="CB24" s="485"/>
      <c r="CC24" s="485"/>
    </row>
    <row r="25" spans="1:81" s="173" customFormat="1" ht="99" customHeight="1" thickBot="1" x14ac:dyDescent="0.35">
      <c r="A25" s="560">
        <v>10</v>
      </c>
      <c r="B25" s="1026" t="s">
        <v>770</v>
      </c>
      <c r="C25" s="1027"/>
      <c r="D25" s="1027"/>
      <c r="E25" s="648" t="str">
        <f>IFERROR((Import!L53-Import!L54)/Import!L54,"This question must be answered.E25 See cells F62 &amp; F63 on Unit Data from Audit")</f>
        <v>This question must be answered.E25 See cells F62 &amp; F63 on Unit Data from Audit</v>
      </c>
      <c r="F25" s="489" t="s">
        <v>404</v>
      </c>
      <c r="G25" s="649" t="str">
        <f>+E25</f>
        <v>This question must be answered.E25 See cells F62 &amp; F63 on Unit Data from Audit</v>
      </c>
      <c r="H25" s="563" t="s">
        <v>777</v>
      </c>
      <c r="I25" s="574" t="s">
        <v>408</v>
      </c>
      <c r="J25" s="863"/>
      <c r="K25" s="603"/>
      <c r="L25" s="834"/>
      <c r="M25" s="836">
        <v>45473</v>
      </c>
      <c r="N25" s="837">
        <v>45657</v>
      </c>
      <c r="O25" s="597"/>
      <c r="P25" s="598"/>
      <c r="Q25" s="599"/>
      <c r="R25" s="599"/>
      <c r="S25" s="599"/>
      <c r="T25" s="599"/>
      <c r="U25" s="599"/>
      <c r="V25" s="599"/>
      <c r="W25" s="599"/>
      <c r="X25" s="599"/>
      <c r="Y25" s="599"/>
      <c r="Z25" s="599"/>
      <c r="AA25" s="599"/>
      <c r="AB25" s="599"/>
      <c r="AC25" s="599"/>
      <c r="AD25" s="599"/>
      <c r="AE25" s="599"/>
      <c r="AF25" s="599"/>
      <c r="AG25" s="599"/>
      <c r="AH25" s="599"/>
      <c r="AI25" s="599"/>
      <c r="AJ25" s="599"/>
      <c r="AK25" s="599"/>
      <c r="AL25" s="599"/>
      <c r="AM25" s="599"/>
      <c r="AN25" s="599"/>
      <c r="AO25" s="599"/>
      <c r="AP25" s="599"/>
      <c r="AQ25" s="599"/>
      <c r="AR25" s="599"/>
      <c r="AS25" s="599"/>
      <c r="AT25" s="599"/>
      <c r="AU25" s="599"/>
      <c r="AV25" s="599"/>
      <c r="AW25" s="599"/>
      <c r="AX25" s="599"/>
      <c r="AY25" s="599"/>
      <c r="AZ25" s="599"/>
      <c r="BA25" s="599"/>
      <c r="BB25" s="599"/>
      <c r="BC25" s="599"/>
      <c r="BD25" s="599"/>
      <c r="BE25" s="599"/>
      <c r="BF25" s="599"/>
      <c r="BG25" s="599"/>
      <c r="BH25" s="485"/>
      <c r="BI25" s="485"/>
      <c r="BJ25" s="485"/>
      <c r="BK25" s="485"/>
      <c r="BL25" s="485"/>
      <c r="BM25" s="485"/>
      <c r="BN25" s="485"/>
      <c r="BO25" s="485"/>
      <c r="BP25" s="485"/>
      <c r="BQ25" s="485"/>
      <c r="BR25" s="485"/>
      <c r="BS25" s="485"/>
      <c r="BT25" s="485"/>
      <c r="BU25" s="485"/>
      <c r="BV25" s="485"/>
      <c r="BW25" s="485"/>
      <c r="BX25" s="485"/>
      <c r="BY25" s="485"/>
      <c r="BZ25" s="485"/>
      <c r="CA25" s="485"/>
      <c r="CB25" s="485"/>
      <c r="CC25" s="485"/>
    </row>
    <row r="26" spans="1:81" s="173" customFormat="1" ht="18" customHeight="1" thickBot="1" x14ac:dyDescent="0.35">
      <c r="A26" s="579"/>
      <c r="B26" s="1017"/>
      <c r="C26" s="1017"/>
      <c r="D26" s="1018"/>
      <c r="E26" s="499">
        <v>2024</v>
      </c>
      <c r="F26" s="175" t="s">
        <v>579</v>
      </c>
      <c r="G26" s="500"/>
      <c r="H26" s="500"/>
      <c r="I26" s="513"/>
      <c r="J26" s="864"/>
      <c r="K26" s="596"/>
      <c r="L26" s="834"/>
      <c r="M26" s="836">
        <v>45565</v>
      </c>
      <c r="N26" s="837">
        <v>45747</v>
      </c>
      <c r="O26" s="597"/>
      <c r="P26" s="598"/>
      <c r="Q26" s="599"/>
      <c r="R26" s="599"/>
      <c r="S26" s="599"/>
      <c r="T26" s="599"/>
      <c r="U26" s="599"/>
      <c r="V26" s="599"/>
      <c r="W26" s="599"/>
      <c r="X26" s="599"/>
      <c r="Y26" s="599"/>
      <c r="Z26" s="599"/>
      <c r="AA26" s="599"/>
      <c r="AB26" s="599"/>
      <c r="AC26" s="599"/>
      <c r="AD26" s="599"/>
      <c r="AE26" s="599"/>
      <c r="AF26" s="599"/>
      <c r="AG26" s="599"/>
      <c r="AH26" s="599"/>
      <c r="AI26" s="599"/>
      <c r="AJ26" s="599"/>
      <c r="AK26" s="599"/>
      <c r="AL26" s="599"/>
      <c r="AM26" s="599"/>
      <c r="AN26" s="599"/>
      <c r="AO26" s="599"/>
      <c r="AP26" s="599"/>
      <c r="AQ26" s="599"/>
      <c r="AR26" s="599"/>
      <c r="AS26" s="599"/>
      <c r="AT26" s="599"/>
      <c r="AU26" s="599"/>
      <c r="AV26" s="599"/>
      <c r="AW26" s="599"/>
      <c r="AX26" s="599"/>
      <c r="AY26" s="599"/>
      <c r="AZ26" s="599"/>
      <c r="BA26" s="599"/>
      <c r="BB26" s="599"/>
      <c r="BC26" s="599"/>
      <c r="BD26" s="599"/>
      <c r="BE26" s="599"/>
      <c r="BF26" s="599"/>
      <c r="BG26" s="599"/>
      <c r="BH26" s="485"/>
      <c r="BI26" s="485"/>
      <c r="BJ26" s="485"/>
      <c r="BK26" s="485"/>
      <c r="BL26" s="485"/>
      <c r="BM26" s="485"/>
      <c r="BN26" s="485"/>
      <c r="BO26" s="485"/>
      <c r="BP26" s="485"/>
      <c r="BQ26" s="485"/>
      <c r="BR26" s="485"/>
      <c r="BS26" s="485"/>
      <c r="BT26" s="485"/>
      <c r="BU26" s="485"/>
      <c r="BV26" s="485"/>
      <c r="BW26" s="485"/>
      <c r="BX26" s="485"/>
      <c r="BY26" s="485"/>
      <c r="BZ26" s="485"/>
      <c r="CA26" s="485"/>
      <c r="CB26" s="485"/>
      <c r="CC26" s="485"/>
    </row>
    <row r="27" spans="1:81" s="173" customFormat="1" ht="97.5" customHeight="1" thickBot="1" x14ac:dyDescent="0.35">
      <c r="A27" s="560">
        <v>11</v>
      </c>
      <c r="B27" s="1016" t="s">
        <v>765</v>
      </c>
      <c r="C27" s="1024"/>
      <c r="D27" s="1024"/>
      <c r="E27" s="650" t="str">
        <f>IF(Import!L168=20,"Increase",IF(Import!L168=21,"Decrease",IF(Import!L168=22,"No Change",IF(Import!L168=23,"N/A","This question must be answered. See cell F219 on Unit Data from Audit"))))</f>
        <v>This question must be answered. See cell F219 on Unit Data from Audit</v>
      </c>
      <c r="F27" s="489" t="s">
        <v>581</v>
      </c>
      <c r="G27" s="650" t="str">
        <f>E27</f>
        <v>This question must be answered. See cell F219 on Unit Data from Audit</v>
      </c>
      <c r="H27" s="563" t="s">
        <v>582</v>
      </c>
      <c r="I27" s="574" t="s">
        <v>409</v>
      </c>
      <c r="J27" s="863"/>
      <c r="K27" s="618"/>
      <c r="L27" s="834"/>
      <c r="M27" s="836">
        <v>45657</v>
      </c>
      <c r="N27" s="837">
        <v>45838</v>
      </c>
      <c r="O27" s="597"/>
      <c r="P27" s="598"/>
      <c r="Q27" s="599"/>
      <c r="R27" s="599"/>
      <c r="S27" s="599"/>
      <c r="T27" s="599"/>
      <c r="U27" s="599"/>
      <c r="V27" s="599"/>
      <c r="W27" s="599"/>
      <c r="X27" s="599"/>
      <c r="Y27" s="599"/>
      <c r="Z27" s="599"/>
      <c r="AA27" s="599"/>
      <c r="AB27" s="599"/>
      <c r="AC27" s="599"/>
      <c r="AD27" s="599"/>
      <c r="AE27" s="599"/>
      <c r="AF27" s="599"/>
      <c r="AG27" s="599"/>
      <c r="AH27" s="599"/>
      <c r="AI27" s="599"/>
      <c r="AJ27" s="599"/>
      <c r="AK27" s="599"/>
      <c r="AL27" s="599"/>
      <c r="AM27" s="599"/>
      <c r="AN27" s="599"/>
      <c r="AO27" s="599"/>
      <c r="AP27" s="599"/>
      <c r="AQ27" s="599"/>
      <c r="AR27" s="599"/>
      <c r="AS27" s="599"/>
      <c r="AT27" s="599"/>
      <c r="AU27" s="599"/>
      <c r="AV27" s="599"/>
      <c r="AW27" s="599"/>
      <c r="AX27" s="599"/>
      <c r="AY27" s="599"/>
      <c r="AZ27" s="599"/>
      <c r="BA27" s="599"/>
      <c r="BB27" s="599"/>
      <c r="BC27" s="599"/>
      <c r="BD27" s="599"/>
      <c r="BE27" s="599"/>
      <c r="BF27" s="599"/>
      <c r="BG27" s="599"/>
      <c r="BH27" s="485"/>
      <c r="BI27" s="485"/>
      <c r="BJ27" s="485"/>
      <c r="BK27" s="485"/>
      <c r="BL27" s="485"/>
      <c r="BM27" s="485"/>
      <c r="BN27" s="485"/>
      <c r="BO27" s="485"/>
      <c r="BP27" s="485"/>
      <c r="BQ27" s="485"/>
      <c r="BR27" s="485"/>
      <c r="BS27" s="485"/>
      <c r="BT27" s="485"/>
      <c r="BU27" s="485"/>
      <c r="BV27" s="485"/>
      <c r="BW27" s="485"/>
      <c r="BX27" s="485"/>
      <c r="BY27" s="485"/>
      <c r="BZ27" s="485"/>
      <c r="CA27" s="485"/>
      <c r="CB27" s="485"/>
      <c r="CC27" s="485"/>
    </row>
    <row r="28" spans="1:81" s="173" customFormat="1" ht="18" customHeight="1" thickBot="1" x14ac:dyDescent="0.35">
      <c r="A28" s="579"/>
      <c r="B28" s="1017"/>
      <c r="C28" s="1017"/>
      <c r="D28" s="1018"/>
      <c r="E28" s="499">
        <v>2024</v>
      </c>
      <c r="F28" s="175" t="s">
        <v>579</v>
      </c>
      <c r="G28" s="500"/>
      <c r="H28" s="507"/>
      <c r="I28" s="513"/>
      <c r="J28" s="864"/>
      <c r="K28" s="619"/>
      <c r="L28" s="838"/>
      <c r="M28" s="839">
        <v>45747</v>
      </c>
      <c r="N28" s="840">
        <v>45930</v>
      </c>
      <c r="O28" s="597"/>
      <c r="P28" s="598"/>
      <c r="Q28" s="599"/>
      <c r="R28" s="599"/>
      <c r="S28" s="599"/>
      <c r="T28" s="599"/>
      <c r="U28" s="599"/>
      <c r="V28" s="599"/>
      <c r="W28" s="599"/>
      <c r="X28" s="599"/>
      <c r="Y28" s="599"/>
      <c r="Z28" s="599"/>
      <c r="AA28" s="599"/>
      <c r="AB28" s="599"/>
      <c r="AC28" s="599"/>
      <c r="AD28" s="599"/>
      <c r="AE28" s="599"/>
      <c r="AF28" s="599"/>
      <c r="AG28" s="599"/>
      <c r="AH28" s="599"/>
      <c r="AI28" s="599"/>
      <c r="AJ28" s="599"/>
      <c r="AK28" s="599"/>
      <c r="AL28" s="599"/>
      <c r="AM28" s="599"/>
      <c r="AN28" s="599"/>
      <c r="AO28" s="599"/>
      <c r="AP28" s="599"/>
      <c r="AQ28" s="599"/>
      <c r="AR28" s="599"/>
      <c r="AS28" s="599"/>
      <c r="AT28" s="599"/>
      <c r="AU28" s="599"/>
      <c r="AV28" s="599"/>
      <c r="AW28" s="599"/>
      <c r="AX28" s="599"/>
      <c r="AY28" s="599"/>
      <c r="AZ28" s="599"/>
      <c r="BA28" s="599"/>
      <c r="BB28" s="599"/>
      <c r="BC28" s="599"/>
      <c r="BD28" s="599"/>
      <c r="BE28" s="599"/>
      <c r="BF28" s="599"/>
      <c r="BG28" s="599"/>
      <c r="BH28" s="485"/>
      <c r="BI28" s="485"/>
      <c r="BJ28" s="485"/>
      <c r="BK28" s="485"/>
      <c r="BL28" s="485"/>
      <c r="BM28" s="485"/>
      <c r="BN28" s="485"/>
      <c r="BO28" s="485"/>
      <c r="BP28" s="485"/>
      <c r="BQ28" s="485"/>
      <c r="BR28" s="485"/>
      <c r="BS28" s="485"/>
      <c r="BT28" s="485"/>
      <c r="BU28" s="485"/>
      <c r="BV28" s="485"/>
      <c r="BW28" s="485"/>
      <c r="BX28" s="485"/>
      <c r="BY28" s="485"/>
      <c r="BZ28" s="485"/>
      <c r="CA28" s="485"/>
      <c r="CB28" s="485"/>
      <c r="CC28" s="485"/>
    </row>
    <row r="29" spans="1:81" s="173" customFormat="1" ht="78.75" customHeight="1" thickBot="1" x14ac:dyDescent="0.35">
      <c r="A29" s="560">
        <v>12</v>
      </c>
      <c r="B29" s="987" t="s">
        <v>1658</v>
      </c>
      <c r="C29" s="988"/>
      <c r="D29" s="989"/>
      <c r="E29" s="489" t="str">
        <f>IF(Import!L174=1,"Yes",IF(Import!L174=2,"No",IF(Import!L174=0,"This question must be answered.  See cell C15 on TD")))</f>
        <v>This question must be answered.  See cell C15 on TD</v>
      </c>
      <c r="F29" s="489" t="s">
        <v>410</v>
      </c>
      <c r="G29" s="489" t="str">
        <f>+E29</f>
        <v>This question must be answered.  See cell C15 on TD</v>
      </c>
      <c r="H29" s="506" t="s">
        <v>766</v>
      </c>
      <c r="I29" s="574" t="s">
        <v>792</v>
      </c>
      <c r="J29" s="865"/>
      <c r="K29" s="603"/>
      <c r="L29" s="597"/>
      <c r="M29" s="597"/>
      <c r="N29" s="597"/>
      <c r="O29" s="597"/>
      <c r="P29" s="598"/>
      <c r="Q29" s="599"/>
      <c r="R29" s="599"/>
      <c r="S29" s="599"/>
      <c r="T29" s="599"/>
      <c r="U29" s="599"/>
      <c r="V29" s="599"/>
      <c r="W29" s="599"/>
      <c r="X29" s="599"/>
      <c r="Y29" s="599"/>
      <c r="Z29" s="599"/>
      <c r="AA29" s="599"/>
      <c r="AB29" s="599"/>
      <c r="AC29" s="599"/>
      <c r="AD29" s="599"/>
      <c r="AE29" s="599"/>
      <c r="AF29" s="599"/>
      <c r="AG29" s="599"/>
      <c r="AH29" s="599"/>
      <c r="AI29" s="599"/>
      <c r="AJ29" s="599"/>
      <c r="AK29" s="599"/>
      <c r="AL29" s="599"/>
      <c r="AM29" s="599"/>
      <c r="AN29" s="599"/>
      <c r="AO29" s="599"/>
      <c r="AP29" s="599"/>
      <c r="AQ29" s="599"/>
      <c r="AR29" s="599"/>
      <c r="AS29" s="599"/>
      <c r="AT29" s="599"/>
      <c r="AU29" s="599"/>
      <c r="AV29" s="599"/>
      <c r="AW29" s="599"/>
      <c r="AX29" s="599"/>
      <c r="AY29" s="599"/>
      <c r="AZ29" s="599"/>
      <c r="BA29" s="599"/>
      <c r="BB29" s="599"/>
      <c r="BC29" s="599"/>
      <c r="BD29" s="599"/>
      <c r="BE29" s="599"/>
      <c r="BF29" s="599"/>
      <c r="BG29" s="599"/>
      <c r="BH29" s="485"/>
      <c r="BI29" s="485"/>
      <c r="BJ29" s="485"/>
      <c r="BK29" s="485"/>
      <c r="BL29" s="485"/>
      <c r="BM29" s="485"/>
      <c r="BN29" s="485"/>
      <c r="BO29" s="485"/>
      <c r="BP29" s="485"/>
      <c r="BQ29" s="485"/>
      <c r="BR29" s="485"/>
      <c r="BS29" s="485"/>
      <c r="BT29" s="485"/>
      <c r="BU29" s="485"/>
      <c r="BV29" s="485"/>
      <c r="BW29" s="485"/>
      <c r="BX29" s="485"/>
      <c r="BY29" s="485"/>
      <c r="BZ29" s="485"/>
      <c r="CA29" s="485"/>
      <c r="CB29" s="485"/>
      <c r="CC29" s="485"/>
    </row>
    <row r="30" spans="1:81" s="173" customFormat="1" ht="18" customHeight="1" thickBot="1" x14ac:dyDescent="0.35">
      <c r="A30" s="579"/>
      <c r="B30" s="1017"/>
      <c r="C30" s="1017"/>
      <c r="D30" s="1018"/>
      <c r="E30" s="499">
        <v>2024</v>
      </c>
      <c r="F30" s="175" t="s">
        <v>579</v>
      </c>
      <c r="G30" s="500"/>
      <c r="H30" s="507"/>
      <c r="I30" s="513"/>
      <c r="J30" s="864"/>
      <c r="K30" s="603"/>
      <c r="L30" s="597"/>
      <c r="M30" s="597"/>
      <c r="N30" s="597"/>
      <c r="O30" s="597"/>
      <c r="P30" s="598"/>
      <c r="Q30" s="599"/>
      <c r="R30" s="599"/>
      <c r="S30" s="599"/>
      <c r="T30" s="599"/>
      <c r="U30" s="599"/>
      <c r="V30" s="599"/>
      <c r="W30" s="599"/>
      <c r="X30" s="599"/>
      <c r="Y30" s="599"/>
      <c r="Z30" s="599"/>
      <c r="AA30" s="599"/>
      <c r="AB30" s="599"/>
      <c r="AC30" s="599"/>
      <c r="AD30" s="599"/>
      <c r="AE30" s="599"/>
      <c r="AF30" s="599"/>
      <c r="AG30" s="599"/>
      <c r="AH30" s="599"/>
      <c r="AI30" s="599"/>
      <c r="AJ30" s="599"/>
      <c r="AK30" s="599"/>
      <c r="AL30" s="599"/>
      <c r="AM30" s="599"/>
      <c r="AN30" s="599"/>
      <c r="AO30" s="599"/>
      <c r="AP30" s="599"/>
      <c r="AQ30" s="599"/>
      <c r="AR30" s="599"/>
      <c r="AS30" s="599"/>
      <c r="AT30" s="599"/>
      <c r="AU30" s="599"/>
      <c r="AV30" s="599"/>
      <c r="AW30" s="599"/>
      <c r="AX30" s="599"/>
      <c r="AY30" s="599"/>
      <c r="AZ30" s="599"/>
      <c r="BA30" s="599"/>
      <c r="BB30" s="599"/>
      <c r="BC30" s="599"/>
      <c r="BD30" s="599"/>
      <c r="BE30" s="599"/>
      <c r="BF30" s="599"/>
      <c r="BG30" s="599"/>
      <c r="BH30" s="485"/>
      <c r="BI30" s="485"/>
      <c r="BJ30" s="485"/>
      <c r="BK30" s="485"/>
      <c r="BL30" s="485"/>
      <c r="BM30" s="485"/>
      <c r="BN30" s="485"/>
      <c r="BO30" s="485"/>
      <c r="BP30" s="485"/>
      <c r="BQ30" s="485"/>
      <c r="BR30" s="485"/>
      <c r="BS30" s="485"/>
      <c r="BT30" s="485"/>
      <c r="BU30" s="485"/>
      <c r="BV30" s="485"/>
      <c r="BW30" s="485"/>
      <c r="BX30" s="485"/>
      <c r="BY30" s="485"/>
      <c r="BZ30" s="485"/>
      <c r="CA30" s="485"/>
      <c r="CB30" s="485"/>
      <c r="CC30" s="485"/>
    </row>
    <row r="31" spans="1:81" s="173" customFormat="1" ht="79.8" customHeight="1" thickBot="1" x14ac:dyDescent="0.35">
      <c r="A31" s="560">
        <v>13</v>
      </c>
      <c r="B31" s="1025" t="s">
        <v>1695</v>
      </c>
      <c r="C31" s="1025"/>
      <c r="D31" s="1011"/>
      <c r="E31" s="572" t="str">
        <f>IF(AND(Import!L172=2,Import!L173=2,Import!L175=2,AND(Import!L181&lt;=0,Import!L182&lt;=0)),"No","Yes")</f>
        <v>Yes</v>
      </c>
      <c r="F31" s="581"/>
      <c r="G31" s="572" t="str">
        <f>E31</f>
        <v>Yes</v>
      </c>
      <c r="H31" s="928" t="s">
        <v>1696</v>
      </c>
      <c r="I31" s="510" t="s">
        <v>805</v>
      </c>
      <c r="J31" s="863"/>
      <c r="K31" s="603"/>
      <c r="L31" s="597" t="e">
        <f>IF(Import!L221=1,1,0)</f>
        <v>#N/A</v>
      </c>
      <c r="M31" s="597"/>
      <c r="N31" s="597"/>
      <c r="O31" s="597"/>
      <c r="P31" s="598"/>
      <c r="Q31" s="599"/>
      <c r="R31" s="599"/>
      <c r="S31" s="599"/>
      <c r="T31" s="599"/>
      <c r="U31" s="599"/>
      <c r="V31" s="599"/>
      <c r="W31" s="599"/>
      <c r="X31" s="599"/>
      <c r="Y31" s="599"/>
      <c r="Z31" s="599"/>
      <c r="AA31" s="599"/>
      <c r="AB31" s="599"/>
      <c r="AC31" s="599"/>
      <c r="AD31" s="599"/>
      <c r="AE31" s="599"/>
      <c r="AF31" s="599"/>
      <c r="AG31" s="599"/>
      <c r="AH31" s="599"/>
      <c r="AI31" s="599"/>
      <c r="AJ31" s="599"/>
      <c r="AK31" s="599"/>
      <c r="AL31" s="599"/>
      <c r="AM31" s="599"/>
      <c r="AN31" s="599"/>
      <c r="AO31" s="599"/>
      <c r="AP31" s="599"/>
      <c r="AQ31" s="599"/>
      <c r="AR31" s="599"/>
      <c r="AS31" s="599"/>
      <c r="AT31" s="599"/>
      <c r="AU31" s="599"/>
      <c r="AV31" s="599"/>
      <c r="AW31" s="599"/>
      <c r="AX31" s="599"/>
      <c r="AY31" s="599"/>
      <c r="AZ31" s="599"/>
      <c r="BA31" s="599"/>
      <c r="BB31" s="599"/>
      <c r="BC31" s="599"/>
      <c r="BD31" s="599"/>
      <c r="BE31" s="599"/>
      <c r="BF31" s="599"/>
      <c r="BG31" s="599"/>
      <c r="BH31" s="485"/>
      <c r="BI31" s="485"/>
      <c r="BJ31" s="485"/>
      <c r="BK31" s="485"/>
      <c r="BL31" s="485"/>
      <c r="BM31" s="485"/>
      <c r="BN31" s="485"/>
      <c r="BO31" s="485"/>
      <c r="BP31" s="485"/>
      <c r="BQ31" s="485"/>
      <c r="BR31" s="485"/>
      <c r="BS31" s="485"/>
      <c r="BT31" s="485"/>
      <c r="BU31" s="485"/>
      <c r="BV31" s="485"/>
      <c r="BW31" s="485"/>
      <c r="BX31" s="485"/>
      <c r="BY31" s="485"/>
      <c r="BZ31" s="485"/>
      <c r="CA31" s="485"/>
      <c r="CB31" s="485"/>
      <c r="CC31" s="485"/>
    </row>
    <row r="32" spans="1:81" s="173" customFormat="1" ht="103.8" customHeight="1" thickBot="1" x14ac:dyDescent="0.35">
      <c r="A32" s="919">
        <v>14</v>
      </c>
      <c r="B32" s="1021" t="s">
        <v>1697</v>
      </c>
      <c r="C32" s="1022"/>
      <c r="D32" s="1023"/>
      <c r="E32" s="929" t="str">
        <f>IF(Import!L176=1,"Yes",IF(Import!L176=2,"No",IF(Import!L176=0,"This question must be answered.  See cell C17 on TD")))</f>
        <v>This question must be answered.  See cell C17 on TD</v>
      </c>
      <c r="F32" s="581"/>
      <c r="G32" s="572" t="str">
        <f>E32</f>
        <v>This question must be answered.  See cell C17 on TD</v>
      </c>
      <c r="H32" s="843" t="s">
        <v>1698</v>
      </c>
      <c r="I32" s="510" t="s">
        <v>800</v>
      </c>
      <c r="J32" s="863"/>
      <c r="K32" s="603"/>
      <c r="L32" s="597"/>
      <c r="M32" s="597"/>
      <c r="N32" s="597"/>
      <c r="O32" s="597"/>
      <c r="P32" s="598"/>
      <c r="Q32" s="599"/>
      <c r="R32" s="599"/>
      <c r="S32" s="599"/>
      <c r="T32" s="599"/>
      <c r="U32" s="599"/>
      <c r="V32" s="599"/>
      <c r="W32" s="599"/>
      <c r="X32" s="599"/>
      <c r="Y32" s="599"/>
      <c r="Z32" s="599"/>
      <c r="AA32" s="599"/>
      <c r="AB32" s="599"/>
      <c r="AC32" s="599"/>
      <c r="AD32" s="599"/>
      <c r="AE32" s="599"/>
      <c r="AF32" s="599"/>
      <c r="AG32" s="599"/>
      <c r="AH32" s="599"/>
      <c r="AI32" s="599"/>
      <c r="AJ32" s="599"/>
      <c r="AK32" s="599"/>
      <c r="AL32" s="599"/>
      <c r="AM32" s="599"/>
      <c r="AN32" s="599"/>
      <c r="AO32" s="599"/>
      <c r="AP32" s="599"/>
      <c r="AQ32" s="599"/>
      <c r="AR32" s="599"/>
      <c r="AS32" s="599"/>
      <c r="AT32" s="599"/>
      <c r="AU32" s="599"/>
      <c r="AV32" s="599"/>
      <c r="AW32" s="599"/>
      <c r="AX32" s="599"/>
      <c r="AY32" s="599"/>
      <c r="AZ32" s="599"/>
      <c r="BA32" s="599"/>
      <c r="BB32" s="599"/>
      <c r="BC32" s="599"/>
      <c r="BD32" s="599"/>
      <c r="BE32" s="599"/>
      <c r="BF32" s="599"/>
      <c r="BG32" s="599"/>
      <c r="BH32" s="485"/>
      <c r="BI32" s="485"/>
      <c r="BJ32" s="485"/>
      <c r="BK32" s="485"/>
      <c r="BL32" s="485"/>
      <c r="BM32" s="485"/>
      <c r="BN32" s="485"/>
      <c r="BO32" s="485"/>
      <c r="BP32" s="485"/>
      <c r="BQ32" s="485"/>
      <c r="BR32" s="485"/>
      <c r="BS32" s="485"/>
      <c r="BT32" s="485"/>
      <c r="BU32" s="485"/>
      <c r="BV32" s="485"/>
      <c r="BW32" s="485"/>
      <c r="BX32" s="485"/>
      <c r="BY32" s="485"/>
      <c r="BZ32" s="485"/>
      <c r="CA32" s="485"/>
      <c r="CB32" s="485"/>
      <c r="CC32" s="485"/>
    </row>
    <row r="33" spans="1:81" s="173" customFormat="1" ht="87.6" customHeight="1" thickBot="1" x14ac:dyDescent="0.35">
      <c r="A33" s="919">
        <v>15</v>
      </c>
      <c r="B33" s="1021" t="s">
        <v>1662</v>
      </c>
      <c r="C33" s="1022"/>
      <c r="D33" s="1023"/>
      <c r="E33" s="572" t="str">
        <f>IF(Import!L178=1,"Yes",IF(Import!L178=2,"No",IF(Import!L178=0,"This question must be answered.  See cell C19 on TD")))</f>
        <v>This question must be answered.  See cell C19 on TD</v>
      </c>
      <c r="F33" s="842"/>
      <c r="G33" s="572" t="str">
        <f>E33</f>
        <v>This question must be answered.  See cell C19 on TD</v>
      </c>
      <c r="H33" s="843" t="s">
        <v>1700</v>
      </c>
      <c r="I33" s="510" t="s">
        <v>1699</v>
      </c>
      <c r="J33" s="866"/>
      <c r="K33" s="603"/>
      <c r="L33" s="597"/>
      <c r="M33" s="597"/>
      <c r="N33" s="597"/>
      <c r="O33" s="597"/>
      <c r="P33" s="598"/>
      <c r="Q33" s="599"/>
      <c r="R33" s="599"/>
      <c r="S33" s="599"/>
      <c r="T33" s="599"/>
      <c r="U33" s="599"/>
      <c r="V33" s="599"/>
      <c r="W33" s="599"/>
      <c r="X33" s="599"/>
      <c r="Y33" s="599"/>
      <c r="Z33" s="599"/>
      <c r="AA33" s="599"/>
      <c r="AB33" s="599"/>
      <c r="AC33" s="599"/>
      <c r="AD33" s="599"/>
      <c r="AE33" s="599"/>
      <c r="AF33" s="599"/>
      <c r="AG33" s="599"/>
      <c r="AH33" s="599"/>
      <c r="AI33" s="599"/>
      <c r="AJ33" s="599"/>
      <c r="AK33" s="599"/>
      <c r="AL33" s="599"/>
      <c r="AM33" s="599"/>
      <c r="AN33" s="599"/>
      <c r="AO33" s="599"/>
      <c r="AP33" s="599"/>
      <c r="AQ33" s="599"/>
      <c r="AR33" s="599"/>
      <c r="AS33" s="599"/>
      <c r="AT33" s="599"/>
      <c r="AU33" s="599"/>
      <c r="AV33" s="599"/>
      <c r="AW33" s="599"/>
      <c r="AX33" s="599"/>
      <c r="AY33" s="599"/>
      <c r="AZ33" s="599"/>
      <c r="BA33" s="599"/>
      <c r="BB33" s="599"/>
      <c r="BC33" s="599"/>
      <c r="BD33" s="599"/>
      <c r="BE33" s="599"/>
      <c r="BF33" s="599"/>
      <c r="BG33" s="599"/>
      <c r="BH33" s="485"/>
      <c r="BI33" s="485"/>
      <c r="BJ33" s="485"/>
      <c r="BK33" s="485"/>
      <c r="BL33" s="485"/>
      <c r="BM33" s="485"/>
      <c r="BN33" s="485"/>
      <c r="BO33" s="485"/>
      <c r="BP33" s="485"/>
      <c r="BQ33" s="485"/>
      <c r="BR33" s="485"/>
      <c r="BS33" s="485"/>
      <c r="BT33" s="485"/>
      <c r="BU33" s="485"/>
      <c r="BV33" s="485"/>
      <c r="BW33" s="485"/>
      <c r="BX33" s="485"/>
      <c r="BY33" s="485"/>
      <c r="BZ33" s="485"/>
      <c r="CA33" s="485"/>
      <c r="CB33" s="485"/>
      <c r="CC33" s="485"/>
    </row>
    <row r="34" spans="1:81" s="173" customFormat="1" ht="22.2" customHeight="1" thickBot="1" x14ac:dyDescent="0.35">
      <c r="A34" s="579"/>
      <c r="B34" s="1013" t="s">
        <v>578</v>
      </c>
      <c r="C34" s="1013"/>
      <c r="D34" s="1014"/>
      <c r="E34" s="499">
        <v>2024</v>
      </c>
      <c r="F34" s="175" t="s">
        <v>579</v>
      </c>
      <c r="G34" s="501"/>
      <c r="H34" s="500"/>
      <c r="I34" s="511"/>
      <c r="J34" s="864"/>
      <c r="K34" s="603"/>
      <c r="L34" s="597"/>
      <c r="M34" s="597"/>
      <c r="N34" s="597"/>
      <c r="O34" s="597"/>
      <c r="P34" s="598"/>
      <c r="Q34" s="599"/>
      <c r="R34" s="599"/>
      <c r="S34" s="599"/>
      <c r="T34" s="599"/>
      <c r="U34" s="599"/>
      <c r="V34" s="599"/>
      <c r="W34" s="599"/>
      <c r="X34" s="599"/>
      <c r="Y34" s="599"/>
      <c r="Z34" s="599"/>
      <c r="AA34" s="599"/>
      <c r="AB34" s="599"/>
      <c r="AC34" s="599"/>
      <c r="AD34" s="599"/>
      <c r="AE34" s="599"/>
      <c r="AF34" s="599"/>
      <c r="AG34" s="599"/>
      <c r="AH34" s="599"/>
      <c r="AI34" s="599"/>
      <c r="AJ34" s="599"/>
      <c r="AK34" s="599"/>
      <c r="AL34" s="599"/>
      <c r="AM34" s="599"/>
      <c r="AN34" s="599"/>
      <c r="AO34" s="599"/>
      <c r="AP34" s="599"/>
      <c r="AQ34" s="599"/>
      <c r="AR34" s="599"/>
      <c r="AS34" s="599"/>
      <c r="AT34" s="599"/>
      <c r="AU34" s="599"/>
      <c r="AV34" s="599"/>
      <c r="AW34" s="599"/>
      <c r="AX34" s="599"/>
      <c r="AY34" s="599"/>
      <c r="AZ34" s="599"/>
      <c r="BA34" s="599"/>
      <c r="BB34" s="599"/>
      <c r="BC34" s="599"/>
      <c r="BD34" s="599"/>
      <c r="BE34" s="599"/>
      <c r="BF34" s="599"/>
      <c r="BG34" s="599"/>
      <c r="BH34" s="485"/>
      <c r="BI34" s="485"/>
      <c r="BJ34" s="485"/>
      <c r="BK34" s="485"/>
      <c r="BL34" s="485"/>
      <c r="BM34" s="485"/>
      <c r="BN34" s="485"/>
      <c r="BO34" s="485"/>
      <c r="BP34" s="485"/>
      <c r="BQ34" s="485"/>
      <c r="BR34" s="485"/>
      <c r="BS34" s="485"/>
      <c r="BT34" s="485"/>
      <c r="BU34" s="485"/>
      <c r="BV34" s="485"/>
      <c r="BW34" s="485"/>
      <c r="BX34" s="485"/>
      <c r="BY34" s="485"/>
      <c r="BZ34" s="485"/>
      <c r="CA34" s="485"/>
      <c r="CB34" s="485"/>
      <c r="CC34" s="485"/>
    </row>
    <row r="35" spans="1:81" s="173" customFormat="1" ht="73.650000000000006" customHeight="1" thickBot="1" x14ac:dyDescent="0.35">
      <c r="A35" s="560">
        <v>16</v>
      </c>
      <c r="B35" s="1015" t="s">
        <v>764</v>
      </c>
      <c r="C35" s="1015"/>
      <c r="D35" s="1016"/>
      <c r="E35" s="572" t="str">
        <f>IF(Import!L185=1,"Yes",IF(Import!L185=2,"No",IF(Import!L185=3,"N/A",IF(Import!L185=0,"This question must be answered.  See cell C26 on TD"))))</f>
        <v>This question must be answered.  See cell C26 on TD</v>
      </c>
      <c r="F35" s="581"/>
      <c r="G35" s="572" t="str">
        <f>E35</f>
        <v>This question must be answered.  See cell C26 on TD</v>
      </c>
      <c r="H35" s="506" t="s">
        <v>583</v>
      </c>
      <c r="I35" s="574" t="s">
        <v>449</v>
      </c>
      <c r="J35" s="863"/>
      <c r="K35" s="603"/>
      <c r="L35" s="597"/>
      <c r="M35" s="597"/>
      <c r="N35" s="597"/>
      <c r="O35" s="597"/>
      <c r="P35" s="598"/>
      <c r="Q35" s="599"/>
      <c r="R35" s="599"/>
      <c r="S35" s="599"/>
      <c r="T35" s="599"/>
      <c r="U35" s="599"/>
      <c r="V35" s="599"/>
      <c r="W35" s="599"/>
      <c r="X35" s="599"/>
      <c r="Y35" s="599"/>
      <c r="Z35" s="599"/>
      <c r="AA35" s="599"/>
      <c r="AB35" s="599"/>
      <c r="AC35" s="599"/>
      <c r="AD35" s="599"/>
      <c r="AE35" s="599"/>
      <c r="AF35" s="599"/>
      <c r="AG35" s="599"/>
      <c r="AH35" s="599"/>
      <c r="AI35" s="599"/>
      <c r="AJ35" s="599"/>
      <c r="AK35" s="599"/>
      <c r="AL35" s="599"/>
      <c r="AM35" s="599"/>
      <c r="AN35" s="599"/>
      <c r="AO35" s="599"/>
      <c r="AP35" s="599"/>
      <c r="AQ35" s="599"/>
      <c r="AR35" s="599"/>
      <c r="AS35" s="599"/>
      <c r="AT35" s="599"/>
      <c r="AU35" s="599"/>
      <c r="AV35" s="599"/>
      <c r="AW35" s="599"/>
      <c r="AX35" s="599"/>
      <c r="AY35" s="599"/>
      <c r="AZ35" s="599"/>
      <c r="BA35" s="599"/>
      <c r="BB35" s="599"/>
      <c r="BC35" s="599"/>
      <c r="BD35" s="599"/>
      <c r="BE35" s="599"/>
      <c r="BF35" s="599"/>
      <c r="BG35" s="599"/>
      <c r="BH35" s="485"/>
      <c r="BI35" s="485"/>
      <c r="BJ35" s="485"/>
      <c r="BK35" s="485"/>
      <c r="BL35" s="485"/>
      <c r="BM35" s="485"/>
      <c r="BN35" s="485"/>
      <c r="BO35" s="485"/>
      <c r="BP35" s="485"/>
      <c r="BQ35" s="485"/>
      <c r="BR35" s="485"/>
      <c r="BS35" s="485"/>
      <c r="BT35" s="485"/>
      <c r="BU35" s="485"/>
      <c r="BV35" s="485"/>
      <c r="BW35" s="485"/>
      <c r="BX35" s="485"/>
      <c r="BY35" s="485"/>
      <c r="BZ35" s="485"/>
      <c r="CA35" s="485"/>
      <c r="CB35" s="485"/>
      <c r="CC35" s="485"/>
    </row>
    <row r="36" spans="1:81" s="173" customFormat="1" ht="18" customHeight="1" thickBot="1" x14ac:dyDescent="0.35">
      <c r="A36" s="579"/>
      <c r="B36" s="1017"/>
      <c r="C36" s="1017"/>
      <c r="D36" s="1018"/>
      <c r="E36" s="499">
        <v>2024</v>
      </c>
      <c r="F36" s="575" t="s">
        <v>579</v>
      </c>
      <c r="G36" s="500"/>
      <c r="H36" s="507"/>
      <c r="I36" s="513"/>
      <c r="J36" s="864"/>
      <c r="K36" s="603"/>
      <c r="L36" s="597"/>
      <c r="M36" s="597"/>
      <c r="N36" s="597"/>
      <c r="O36" s="597"/>
      <c r="P36" s="598"/>
      <c r="Q36" s="599"/>
      <c r="R36" s="599"/>
      <c r="S36" s="599"/>
      <c r="T36" s="599"/>
      <c r="U36" s="599"/>
      <c r="V36" s="599"/>
      <c r="W36" s="599"/>
      <c r="X36" s="599"/>
      <c r="Y36" s="599"/>
      <c r="Z36" s="599"/>
      <c r="AA36" s="599"/>
      <c r="AB36" s="599"/>
      <c r="AC36" s="599"/>
      <c r="AD36" s="599"/>
      <c r="AE36" s="599"/>
      <c r="AF36" s="599"/>
      <c r="AG36" s="599"/>
      <c r="AH36" s="599"/>
      <c r="AI36" s="599"/>
      <c r="AJ36" s="599"/>
      <c r="AK36" s="599"/>
      <c r="AL36" s="599"/>
      <c r="AM36" s="599"/>
      <c r="AN36" s="599"/>
      <c r="AO36" s="599"/>
      <c r="AP36" s="599"/>
      <c r="AQ36" s="599"/>
      <c r="AR36" s="599"/>
      <c r="AS36" s="599"/>
      <c r="AT36" s="599"/>
      <c r="AU36" s="599"/>
      <c r="AV36" s="599"/>
      <c r="AW36" s="599"/>
      <c r="AX36" s="599"/>
      <c r="AY36" s="599"/>
      <c r="AZ36" s="599"/>
      <c r="BA36" s="599"/>
      <c r="BB36" s="599"/>
      <c r="BC36" s="599"/>
      <c r="BD36" s="599"/>
      <c r="BE36" s="599"/>
      <c r="BF36" s="599"/>
      <c r="BG36" s="599"/>
      <c r="BH36" s="485"/>
      <c r="BI36" s="485"/>
      <c r="BJ36" s="485"/>
      <c r="BK36" s="485"/>
      <c r="BL36" s="485"/>
      <c r="BM36" s="485"/>
      <c r="BN36" s="485"/>
      <c r="BO36" s="485"/>
      <c r="BP36" s="485"/>
      <c r="BQ36" s="485"/>
      <c r="BR36" s="485"/>
      <c r="BS36" s="485"/>
      <c r="BT36" s="485"/>
      <c r="BU36" s="485"/>
      <c r="BV36" s="485"/>
      <c r="BW36" s="485"/>
      <c r="BX36" s="485"/>
      <c r="BY36" s="485"/>
      <c r="BZ36" s="485"/>
      <c r="CA36" s="485"/>
      <c r="CB36" s="485"/>
      <c r="CC36" s="485"/>
    </row>
    <row r="37" spans="1:81" s="173" customFormat="1" ht="99.75" customHeight="1" thickBot="1" x14ac:dyDescent="0.35">
      <c r="A37" s="560">
        <v>17</v>
      </c>
      <c r="B37" s="1019" t="s">
        <v>1711</v>
      </c>
      <c r="C37" s="1020"/>
      <c r="D37" s="1020"/>
      <c r="E37" s="582">
        <f>Import!L183</f>
        <v>0</v>
      </c>
      <c r="F37" s="581"/>
      <c r="G37" s="572" t="str">
        <f>IF(E37&gt;0,"Yes","No")</f>
        <v>No</v>
      </c>
      <c r="H37" s="847" t="s">
        <v>1712</v>
      </c>
      <c r="I37" s="574" t="s">
        <v>1274</v>
      </c>
      <c r="J37" s="863"/>
      <c r="K37" s="603"/>
      <c r="L37" s="597">
        <f>IF(Import!L229=1,1,0)</f>
        <v>0</v>
      </c>
      <c r="M37" s="620"/>
      <c r="N37" s="597"/>
      <c r="O37" s="597"/>
      <c r="P37" s="598"/>
      <c r="Q37" s="599"/>
      <c r="R37" s="599"/>
      <c r="S37" s="599"/>
      <c r="T37" s="599"/>
      <c r="U37" s="599"/>
      <c r="V37" s="599"/>
      <c r="W37" s="599"/>
      <c r="X37" s="599"/>
      <c r="Y37" s="599"/>
      <c r="Z37" s="599"/>
      <c r="AA37" s="599"/>
      <c r="AB37" s="599"/>
      <c r="AC37" s="599"/>
      <c r="AD37" s="599"/>
      <c r="AE37" s="599"/>
      <c r="AF37" s="599"/>
      <c r="AG37" s="599"/>
      <c r="AH37" s="599"/>
      <c r="AI37" s="599"/>
      <c r="AJ37" s="599"/>
      <c r="AK37" s="599"/>
      <c r="AL37" s="599"/>
      <c r="AM37" s="599"/>
      <c r="AN37" s="599"/>
      <c r="AO37" s="599"/>
      <c r="AP37" s="599"/>
      <c r="AQ37" s="599"/>
      <c r="AR37" s="599"/>
      <c r="AS37" s="599"/>
      <c r="AT37" s="599"/>
      <c r="AU37" s="599"/>
      <c r="AV37" s="599"/>
      <c r="AW37" s="599"/>
      <c r="AX37" s="599"/>
      <c r="AY37" s="599"/>
      <c r="AZ37" s="599"/>
      <c r="BA37" s="599"/>
      <c r="BB37" s="599"/>
      <c r="BC37" s="599"/>
      <c r="BD37" s="599"/>
      <c r="BE37" s="599"/>
      <c r="BF37" s="599"/>
      <c r="BG37" s="599"/>
      <c r="BH37" s="485"/>
      <c r="BI37" s="485"/>
      <c r="BJ37" s="485"/>
      <c r="BK37" s="485"/>
      <c r="BL37" s="485"/>
      <c r="BM37" s="485"/>
      <c r="BN37" s="485"/>
      <c r="BO37" s="485"/>
      <c r="BP37" s="485"/>
      <c r="BQ37" s="485"/>
      <c r="BR37" s="485"/>
      <c r="BS37" s="485"/>
      <c r="BT37" s="485"/>
      <c r="BU37" s="485"/>
      <c r="BV37" s="485"/>
      <c r="BW37" s="485"/>
      <c r="BX37" s="485"/>
      <c r="BY37" s="485"/>
      <c r="BZ37" s="485"/>
      <c r="CA37" s="485"/>
      <c r="CB37" s="485"/>
      <c r="CC37" s="485"/>
    </row>
    <row r="38" spans="1:81" s="486" customFormat="1" x14ac:dyDescent="0.3">
      <c r="A38" s="583"/>
      <c r="B38" s="502"/>
      <c r="C38" s="502"/>
      <c r="D38" s="502"/>
      <c r="E38" s="502"/>
      <c r="F38" s="502"/>
      <c r="G38" s="502"/>
      <c r="H38" s="502"/>
      <c r="I38" s="503"/>
      <c r="J38" s="503"/>
      <c r="K38" s="621"/>
      <c r="L38" s="597"/>
      <c r="M38" s="597"/>
      <c r="N38" s="597"/>
      <c r="O38" s="597"/>
      <c r="P38" s="598"/>
      <c r="Q38" s="599"/>
      <c r="R38" s="599"/>
      <c r="S38" s="599"/>
      <c r="T38" s="599"/>
      <c r="U38" s="599"/>
      <c r="V38" s="599"/>
      <c r="W38" s="599"/>
      <c r="X38" s="599"/>
      <c r="Y38" s="599"/>
      <c r="Z38" s="599"/>
      <c r="AA38" s="599"/>
      <c r="AB38" s="599"/>
      <c r="AC38" s="599"/>
      <c r="AD38" s="599"/>
      <c r="AE38" s="599"/>
      <c r="AF38" s="599"/>
      <c r="AG38" s="599"/>
      <c r="AH38" s="599"/>
      <c r="AI38" s="599"/>
      <c r="AJ38" s="599"/>
      <c r="AK38" s="599"/>
      <c r="AL38" s="599"/>
      <c r="AM38" s="599"/>
      <c r="AN38" s="599"/>
      <c r="AO38" s="599"/>
      <c r="AP38" s="599"/>
      <c r="AQ38" s="599"/>
      <c r="AR38" s="599"/>
      <c r="AS38" s="599"/>
      <c r="AT38" s="599"/>
      <c r="AU38" s="599"/>
      <c r="AV38" s="599"/>
      <c r="AW38" s="599"/>
      <c r="AX38" s="599"/>
      <c r="AY38" s="599"/>
      <c r="AZ38" s="599"/>
      <c r="BA38" s="599"/>
      <c r="BB38" s="599"/>
      <c r="BC38" s="599"/>
      <c r="BD38" s="599"/>
      <c r="BE38" s="599"/>
      <c r="BF38" s="599"/>
      <c r="BG38" s="599"/>
      <c r="BH38" s="485"/>
      <c r="BI38" s="485"/>
      <c r="BJ38" s="485"/>
      <c r="BK38" s="485"/>
      <c r="BL38" s="485"/>
      <c r="BM38" s="485"/>
      <c r="BN38" s="485"/>
      <c r="BO38" s="485"/>
      <c r="BP38" s="485"/>
      <c r="BQ38" s="485"/>
      <c r="BR38" s="485"/>
      <c r="BS38" s="485"/>
      <c r="BT38" s="485"/>
      <c r="BU38" s="485"/>
      <c r="BV38" s="485"/>
      <c r="BW38" s="485"/>
      <c r="BX38" s="485"/>
      <c r="BY38" s="485"/>
      <c r="BZ38" s="485"/>
      <c r="CA38" s="485"/>
      <c r="CB38" s="485"/>
      <c r="CC38" s="485"/>
    </row>
  </sheetData>
  <sheetProtection algorithmName="SHA-512" hashValue="sy0mAYJ4QrLdrQVSFFEm58KBaHVzCo/cisYQly5FSYr/4oZvmOYVA6sxi4KlVStTEMjdDL5j5bdJssDuhiLJSw==" saltValue="gZ+GVuK0x+lWvV6vUFb8JA==" spinCount="100000" sheet="1" objects="1" scenarios="1"/>
  <mergeCells count="35">
    <mergeCell ref="B34:D34"/>
    <mergeCell ref="B35:D35"/>
    <mergeCell ref="B30:D30"/>
    <mergeCell ref="B13:E13"/>
    <mergeCell ref="B37:D37"/>
    <mergeCell ref="B36:D36"/>
    <mergeCell ref="B32:D32"/>
    <mergeCell ref="B27:D27"/>
    <mergeCell ref="B26:D26"/>
    <mergeCell ref="B19:D19"/>
    <mergeCell ref="B22:D22"/>
    <mergeCell ref="B31:D31"/>
    <mergeCell ref="B33:D33"/>
    <mergeCell ref="B24:D24"/>
    <mergeCell ref="B25:D25"/>
    <mergeCell ref="B28:D28"/>
    <mergeCell ref="J8:J9"/>
    <mergeCell ref="B14:E14"/>
    <mergeCell ref="B6:H7"/>
    <mergeCell ref="H8:H9"/>
    <mergeCell ref="B23:D23"/>
    <mergeCell ref="B29:D29"/>
    <mergeCell ref="B8:G9"/>
    <mergeCell ref="B10:E10"/>
    <mergeCell ref="B11:E11"/>
    <mergeCell ref="B12:E12"/>
    <mergeCell ref="I1:J1"/>
    <mergeCell ref="B1:H1"/>
    <mergeCell ref="B2:H2"/>
    <mergeCell ref="C4:E4"/>
    <mergeCell ref="F4:G5"/>
    <mergeCell ref="H4:H5"/>
    <mergeCell ref="C5:E5"/>
    <mergeCell ref="I2:I7"/>
    <mergeCell ref="J2:J7"/>
  </mergeCells>
  <conditionalFormatting sqref="G15">
    <cfRule type="cellIs" dxfId="59" priority="46" operator="lessThan">
      <formula>1</formula>
    </cfRule>
  </conditionalFormatting>
  <conditionalFormatting sqref="G17">
    <cfRule type="cellIs" dxfId="58" priority="45" operator="lessThan">
      <formula>0</formula>
    </cfRule>
  </conditionalFormatting>
  <conditionalFormatting sqref="G18">
    <cfRule type="cellIs" dxfId="57" priority="44" operator="lessThan">
      <formula>0.16</formula>
    </cfRule>
  </conditionalFormatting>
  <conditionalFormatting sqref="G25">
    <cfRule type="cellIs" dxfId="56" priority="39" operator="lessThan">
      <formula>-0.03</formula>
    </cfRule>
  </conditionalFormatting>
  <conditionalFormatting sqref="G31">
    <cfRule type="cellIs" dxfId="55" priority="37" operator="equal">
      <formula>"Yes"</formula>
    </cfRule>
  </conditionalFormatting>
  <conditionalFormatting sqref="G35">
    <cfRule type="cellIs" dxfId="54" priority="36" operator="equal">
      <formula>"Yes"</formula>
    </cfRule>
  </conditionalFormatting>
  <conditionalFormatting sqref="G29">
    <cfRule type="cellIs" dxfId="53" priority="35" operator="equal">
      <formula>"Yes"</formula>
    </cfRule>
  </conditionalFormatting>
  <conditionalFormatting sqref="G27">
    <cfRule type="cellIs" dxfId="52" priority="30" operator="equal">
      <formula>"Decrease"</formula>
    </cfRule>
  </conditionalFormatting>
  <conditionalFormatting sqref="G19 G21">
    <cfRule type="expression" dxfId="51" priority="25">
      <formula>E19="Yes"</formula>
    </cfRule>
  </conditionalFormatting>
  <conditionalFormatting sqref="E29 G29">
    <cfRule type="containsText" dxfId="50" priority="24" operator="containsText" text="This question must be answered">
      <formula>NOT(ISERROR(SEARCH("This question must be answered",E29)))</formula>
    </cfRule>
  </conditionalFormatting>
  <conditionalFormatting sqref="E27 G27">
    <cfRule type="containsText" dxfId="49" priority="23" operator="containsText" text="This question must be answered">
      <formula>NOT(ISERROR(SEARCH("This question must be answered",E27)))</formula>
    </cfRule>
  </conditionalFormatting>
  <conditionalFormatting sqref="E25 G25">
    <cfRule type="containsText" dxfId="48" priority="22" operator="containsText" text="This question must be answered">
      <formula>NOT(ISERROR(SEARCH("This question must be answered",E25)))</formula>
    </cfRule>
  </conditionalFormatting>
  <conditionalFormatting sqref="E35 G35">
    <cfRule type="containsText" dxfId="47" priority="19" operator="containsText" text="This question must be answered">
      <formula>NOT(ISERROR(SEARCH("This question must be answered",E35)))</formula>
    </cfRule>
  </conditionalFormatting>
  <conditionalFormatting sqref="G37">
    <cfRule type="cellIs" dxfId="46" priority="17" operator="equal">
      <formula>"Yes"</formula>
    </cfRule>
  </conditionalFormatting>
  <conditionalFormatting sqref="G37 E37">
    <cfRule type="containsText" dxfId="45" priority="16" operator="containsText" text="This question must be answered">
      <formula>NOT(ISERROR(SEARCH("This question must be answered",E37)))</formula>
    </cfRule>
  </conditionalFormatting>
  <conditionalFormatting sqref="G12">
    <cfRule type="containsText" dxfId="44" priority="1" operator="containsText" text="Operations">
      <formula>NOT(ISERROR(SEARCH("Operations",G12)))</formula>
    </cfRule>
    <cfRule type="containsText" dxfId="43" priority="15" operator="containsText" text="Review account 23 and account 590 responses">
      <formula>NOT(ISERROR(SEARCH("Review account 23 and account 590 responses",G12)))</formula>
    </cfRule>
  </conditionalFormatting>
  <conditionalFormatting sqref="G13">
    <cfRule type="cellIs" dxfId="42" priority="14" operator="lessThan">
      <formula>0</formula>
    </cfRule>
  </conditionalFormatting>
  <conditionalFormatting sqref="E32:E33">
    <cfRule type="containsText" dxfId="41" priority="13" operator="containsText" text="This question must be answered">
      <formula>NOT(ISERROR(SEARCH("This question must be answered",E32)))</formula>
    </cfRule>
  </conditionalFormatting>
  <conditionalFormatting sqref="G32:G33">
    <cfRule type="containsText" dxfId="40" priority="11" operator="containsText" text="No">
      <formula>NOT(ISERROR(SEARCH("No",G32)))</formula>
    </cfRule>
    <cfRule type="containsText" dxfId="39" priority="12" operator="containsText" text="This question must be answered">
      <formula>NOT(ISERROR(SEARCH("This question must be answered",G32)))</formula>
    </cfRule>
  </conditionalFormatting>
  <conditionalFormatting sqref="G11">
    <cfRule type="expression" dxfId="38" priority="10">
      <formula>$O$11=1</formula>
    </cfRule>
  </conditionalFormatting>
  <conditionalFormatting sqref="D20">
    <cfRule type="cellIs" dxfId="37" priority="9" operator="equal">
      <formula>"Prior year data not submitted as of workbook published date."</formula>
    </cfRule>
  </conditionalFormatting>
  <conditionalFormatting sqref="C20">
    <cfRule type="cellIs" dxfId="36" priority="8" operator="equal">
      <formula>"Prior year data not submitted as of workbook published date."</formula>
    </cfRule>
  </conditionalFormatting>
  <conditionalFormatting sqref="F20">
    <cfRule type="expression" dxfId="35" priority="7">
      <formula>D20="Yes"</formula>
    </cfRule>
  </conditionalFormatting>
  <conditionalFormatting sqref="D20">
    <cfRule type="cellIs" dxfId="34" priority="6" operator="equal">
      <formula>"Prior year data not submitted as of workbook published date."</formula>
    </cfRule>
  </conditionalFormatting>
  <conditionalFormatting sqref="C20">
    <cfRule type="cellIs" dxfId="33" priority="5" operator="equal">
      <formula>"Prior year data not submitted as of workbook published date."</formula>
    </cfRule>
  </conditionalFormatting>
  <conditionalFormatting sqref="G20">
    <cfRule type="cellIs" dxfId="32" priority="4" operator="lessThan">
      <formula>0.5</formula>
    </cfRule>
  </conditionalFormatting>
  <conditionalFormatting sqref="G23">
    <cfRule type="cellIs" dxfId="31" priority="3" operator="equal">
      <formula>"Late"</formula>
    </cfRule>
  </conditionalFormatting>
  <conditionalFormatting sqref="E23 G23">
    <cfRule type="containsText" dxfId="30" priority="2" operator="containsText" text="This question must be answered">
      <formula>NOT(ISERROR(SEARCH("This question must be answered",E23)))</formula>
    </cfRule>
  </conditionalFormatting>
  <pageMargins left="0.25" right="0.25" top="0.05" bottom="0.25" header="0.3" footer="0.25"/>
  <pageSetup scale="61" fitToHeight="0" orientation="landscape" r:id="rId1"/>
  <headerFooter>
    <oddFooter>&amp;C&amp;12&amp;P</oddFooter>
  </headerFooter>
  <rowBreaks count="2" manualBreakCount="2">
    <brk id="13" max="7" man="1"/>
    <brk id="33" max="7" man="1"/>
  </rowBreaks>
  <drawing r:id="rId2"/>
  <legacyDrawing r:id="rId3"/>
  <oleObjects>
    <mc:AlternateContent xmlns:mc="http://schemas.openxmlformats.org/markup-compatibility/2006">
      <mc:Choice Requires="x14">
        <oleObject progId="Excel.Sheet.12" shapeId="48131" r:id="rId4">
          <objectPr defaultSize="0" autoPict="0" r:id="rId5">
            <anchor moveWithCells="1">
              <from>
                <xdr:col>1</xdr:col>
                <xdr:colOff>289560</xdr:colOff>
                <xdr:row>7</xdr:row>
                <xdr:rowOff>99060</xdr:rowOff>
              </from>
              <to>
                <xdr:col>5</xdr:col>
                <xdr:colOff>1196340</xdr:colOff>
                <xdr:row>8</xdr:row>
                <xdr:rowOff>1531620</xdr:rowOff>
              </to>
            </anchor>
          </objectPr>
        </oleObject>
      </mc:Choice>
      <mc:Fallback>
        <oleObject progId="Excel.Sheet.12" shapeId="48131"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32C0E-064D-4ACF-98B0-9745AFB9F57A}">
  <sheetPr>
    <pageSetUpPr fitToPage="1"/>
  </sheetPr>
  <dimension ref="B1:Q30"/>
  <sheetViews>
    <sheetView showGridLines="0" zoomScaleNormal="100" workbookViewId="0">
      <selection activeCell="B3" sqref="B3"/>
    </sheetView>
  </sheetViews>
  <sheetFormatPr defaultColWidth="9.109375" defaultRowHeight="14.4" x14ac:dyDescent="0.3"/>
  <cols>
    <col min="1" max="1" width="2" style="173" customWidth="1"/>
    <col min="2" max="2" width="91.109375" style="173" customWidth="1"/>
    <col min="3" max="3" width="17.6640625" style="173" customWidth="1"/>
    <col min="4" max="4" width="8.21875" style="173" customWidth="1"/>
    <col min="5" max="5" width="14.109375" style="148" customWidth="1"/>
    <col min="6" max="6" width="43.44140625" style="173" customWidth="1"/>
    <col min="7" max="7" width="44.21875" style="173" customWidth="1"/>
    <col min="8" max="8" width="9.109375" style="173"/>
    <col min="9" max="9" width="36.77734375" style="173" customWidth="1"/>
    <col min="10" max="11" width="28.88671875" style="173" customWidth="1"/>
    <col min="12" max="12" width="9.109375" style="173"/>
    <col min="13" max="13" width="16.6640625" style="173" customWidth="1"/>
    <col min="14" max="14" width="22.5546875" style="173" customWidth="1"/>
    <col min="15" max="15" width="23.44140625" style="173" customWidth="1"/>
    <col min="16" max="16" width="9.109375" style="173"/>
    <col min="17" max="17" width="26.33203125" style="173" customWidth="1"/>
    <col min="18" max="16384" width="9.109375" style="173"/>
  </cols>
  <sheetData>
    <row r="1" spans="2:7" ht="38.4" customHeight="1" x14ac:dyDescent="0.3">
      <c r="B1" s="1028" t="s">
        <v>1316</v>
      </c>
      <c r="C1" s="1028"/>
    </row>
    <row r="2" spans="2:7" s="539" customFormat="1" ht="12" customHeight="1" x14ac:dyDescent="0.3">
      <c r="B2" s="715"/>
      <c r="C2" s="715"/>
      <c r="E2" s="538"/>
    </row>
    <row r="3" spans="2:7" ht="8.4" customHeight="1" x14ac:dyDescent="0.3">
      <c r="C3" s="586"/>
    </row>
    <row r="4" spans="2:7" ht="24.6" customHeight="1" x14ac:dyDescent="0.3">
      <c r="B4" s="716" t="str">
        <f>'Unit Data from Audit Worksheet'!D2</f>
        <v>Select Unit Name from Drop Down List</v>
      </c>
      <c r="C4" s="719">
        <v>2024</v>
      </c>
      <c r="E4" s="704" t="s">
        <v>1314</v>
      </c>
      <c r="F4" s="705" t="s">
        <v>1315</v>
      </c>
    </row>
    <row r="5" spans="2:7" ht="24.6" customHeight="1" x14ac:dyDescent="0.3">
      <c r="B5" s="239" t="s">
        <v>64</v>
      </c>
      <c r="C5" s="717"/>
      <c r="E5" s="718"/>
      <c r="F5" s="407"/>
    </row>
    <row r="6" spans="2:7" ht="23.4" customHeight="1" x14ac:dyDescent="0.3">
      <c r="B6" s="587" t="s">
        <v>1282</v>
      </c>
      <c r="C6" s="242"/>
    </row>
    <row r="7" spans="2:7" ht="26.4" customHeight="1" x14ac:dyDescent="0.3">
      <c r="B7" s="698" t="s">
        <v>1313</v>
      </c>
      <c r="C7" s="706">
        <f>Import!L38</f>
        <v>0</v>
      </c>
      <c r="D7" s="539"/>
      <c r="E7" s="696">
        <v>506</v>
      </c>
      <c r="F7" s="690" t="s">
        <v>166</v>
      </c>
      <c r="G7" s="539"/>
    </row>
    <row r="8" spans="2:7" ht="21" customHeight="1" x14ac:dyDescent="0.3">
      <c r="B8" s="698" t="s">
        <v>1290</v>
      </c>
      <c r="C8" s="707">
        <f>Import!L39</f>
        <v>0</v>
      </c>
      <c r="D8" s="539"/>
      <c r="E8" s="696">
        <v>536</v>
      </c>
      <c r="F8" s="690" t="s">
        <v>167</v>
      </c>
      <c r="G8" s="539"/>
    </row>
    <row r="9" spans="2:7" ht="19.2" customHeight="1" x14ac:dyDescent="0.3">
      <c r="B9" s="698" t="s">
        <v>1289</v>
      </c>
      <c r="C9" s="707">
        <f>Import!L71</f>
        <v>0</v>
      </c>
      <c r="D9" s="539"/>
      <c r="E9" s="538">
        <v>647</v>
      </c>
      <c r="F9" s="539" t="s">
        <v>560</v>
      </c>
      <c r="G9" s="539"/>
    </row>
    <row r="10" spans="2:7" ht="19.05" customHeight="1" x14ac:dyDescent="0.3">
      <c r="B10" s="588" t="s">
        <v>771</v>
      </c>
      <c r="C10" s="589"/>
    </row>
    <row r="11" spans="2:7" ht="19.05" customHeight="1" x14ac:dyDescent="0.3">
      <c r="B11" s="698" t="s">
        <v>1291</v>
      </c>
      <c r="C11" s="708">
        <f>Import!L43</f>
        <v>0</v>
      </c>
      <c r="D11" s="539"/>
      <c r="E11" s="538">
        <v>4</v>
      </c>
      <c r="F11" s="539" t="s">
        <v>1298</v>
      </c>
      <c r="G11" s="539"/>
    </row>
    <row r="12" spans="2:7" ht="19.05" customHeight="1" x14ac:dyDescent="0.3">
      <c r="B12" s="698" t="s">
        <v>772</v>
      </c>
      <c r="C12" s="708">
        <f>Import!L156</f>
        <v>0</v>
      </c>
      <c r="D12" s="539"/>
      <c r="E12" s="538">
        <v>6</v>
      </c>
      <c r="F12" s="539" t="s">
        <v>208</v>
      </c>
      <c r="G12" s="539"/>
    </row>
    <row r="13" spans="2:7" ht="19.05" customHeight="1" x14ac:dyDescent="0.3">
      <c r="B13" s="698" t="s">
        <v>1292</v>
      </c>
      <c r="C13" s="709">
        <f>Import!L44</f>
        <v>0</v>
      </c>
      <c r="D13" s="539"/>
      <c r="E13" s="538">
        <v>5</v>
      </c>
      <c r="F13" s="539" t="s">
        <v>1287</v>
      </c>
      <c r="G13" s="539"/>
    </row>
    <row r="14" spans="2:7" ht="22.2" customHeight="1" thickBot="1" x14ac:dyDescent="0.35">
      <c r="B14" s="702" t="s">
        <v>1299</v>
      </c>
      <c r="C14" s="713">
        <f>SUM(C7:C9)-SUM(C11:C13)</f>
        <v>0</v>
      </c>
      <c r="D14" s="691"/>
      <c r="E14" s="148" t="s">
        <v>1285</v>
      </c>
      <c r="F14" s="646" t="s">
        <v>1284</v>
      </c>
    </row>
    <row r="15" spans="2:7" ht="22.8" customHeight="1" thickTop="1" x14ac:dyDescent="0.3">
      <c r="B15" s="19"/>
      <c r="C15" s="592"/>
    </row>
    <row r="16" spans="2:7" ht="15.6" x14ac:dyDescent="0.3">
      <c r="B16" s="587" t="s">
        <v>773</v>
      </c>
      <c r="C16" s="593"/>
    </row>
    <row r="17" spans="2:17" x14ac:dyDescent="0.3">
      <c r="B17" s="19" t="s">
        <v>774</v>
      </c>
      <c r="C17" s="242"/>
    </row>
    <row r="18" spans="2:17" ht="19.2" customHeight="1" x14ac:dyDescent="0.3">
      <c r="B18" s="698" t="s">
        <v>1294</v>
      </c>
      <c r="C18" s="710">
        <f>Import!L58</f>
        <v>0</v>
      </c>
      <c r="D18" s="539"/>
      <c r="E18" s="538">
        <v>532</v>
      </c>
      <c r="F18" s="539" t="s">
        <v>612</v>
      </c>
      <c r="G18" s="539"/>
      <c r="H18" s="539"/>
    </row>
    <row r="19" spans="2:17" ht="18" customHeight="1" x14ac:dyDescent="0.3">
      <c r="B19" s="19" t="s">
        <v>775</v>
      </c>
      <c r="C19" s="590"/>
    </row>
    <row r="20" spans="2:17" ht="19.8" customHeight="1" x14ac:dyDescent="0.3">
      <c r="B20" s="698" t="s">
        <v>1296</v>
      </c>
      <c r="C20" s="711">
        <f>Import!L60</f>
        <v>0</v>
      </c>
      <c r="D20" s="539"/>
      <c r="E20" s="538">
        <v>20</v>
      </c>
      <c r="F20" s="539" t="s">
        <v>1293</v>
      </c>
      <c r="G20" s="539"/>
    </row>
    <row r="21" spans="2:17" ht="19.8" customHeight="1" x14ac:dyDescent="0.3">
      <c r="B21" s="698" t="s">
        <v>1295</v>
      </c>
      <c r="C21" s="708">
        <f>Import!L63</f>
        <v>0</v>
      </c>
      <c r="D21" s="539"/>
      <c r="E21" s="538">
        <v>509</v>
      </c>
      <c r="F21" s="539" t="s">
        <v>244</v>
      </c>
      <c r="G21" s="539"/>
    </row>
    <row r="22" spans="2:17" ht="19.2" customHeight="1" x14ac:dyDescent="0.3">
      <c r="B22" s="698" t="s">
        <v>1301</v>
      </c>
      <c r="C22" s="712">
        <f>Import!L61</f>
        <v>0</v>
      </c>
      <c r="D22" s="539"/>
      <c r="E22" s="538">
        <v>533</v>
      </c>
      <c r="F22" s="623" t="s">
        <v>613</v>
      </c>
      <c r="G22" s="539"/>
    </row>
    <row r="23" spans="2:17" ht="20.399999999999999" customHeight="1" x14ac:dyDescent="0.3">
      <c r="B23" s="698" t="s">
        <v>1297</v>
      </c>
      <c r="C23" s="712">
        <f>Import!L62</f>
        <v>0</v>
      </c>
      <c r="D23" s="539"/>
      <c r="E23" s="538">
        <v>508</v>
      </c>
      <c r="F23" s="697" t="s">
        <v>246</v>
      </c>
      <c r="G23" s="539"/>
    </row>
    <row r="24" spans="2:17" ht="27.6" customHeight="1" thickBot="1" x14ac:dyDescent="0.35">
      <c r="B24" s="702" t="s">
        <v>1302</v>
      </c>
      <c r="C24" s="714">
        <f>C18+C20+C21-C22-C23</f>
        <v>0</v>
      </c>
      <c r="D24" s="539"/>
      <c r="E24" s="148" t="s">
        <v>1285</v>
      </c>
      <c r="F24" s="646" t="s">
        <v>1288</v>
      </c>
      <c r="G24" s="539"/>
    </row>
    <row r="25" spans="2:17" ht="15" thickTop="1" x14ac:dyDescent="0.3">
      <c r="B25" s="242"/>
      <c r="C25" s="242"/>
    </row>
    <row r="26" spans="2:17" s="484" customFormat="1" ht="15" thickBot="1" x14ac:dyDescent="0.35">
      <c r="B26" s="702" t="s">
        <v>1300</v>
      </c>
      <c r="C26" s="594" t="e">
        <f>C14/C24</f>
        <v>#DIV/0!</v>
      </c>
      <c r="E26" s="148" t="s">
        <v>1285</v>
      </c>
      <c r="F26" s="484" t="s">
        <v>1317</v>
      </c>
      <c r="H26" s="173"/>
      <c r="I26" s="173"/>
      <c r="J26" s="173"/>
      <c r="K26" s="173"/>
      <c r="L26" s="173"/>
      <c r="M26" s="173"/>
      <c r="N26" s="173"/>
      <c r="O26" s="173"/>
      <c r="P26" s="173"/>
      <c r="Q26" s="173"/>
    </row>
    <row r="27" spans="2:17" s="484" customFormat="1" ht="15" thickTop="1" x14ac:dyDescent="0.3">
      <c r="B27" s="588"/>
      <c r="C27" s="686"/>
      <c r="E27" s="148"/>
      <c r="H27" s="173"/>
      <c r="I27" s="173"/>
      <c r="J27" s="173"/>
      <c r="K27" s="173"/>
      <c r="L27" s="173"/>
      <c r="M27" s="173"/>
      <c r="N27" s="173"/>
      <c r="O27" s="173"/>
      <c r="P27" s="173"/>
      <c r="Q27" s="173"/>
    </row>
    <row r="28" spans="2:17" s="484" customFormat="1" x14ac:dyDescent="0.3">
      <c r="B28" s="588"/>
      <c r="C28" s="686"/>
      <c r="E28" s="148"/>
      <c r="H28" s="173"/>
      <c r="I28" s="173"/>
      <c r="J28" s="173"/>
      <c r="K28" s="173"/>
      <c r="L28" s="173"/>
      <c r="M28" s="173"/>
      <c r="N28" s="173"/>
      <c r="O28" s="173"/>
      <c r="P28" s="173"/>
      <c r="Q28" s="173"/>
    </row>
    <row r="29" spans="2:17" s="484" customFormat="1" x14ac:dyDescent="0.3">
      <c r="B29" s="695"/>
      <c r="C29" s="686"/>
      <c r="E29" s="148"/>
      <c r="H29" s="173"/>
      <c r="I29" s="173"/>
      <c r="J29" s="173"/>
      <c r="K29" s="173"/>
      <c r="L29" s="173"/>
      <c r="M29" s="173"/>
      <c r="N29" s="173"/>
      <c r="O29" s="173"/>
      <c r="P29" s="173"/>
      <c r="Q29" s="173"/>
    </row>
    <row r="30" spans="2:17" x14ac:dyDescent="0.3">
      <c r="B30" s="585"/>
      <c r="C30" s="591"/>
    </row>
  </sheetData>
  <sheetProtection algorithmName="SHA-512" hashValue="T4zI9n8QROE6t+dfh5khp0XXnEPYySBhtFPlkRo1gzpfTjymAEwTUo0AxJBFUn5BIiemI+rDrU8fF1yeRTX/Uw==" saltValue="TDdKu9GMFKYqj5Nv+nVitA==" spinCount="100000" sheet="1" formatCells="0" formatColumns="0" formatRows="0"/>
  <mergeCells count="1">
    <mergeCell ref="B1:C1"/>
  </mergeCells>
  <pageMargins left="0.7" right="0.7" top="0.75" bottom="0.75" header="0.3" footer="0.3"/>
  <pageSetup scale="4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0363B-2A82-4917-8DFC-321AFD5EAE13}">
  <dimension ref="A2:K43"/>
  <sheetViews>
    <sheetView showGridLines="0" zoomScaleNormal="100" workbookViewId="0">
      <selection activeCell="B3" sqref="B3"/>
    </sheetView>
  </sheetViews>
  <sheetFormatPr defaultColWidth="9.109375" defaultRowHeight="14.4" x14ac:dyDescent="0.3"/>
  <cols>
    <col min="1" max="1" width="4.77734375" style="173" customWidth="1"/>
    <col min="2" max="2" width="77.21875" style="173" customWidth="1"/>
    <col min="3" max="3" width="20.21875" style="173" customWidth="1"/>
    <col min="4" max="4" width="3.6640625" style="173" customWidth="1"/>
    <col min="5" max="5" width="20.21875" style="173" customWidth="1"/>
    <col min="6" max="6" width="6.21875" style="173" customWidth="1"/>
    <col min="7" max="7" width="17.33203125" style="173" customWidth="1"/>
    <col min="8" max="8" width="34.77734375" style="173" customWidth="1"/>
    <col min="9" max="9" width="17.109375" style="148" customWidth="1"/>
    <col min="10" max="10" width="21.109375" style="173" customWidth="1"/>
    <col min="11" max="11" width="18.33203125" style="173" customWidth="1"/>
    <col min="12" max="12" width="19.88671875" style="173" customWidth="1"/>
    <col min="13" max="13" width="17.77734375" style="173" customWidth="1"/>
    <col min="14" max="16384" width="9.109375" style="173"/>
  </cols>
  <sheetData>
    <row r="2" spans="1:11" ht="14.4" customHeight="1" x14ac:dyDescent="0.3">
      <c r="B2" s="1029" t="s">
        <v>93</v>
      </c>
      <c r="C2" s="1029"/>
      <c r="D2" s="1029"/>
      <c r="E2" s="1029"/>
      <c r="F2" s="586"/>
      <c r="G2" s="235"/>
    </row>
    <row r="4" spans="1:11" ht="15.6" x14ac:dyDescent="0.3">
      <c r="A4" s="235"/>
      <c r="B4" s="236" t="str">
        <f>'Unit Data from Audit Worksheet'!D2</f>
        <v>Select Unit Name from Drop Down List</v>
      </c>
      <c r="C4" s="747">
        <f>'Unit Data from Audit Worksheet'!F5</f>
        <v>2024</v>
      </c>
      <c r="E4" s="701">
        <f>'Unit Data from Audit Worksheet'!F5</f>
        <v>2024</v>
      </c>
    </row>
    <row r="5" spans="1:11" ht="27.6" x14ac:dyDescent="0.4">
      <c r="A5" s="238"/>
      <c r="B5" s="239" t="s">
        <v>64</v>
      </c>
      <c r="C5" s="237" t="s">
        <v>65</v>
      </c>
      <c r="D5" s="238"/>
      <c r="E5" s="240" t="s">
        <v>66</v>
      </c>
      <c r="G5" s="148" t="s">
        <v>1314</v>
      </c>
      <c r="H5" s="173" t="s">
        <v>37</v>
      </c>
      <c r="I5" s="173"/>
    </row>
    <row r="6" spans="1:11" x14ac:dyDescent="0.3">
      <c r="A6" s="235"/>
      <c r="B6" s="241" t="s">
        <v>67</v>
      </c>
      <c r="C6" s="242"/>
      <c r="D6" s="242"/>
      <c r="E6" s="242"/>
      <c r="G6" s="148"/>
      <c r="I6" s="173"/>
    </row>
    <row r="7" spans="1:11" x14ac:dyDescent="0.3">
      <c r="A7" s="235"/>
      <c r="B7" s="699" t="s">
        <v>1303</v>
      </c>
      <c r="C7" s="706">
        <f>Import!L38</f>
        <v>0</v>
      </c>
      <c r="D7" s="243"/>
      <c r="E7" s="706">
        <f>C7</f>
        <v>0</v>
      </c>
      <c r="G7" s="693">
        <f>Import!J38</f>
        <v>506</v>
      </c>
      <c r="H7" s="692" t="str">
        <f>Import!K38</f>
        <v>Gen Fund - Unrestricted Cash &amp; Investments</v>
      </c>
      <c r="I7" s="173"/>
    </row>
    <row r="8" spans="1:11" x14ac:dyDescent="0.3">
      <c r="A8" s="235"/>
      <c r="B8" s="699" t="s">
        <v>1286</v>
      </c>
      <c r="C8" s="748">
        <f>Import!L39</f>
        <v>0</v>
      </c>
      <c r="D8" s="244"/>
      <c r="E8" s="244"/>
      <c r="G8" s="693">
        <f>Import!J39</f>
        <v>536</v>
      </c>
      <c r="H8" s="692" t="str">
        <f>Import!K39</f>
        <v>Gen Fund - Restricted Cash &amp; Investments</v>
      </c>
      <c r="I8" s="173"/>
    </row>
    <row r="9" spans="1:11" x14ac:dyDescent="0.3">
      <c r="A9" s="235"/>
      <c r="B9" s="699" t="s">
        <v>150</v>
      </c>
      <c r="C9" s="749">
        <f>Import!L43</f>
        <v>0</v>
      </c>
      <c r="D9" s="244"/>
      <c r="E9" s="749">
        <f>C9</f>
        <v>0</v>
      </c>
      <c r="G9" s="693">
        <f>Import!J43</f>
        <v>4</v>
      </c>
      <c r="H9" s="692" t="str">
        <f>Import!K43</f>
        <v>Gen  Fund - Current  Liabilities</v>
      </c>
      <c r="I9" s="173"/>
    </row>
    <row r="10" spans="1:11" x14ac:dyDescent="0.3">
      <c r="A10" s="235"/>
      <c r="B10" s="699" t="s">
        <v>68</v>
      </c>
      <c r="C10" s="708">
        <f>Import!L156</f>
        <v>0</v>
      </c>
      <c r="D10" s="244"/>
      <c r="E10" s="749">
        <f>C10</f>
        <v>0</v>
      </c>
      <c r="G10" s="693">
        <f>Import!J156</f>
        <v>6</v>
      </c>
      <c r="H10" s="692" t="str">
        <f>Import!K156</f>
        <v>Gen Fund - Encumbrances</v>
      </c>
      <c r="I10" s="173"/>
    </row>
    <row r="11" spans="1:11" x14ac:dyDescent="0.3">
      <c r="A11" s="235"/>
      <c r="B11" s="699" t="s">
        <v>69</v>
      </c>
      <c r="C11" s="709">
        <f>Import!L44</f>
        <v>0</v>
      </c>
      <c r="D11" s="245"/>
      <c r="E11" s="749">
        <f>C11</f>
        <v>0</v>
      </c>
      <c r="G11" s="693">
        <f>Import!J44</f>
        <v>5</v>
      </c>
      <c r="H11" s="692" t="str">
        <f>Import!K44</f>
        <v>Gen Fund - deferred inflows derived from Cash Receipts</v>
      </c>
      <c r="I11" s="173"/>
    </row>
    <row r="12" spans="1:11" x14ac:dyDescent="0.3">
      <c r="A12" s="19"/>
      <c r="B12" s="699" t="s">
        <v>70</v>
      </c>
      <c r="C12" s="750">
        <f>C7+C8-SUM(C9:C11)</f>
        <v>0</v>
      </c>
      <c r="E12" s="750">
        <f>E7-SUM(E9:E11)</f>
        <v>0</v>
      </c>
      <c r="G12" s="693" t="s">
        <v>1336</v>
      </c>
      <c r="H12" s="694" t="s">
        <v>1332</v>
      </c>
      <c r="I12" s="692"/>
      <c r="J12" s="694"/>
      <c r="K12" s="751"/>
    </row>
    <row r="13" spans="1:11" x14ac:dyDescent="0.3">
      <c r="A13" s="235"/>
      <c r="B13" s="235"/>
      <c r="C13" s="242"/>
      <c r="D13" s="242"/>
      <c r="E13" s="242"/>
      <c r="G13" s="693"/>
      <c r="H13" s="692"/>
      <c r="I13" s="173"/>
    </row>
    <row r="14" spans="1:11" x14ac:dyDescent="0.3">
      <c r="A14" s="235"/>
      <c r="B14" s="699" t="s">
        <v>1306</v>
      </c>
      <c r="C14" s="752">
        <f>Import!L50</f>
        <v>0</v>
      </c>
      <c r="D14" s="242"/>
      <c r="E14" s="242"/>
      <c r="G14" s="693">
        <f>Import!J50</f>
        <v>9</v>
      </c>
      <c r="H14" s="692" t="str">
        <f>Import!K50</f>
        <v>Gen Fund - Total Fund Balance per report</v>
      </c>
      <c r="I14" s="173"/>
    </row>
    <row r="15" spans="1:11" x14ac:dyDescent="0.3">
      <c r="A15" s="235"/>
      <c r="B15" s="699" t="s">
        <v>71</v>
      </c>
      <c r="C15" s="753">
        <f>C14-C12</f>
        <v>0</v>
      </c>
      <c r="D15" s="242"/>
      <c r="E15" s="242"/>
      <c r="G15" s="693" t="s">
        <v>1336</v>
      </c>
      <c r="H15" s="694" t="s">
        <v>1333</v>
      </c>
      <c r="I15" s="754"/>
    </row>
    <row r="16" spans="1:11" x14ac:dyDescent="0.3">
      <c r="A16" s="235"/>
      <c r="B16" s="246" t="s">
        <v>72</v>
      </c>
      <c r="C16" s="242"/>
      <c r="D16" s="242"/>
      <c r="E16" s="242"/>
      <c r="G16" s="693"/>
      <c r="H16" s="692"/>
      <c r="I16" s="173"/>
    </row>
    <row r="17" spans="1:9" x14ac:dyDescent="0.3">
      <c r="A17" s="247" t="s">
        <v>73</v>
      </c>
      <c r="B17" s="699" t="s">
        <v>1304</v>
      </c>
      <c r="C17" s="753">
        <f>Import!L47</f>
        <v>0</v>
      </c>
      <c r="D17" s="242"/>
      <c r="E17" s="242"/>
      <c r="G17" s="693">
        <f>Import!J47</f>
        <v>7</v>
      </c>
      <c r="H17" s="692" t="str">
        <f>Import!K47</f>
        <v>Gen Fund - Nonspendable</v>
      </c>
      <c r="I17" s="173"/>
    </row>
    <row r="18" spans="1:9" ht="15" thickBot="1" x14ac:dyDescent="0.35">
      <c r="B18" s="699" t="s">
        <v>74</v>
      </c>
      <c r="C18" s="755">
        <f>(C15-SUM(C17:C17))</f>
        <v>0</v>
      </c>
      <c r="D18" s="242"/>
      <c r="E18" s="242"/>
      <c r="G18" s="693" t="s">
        <v>1336</v>
      </c>
      <c r="H18" s="694" t="s">
        <v>1334</v>
      </c>
      <c r="I18" s="173"/>
    </row>
    <row r="19" spans="1:9" ht="15" thickTop="1" x14ac:dyDescent="0.3">
      <c r="B19" s="235"/>
      <c r="C19" s="242"/>
      <c r="D19" s="242"/>
      <c r="E19" s="242"/>
      <c r="G19" s="693"/>
      <c r="H19" s="692"/>
      <c r="I19" s="173"/>
    </row>
    <row r="20" spans="1:9" ht="15" thickBot="1" x14ac:dyDescent="0.35">
      <c r="B20" s="699" t="s">
        <v>1305</v>
      </c>
      <c r="C20" s="756">
        <f>Import!L46</f>
        <v>0</v>
      </c>
      <c r="D20" s="242"/>
      <c r="E20" s="242"/>
      <c r="G20" s="693">
        <f>Import!J46</f>
        <v>391</v>
      </c>
      <c r="H20" s="692" t="str">
        <f>Import!K46</f>
        <v>Gen Fund - RSS</v>
      </c>
      <c r="I20" s="173"/>
    </row>
    <row r="21" spans="1:9" ht="15.6" thickTop="1" thickBot="1" x14ac:dyDescent="0.35">
      <c r="B21" s="248" t="str">
        <f>IF(C18&gt;C20, "Restricted-Stabilization by State Statute understated by ",IF(C20&gt;C18, "Restricted-Stabilization by State Statute overstated by ","Restricted-Stabilization by State Statutue Reportedly Correctly. "))</f>
        <v xml:space="preserve">Restricted-Stabilization by State Statutue Reportedly Correctly. </v>
      </c>
      <c r="C21" s="757">
        <f>ABS(C18-C20)</f>
        <v>0</v>
      </c>
      <c r="D21" s="242"/>
      <c r="E21" s="242"/>
      <c r="G21" s="148"/>
      <c r="I21" s="173"/>
    </row>
    <row r="22" spans="1:9" ht="15" thickTop="1" x14ac:dyDescent="0.3">
      <c r="B22" s="700" t="str">
        <f>IF(C18&gt;C20,"Since Restricted-Stabilization by State Statute was understated, verfiy that the unit did not appropriate fund balance in excess of legal amount available in row 12 above.","")</f>
        <v/>
      </c>
      <c r="C22" s="700"/>
      <c r="D22" s="700"/>
      <c r="E22" s="700"/>
      <c r="F22" s="242"/>
      <c r="G22" s="242"/>
    </row>
    <row r="23" spans="1:9" x14ac:dyDescent="0.3">
      <c r="B23" s="246" t="s">
        <v>75</v>
      </c>
      <c r="C23" s="242"/>
      <c r="D23" s="242"/>
      <c r="E23" s="249" t="s">
        <v>76</v>
      </c>
      <c r="G23" s="148"/>
      <c r="I23" s="173"/>
    </row>
    <row r="24" spans="1:9" x14ac:dyDescent="0.3">
      <c r="B24" s="246"/>
      <c r="C24" s="237" t="s">
        <v>77</v>
      </c>
      <c r="D24" s="242"/>
      <c r="E24" s="237" t="s">
        <v>84</v>
      </c>
      <c r="G24" s="148"/>
      <c r="I24" s="173"/>
    </row>
    <row r="25" spans="1:9" x14ac:dyDescent="0.3">
      <c r="B25" s="241" t="s">
        <v>78</v>
      </c>
      <c r="C25" s="242"/>
      <c r="D25" s="242"/>
      <c r="E25" s="242"/>
      <c r="G25" s="148"/>
      <c r="I25" s="173"/>
    </row>
    <row r="26" spans="1:9" x14ac:dyDescent="0.3">
      <c r="B26" s="699" t="s">
        <v>79</v>
      </c>
      <c r="C26" s="706">
        <f>Import!L58</f>
        <v>0</v>
      </c>
      <c r="D26" s="243"/>
      <c r="E26" s="706">
        <f>C26</f>
        <v>0</v>
      </c>
      <c r="G26" s="758">
        <v>532</v>
      </c>
      <c r="H26" s="759" t="str">
        <f>Import!K58</f>
        <v xml:space="preserve">Gen Fund - Total Expenditures </v>
      </c>
      <c r="I26" s="173"/>
    </row>
    <row r="27" spans="1:9" x14ac:dyDescent="0.3">
      <c r="B27" s="241" t="s">
        <v>80</v>
      </c>
      <c r="C27" s="242"/>
      <c r="D27" s="242"/>
      <c r="E27" s="242"/>
      <c r="G27" s="148"/>
      <c r="H27" s="692"/>
      <c r="I27" s="173"/>
    </row>
    <row r="28" spans="1:9" x14ac:dyDescent="0.3">
      <c r="B28" s="699" t="s">
        <v>81</v>
      </c>
      <c r="C28" s="748">
        <f>Import!L60</f>
        <v>0</v>
      </c>
      <c r="D28" s="244"/>
      <c r="E28" s="748">
        <f>C28</f>
        <v>0</v>
      </c>
      <c r="G28" s="758">
        <v>20</v>
      </c>
      <c r="H28" s="692" t="str">
        <f>Import!K60</f>
        <v>Gen Fund - Transfers Out</v>
      </c>
      <c r="I28" s="173"/>
    </row>
    <row r="29" spans="1:9" ht="41.4" x14ac:dyDescent="0.3">
      <c r="B29" s="699" t="s">
        <v>1307</v>
      </c>
      <c r="C29" s="748">
        <f>Import!L63</f>
        <v>0</v>
      </c>
      <c r="D29" s="244"/>
      <c r="E29" s="748">
        <f>C29</f>
        <v>0</v>
      </c>
      <c r="G29" s="758">
        <v>509</v>
      </c>
      <c r="H29" s="760" t="s">
        <v>244</v>
      </c>
      <c r="I29" s="173"/>
    </row>
    <row r="30" spans="1:9" x14ac:dyDescent="0.3">
      <c r="B30" s="699" t="s">
        <v>82</v>
      </c>
      <c r="C30" s="748">
        <f>Import!L61</f>
        <v>0</v>
      </c>
      <c r="D30" s="244"/>
      <c r="E30" s="748">
        <f>C30</f>
        <v>0</v>
      </c>
      <c r="G30" s="758">
        <v>533</v>
      </c>
      <c r="H30" s="692" t="str">
        <f>Import!K61</f>
        <v xml:space="preserve">Gen Fund - Proceeds from LTD </v>
      </c>
      <c r="I30" s="173"/>
    </row>
    <row r="31" spans="1:9" ht="41.4" x14ac:dyDescent="0.3">
      <c r="B31" s="699" t="s">
        <v>1308</v>
      </c>
      <c r="C31" s="748">
        <f>Import!L62</f>
        <v>0</v>
      </c>
      <c r="D31" s="244"/>
      <c r="E31" s="748">
        <f>C31</f>
        <v>0</v>
      </c>
      <c r="G31" s="758">
        <v>508</v>
      </c>
      <c r="H31" s="760" t="s">
        <v>246</v>
      </c>
      <c r="I31" s="173"/>
    </row>
    <row r="32" spans="1:9" ht="15" thickBot="1" x14ac:dyDescent="0.35">
      <c r="B32" s="761" t="s">
        <v>1309</v>
      </c>
      <c r="C32" s="762">
        <f>C26+C28+C29-C30-C31</f>
        <v>0</v>
      </c>
      <c r="D32" s="243"/>
      <c r="E32" s="762">
        <f>E26+E28+E29-E30-E31</f>
        <v>0</v>
      </c>
      <c r="G32" s="693" t="s">
        <v>1336</v>
      </c>
      <c r="H32" s="751" t="s">
        <v>1288</v>
      </c>
      <c r="I32" s="173"/>
    </row>
    <row r="33" spans="1:9" ht="15" thickTop="1" x14ac:dyDescent="0.3">
      <c r="B33" s="242"/>
      <c r="C33" s="242"/>
      <c r="D33" s="242"/>
      <c r="E33" s="242"/>
      <c r="G33" s="148"/>
      <c r="I33" s="173"/>
    </row>
    <row r="34" spans="1:9" ht="15" thickBot="1" x14ac:dyDescent="0.35">
      <c r="B34" s="761" t="s">
        <v>83</v>
      </c>
      <c r="C34" s="250" t="e">
        <f>C12/C32</f>
        <v>#DIV/0!</v>
      </c>
      <c r="D34" s="242"/>
      <c r="E34" s="250" t="e">
        <f>E12/E32</f>
        <v>#DIV/0!</v>
      </c>
      <c r="G34" s="148"/>
      <c r="I34" s="173"/>
    </row>
    <row r="35" spans="1:9" ht="15" thickTop="1" x14ac:dyDescent="0.3">
      <c r="C35" s="242"/>
      <c r="D35" s="242"/>
      <c r="E35" s="242"/>
      <c r="G35" s="148"/>
      <c r="I35" s="173"/>
    </row>
    <row r="36" spans="1:9" ht="15.6" x14ac:dyDescent="0.3">
      <c r="A36" s="20"/>
    </row>
    <row r="38" spans="1:9" x14ac:dyDescent="0.3">
      <c r="E38" s="763"/>
    </row>
    <row r="39" spans="1:9" x14ac:dyDescent="0.3">
      <c r="E39" s="119"/>
    </row>
    <row r="40" spans="1:9" x14ac:dyDescent="0.3">
      <c r="E40" s="119"/>
    </row>
    <row r="41" spans="1:9" x14ac:dyDescent="0.3">
      <c r="E41" s="119"/>
    </row>
    <row r="42" spans="1:9" x14ac:dyDescent="0.3">
      <c r="E42" s="119"/>
    </row>
    <row r="43" spans="1:9" x14ac:dyDescent="0.3">
      <c r="E43" s="119"/>
    </row>
  </sheetData>
  <sheetProtection algorithmName="SHA-512" hashValue="D7bZkGNFaCgGJ0oeO30HWYIlSFwtHnEbkCF0GQ6E7ZShTvedCswY8sJ+q/VGL67l2snBj8yWamyjxhNTfkOLgw==" saltValue="FXWRNQDBG/muSZqJd/EvkA==" spinCount="100000" sheet="1" formatCells="0" formatColumns="0" formatRows="0"/>
  <mergeCells count="1">
    <mergeCell ref="B2:E2"/>
  </mergeCells>
  <pageMargins left="0.7" right="0.7" top="0.75" bottom="0.75" header="0.3" footer="0.3"/>
  <pageSetup scale="44" orientation="portrait" r:id="rId1"/>
  <ignoredErrors>
    <ignoredError sqref="C30" formula="1"/>
    <ignoredError sqref="G27"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B670"/>
  <sheetViews>
    <sheetView zoomScaleNormal="100"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3" customWidth="1"/>
    <col min="2" max="2" width="17.5546875" style="46" bestFit="1" customWidth="1"/>
    <col min="3" max="3" width="42.44140625" style="332" customWidth="1"/>
    <col min="4" max="4" width="16.33203125" style="3" customWidth="1"/>
    <col min="5" max="5" width="17.5546875" style="3" customWidth="1"/>
    <col min="6" max="6" width="18.6640625" style="3" customWidth="1"/>
    <col min="7" max="7" width="16" style="251" customWidth="1"/>
    <col min="8" max="8" width="14.6640625" style="3" customWidth="1"/>
    <col min="9" max="9" width="1" style="281" customWidth="1"/>
    <col min="10" max="10" width="18.109375" style="5" customWidth="1"/>
    <col min="11" max="11" width="36.88671875" style="9" customWidth="1"/>
    <col min="12" max="12" width="23.44140625" style="339" customWidth="1"/>
    <col min="13" max="13" width="8.44140625" customWidth="1"/>
    <col min="14" max="14" width="10.88671875" style="3" customWidth="1"/>
    <col min="15" max="15" width="17.88671875" style="3" customWidth="1"/>
    <col min="16" max="16" width="9.109375" style="177" customWidth="1"/>
    <col min="17" max="17" width="10.33203125" style="253" customWidth="1"/>
    <col min="18" max="18" width="7.109375" style="3" customWidth="1"/>
    <col min="19" max="19" width="6" style="3" customWidth="1"/>
    <col min="20" max="20" width="6.6640625" style="3" customWidth="1"/>
    <col min="21" max="21" width="7.5546875" style="3" customWidth="1"/>
    <col min="22" max="22" width="3.44140625" style="3" customWidth="1"/>
    <col min="23" max="23" width="7.33203125" customWidth="1"/>
    <col min="24" max="24" width="10.5546875" customWidth="1"/>
    <col min="25" max="25" width="9.88671875" customWidth="1"/>
    <col min="26" max="26" width="9.109375" customWidth="1"/>
    <col min="29" max="16384" width="9.109375" style="3"/>
  </cols>
  <sheetData>
    <row r="1" spans="1:28" ht="36" x14ac:dyDescent="0.3">
      <c r="C1" s="43" t="s">
        <v>344</v>
      </c>
      <c r="D1" s="13">
        <f>L50-(L38+L39-L43-L44-L156)-L47</f>
        <v>0</v>
      </c>
      <c r="I1" s="252"/>
      <c r="J1" s="42"/>
      <c r="K1" s="14" t="s">
        <v>42</v>
      </c>
      <c r="L1" s="56"/>
      <c r="S1" s="3">
        <v>100</v>
      </c>
      <c r="T1" s="3">
        <v>1</v>
      </c>
    </row>
    <row r="2" spans="1:28" ht="36" x14ac:dyDescent="0.4">
      <c r="C2" s="67" t="str">
        <f>'Unit Data from Audit Worksheet'!D2</f>
        <v>Select Unit Name from Drop Down List</v>
      </c>
      <c r="D2" s="131">
        <v>2024</v>
      </c>
      <c r="E2" s="131">
        <v>2024</v>
      </c>
      <c r="F2" s="12"/>
      <c r="G2" s="63"/>
      <c r="H2" s="12"/>
      <c r="I2" s="252"/>
      <c r="J2" s="37" t="s">
        <v>38</v>
      </c>
      <c r="K2" s="8" t="s">
        <v>37</v>
      </c>
      <c r="L2" s="61" t="s">
        <v>26</v>
      </c>
      <c r="S2" s="3">
        <v>200</v>
      </c>
      <c r="T2" s="3">
        <v>2</v>
      </c>
    </row>
    <row r="3" spans="1:28" ht="46.8" x14ac:dyDescent="0.3">
      <c r="A3" s="254" t="s">
        <v>38</v>
      </c>
      <c r="B3" s="255"/>
      <c r="C3" s="40" t="s">
        <v>1</v>
      </c>
      <c r="D3" s="15" t="s">
        <v>39</v>
      </c>
      <c r="E3" s="15" t="s">
        <v>40</v>
      </c>
      <c r="F3" s="16" t="s">
        <v>44</v>
      </c>
      <c r="G3" s="68" t="s">
        <v>263</v>
      </c>
      <c r="H3" s="16" t="s">
        <v>296</v>
      </c>
      <c r="I3" s="252"/>
      <c r="J3" s="256"/>
      <c r="K3" s="132"/>
      <c r="L3" s="257"/>
      <c r="O3" s="3" t="s">
        <v>237</v>
      </c>
      <c r="Q3" s="79" t="s">
        <v>264</v>
      </c>
      <c r="S3" s="3">
        <v>300</v>
      </c>
      <c r="T3" s="3">
        <v>3</v>
      </c>
    </row>
    <row r="4" spans="1:28" ht="18" x14ac:dyDescent="0.35">
      <c r="A4" s="258"/>
      <c r="B4" s="259"/>
      <c r="C4" s="44"/>
      <c r="D4" s="7"/>
      <c r="E4" s="7"/>
      <c r="F4" s="7"/>
      <c r="G4" s="64"/>
      <c r="H4" s="7"/>
      <c r="I4" s="252"/>
      <c r="J4" s="39">
        <v>999</v>
      </c>
      <c r="K4" s="11" t="s">
        <v>234</v>
      </c>
      <c r="L4" s="720" t="e">
        <f>'Unit Data from Audit Worksheet'!D3</f>
        <v>#N/A</v>
      </c>
      <c r="S4" s="3">
        <v>400</v>
      </c>
      <c r="T4" s="3">
        <v>4</v>
      </c>
    </row>
    <row r="5" spans="1:28" ht="62.4" customHeight="1" x14ac:dyDescent="0.3">
      <c r="A5" s="260">
        <f>'Unit Data from Audit Worksheet'!A9</f>
        <v>333</v>
      </c>
      <c r="B5" s="48" t="str">
        <f>'Unit Data from Audit Worksheet'!C9</f>
        <v>Net Position-Governmental Activities</v>
      </c>
      <c r="C5" s="261" t="str">
        <f>'Unit Data from Audit Worksheet'!D9</f>
        <v xml:space="preserve"> All unrestricted Cash and investments.  
Exclude: restricted cash 
                   cash held by a third party. </v>
      </c>
      <c r="D5" s="130"/>
      <c r="E5" s="136">
        <f>'Unit Data from Audit Worksheet'!F9</f>
        <v>0</v>
      </c>
      <c r="F5" s="209">
        <f>IF(L5&lt;0,"Error: Number is normally positive.",)</f>
        <v>0</v>
      </c>
      <c r="G5" s="65"/>
      <c r="H5" s="208"/>
      <c r="I5" s="32"/>
      <c r="J5" s="36">
        <v>333</v>
      </c>
      <c r="K5" s="45" t="s">
        <v>153</v>
      </c>
      <c r="L5" s="262">
        <f>IF(D5="",E5,D5)</f>
        <v>0</v>
      </c>
      <c r="P5" s="183"/>
    </row>
    <row r="6" spans="1:28" ht="54" customHeight="1" x14ac:dyDescent="0.3">
      <c r="A6" s="197">
        <f>'Unit Data from Audit Worksheet'!A10</f>
        <v>500</v>
      </c>
      <c r="B6" s="210" t="str">
        <f>'Unit Data from Audit Worksheet'!C10</f>
        <v>Net Position-Governmental Activities</v>
      </c>
      <c r="C6" s="196" t="str">
        <f>'Unit Data from Audit Worksheet'!D10</f>
        <v xml:space="preserve"> All restricted Cash and investments</v>
      </c>
      <c r="D6" s="130"/>
      <c r="E6" s="215">
        <f>'Unit Data from Audit Worksheet'!F10</f>
        <v>0</v>
      </c>
      <c r="F6" s="209">
        <f>IF(L6&lt;0,"Error: Number is normally positive.",)</f>
        <v>0</v>
      </c>
      <c r="G6" s="211"/>
      <c r="H6" s="208"/>
      <c r="I6" s="32"/>
      <c r="J6" s="207">
        <v>500</v>
      </c>
      <c r="K6" s="206" t="s">
        <v>152</v>
      </c>
      <c r="L6" s="262">
        <f>IF(D6="",E6,D6)</f>
        <v>0</v>
      </c>
      <c r="P6" s="184"/>
    </row>
    <row r="7" spans="1:28" ht="51" customHeight="1" x14ac:dyDescent="0.3">
      <c r="A7" s="197">
        <f>'Unit Data from Audit Worksheet'!A11</f>
        <v>385</v>
      </c>
      <c r="B7" s="210" t="str">
        <f>'Unit Data from Audit Worksheet'!C11</f>
        <v>Net Position-Governmental Activities</v>
      </c>
      <c r="C7" s="196" t="str">
        <f>'Unit Data from Audit Worksheet'!D11</f>
        <v>Total Assets and deferred outflows</v>
      </c>
      <c r="D7" s="130"/>
      <c r="E7" s="215">
        <f>'Unit Data from Audit Worksheet'!F11</f>
        <v>0</v>
      </c>
      <c r="F7" s="123">
        <f>IF((L5+L6)&gt;L7,"Error: Please review accts (333 + 500) &gt; 385",)</f>
        <v>0</v>
      </c>
      <c r="G7" s="211" t="str">
        <f>IF(Q7=1," Included in error count"," ")</f>
        <v xml:space="preserve"> </v>
      </c>
      <c r="H7" s="208"/>
      <c r="I7" s="32"/>
      <c r="J7" s="69">
        <v>385</v>
      </c>
      <c r="K7" s="70" t="s">
        <v>95</v>
      </c>
      <c r="L7" s="263">
        <f>IF(D7="",E7,D7)+IF(D9="",E9,D9)</f>
        <v>0</v>
      </c>
      <c r="N7" s="71" t="s">
        <v>252</v>
      </c>
      <c r="P7" s="184"/>
    </row>
    <row r="8" spans="1:28" ht="90.75" customHeight="1" x14ac:dyDescent="0.3">
      <c r="A8" s="197">
        <f>'Unit Data from Audit Worksheet'!A12</f>
        <v>575</v>
      </c>
      <c r="B8" s="210" t="str">
        <f>'Unit Data from Audit Worksheet'!C12</f>
        <v>Net Position-Governmental Activities</v>
      </c>
      <c r="C8" s="196" t="str">
        <f>'Unit Data from Audit Worksheet'!D12</f>
        <v>Record any positive Internal balances on the net position statements that appear in the Asset Section of the Net Position Statement</v>
      </c>
      <c r="D8" s="130"/>
      <c r="E8" s="215">
        <f>'Unit Data from Audit Worksheet'!F12</f>
        <v>0</v>
      </c>
      <c r="F8" s="209">
        <f>IF(L8&lt;0,"Error: Number is normally positive.",)</f>
        <v>0</v>
      </c>
      <c r="G8" s="211"/>
      <c r="H8" s="208"/>
      <c r="I8" s="32"/>
      <c r="J8" s="207">
        <v>575</v>
      </c>
      <c r="K8" s="213" t="s">
        <v>255</v>
      </c>
      <c r="L8" s="262">
        <f>IF(D8="",E8,D8)</f>
        <v>0</v>
      </c>
      <c r="N8" s="57"/>
      <c r="P8" s="184"/>
    </row>
    <row r="9" spans="1:28" ht="103.5" customHeight="1" x14ac:dyDescent="0.3">
      <c r="A9" s="197">
        <f>'Unit Data from Audit Worksheet'!A13</f>
        <v>576</v>
      </c>
      <c r="B9" s="210" t="str">
        <f>'Unit Data from Audit Worksheet'!C13</f>
        <v>Net Position-Governmental Activities</v>
      </c>
      <c r="C9" s="264" t="str">
        <f>'Unit Data from Audit Worksheet'!D13</f>
        <v>Record any negative Internal balances on the net position statements that appear in the Asset Section of the Net Position Statement.
Enter as a positive</v>
      </c>
      <c r="D9" s="101"/>
      <c r="E9" s="139">
        <f>'Unit Data from Audit Worksheet'!F13</f>
        <v>0</v>
      </c>
      <c r="F9" s="205">
        <f>IF(E9&lt;0,"Error: Enter as positive.",)</f>
        <v>0</v>
      </c>
      <c r="G9" s="103"/>
      <c r="H9" s="104"/>
      <c r="I9" s="32"/>
      <c r="J9" s="97">
        <v>576</v>
      </c>
      <c r="K9" s="213" t="s">
        <v>256</v>
      </c>
      <c r="L9" s="262">
        <f>IF(D9="",E9,D9)</f>
        <v>0</v>
      </c>
      <c r="N9" s="57"/>
      <c r="P9" s="185"/>
    </row>
    <row r="10" spans="1:28" s="18" customFormat="1" ht="100.5" customHeight="1" x14ac:dyDescent="0.3">
      <c r="A10" s="197">
        <f>'Unit Data from Audit Worksheet'!A14</f>
        <v>626</v>
      </c>
      <c r="B10" s="202" t="str">
        <f>'Unit Data from Audit Worksheet'!C14</f>
        <v>Net Position-Governmental Activities</v>
      </c>
      <c r="C10" s="201" t="str">
        <f>'Unit Data from Audit Worksheet'!D14</f>
        <v xml:space="preserve">Total Current liabilities (as reported on Statement of Net Position)
Include:   Current liabilities including current portion of long-term debt.  Deferred inflows should not be included in Current Liabilities  </v>
      </c>
      <c r="D10" s="101"/>
      <c r="E10" s="218">
        <f>'Unit Data from Audit Worksheet'!F14</f>
        <v>0</v>
      </c>
      <c r="F10" s="204">
        <f>IF(L10&lt;0,"Error: Enter as a positive.",)</f>
        <v>0</v>
      </c>
      <c r="G10" s="193"/>
      <c r="H10" s="204"/>
      <c r="I10" s="32"/>
      <c r="J10" s="638">
        <v>626</v>
      </c>
      <c r="K10" s="639" t="s">
        <v>320</v>
      </c>
      <c r="L10" s="640">
        <f>IF(D10="",E10,D10)+IF(D9="",E9,D9)</f>
        <v>0</v>
      </c>
      <c r="M10"/>
      <c r="N10" s="160" t="s">
        <v>252</v>
      </c>
      <c r="O10" s="265"/>
      <c r="P10" s="186"/>
      <c r="Q10" s="266"/>
      <c r="R10" s="3"/>
      <c r="W10"/>
      <c r="X10"/>
      <c r="Y10"/>
      <c r="Z10"/>
      <c r="AA10"/>
      <c r="AB10"/>
    </row>
    <row r="11" spans="1:28" s="18" customFormat="1" ht="106.8" customHeight="1" x14ac:dyDescent="0.3">
      <c r="A11" s="197">
        <f>'Unit Data from Audit Worksheet'!A15</f>
        <v>627</v>
      </c>
      <c r="B11" s="202" t="str">
        <f>'Unit Data from Audit Worksheet'!C15</f>
        <v>Net Position-Governmental Activities</v>
      </c>
      <c r="C11" s="201" t="str">
        <f>'Unit Data from Audit Worksheet'!D15</f>
        <v>Please enter any bond anticipation notes that are classified as current liabilities and included in account 626 above (amounts entered should agree to the current amount included in the changes to long-term debt note)</v>
      </c>
      <c r="D11" s="101"/>
      <c r="E11" s="218">
        <f>'Unit Data from Audit Worksheet'!F15</f>
        <v>0</v>
      </c>
      <c r="F11" s="204"/>
      <c r="G11" s="193"/>
      <c r="H11" s="204"/>
      <c r="I11" s="32"/>
      <c r="J11" s="203">
        <v>627</v>
      </c>
      <c r="K11" s="181" t="s">
        <v>312</v>
      </c>
      <c r="L11" s="268">
        <f t="shared" ref="L11:L16" si="0">IF(D11="",E11,D11)</f>
        <v>0</v>
      </c>
      <c r="M11"/>
      <c r="N11" s="159"/>
      <c r="O11" s="265"/>
      <c r="P11" s="186"/>
      <c r="Q11" s="266"/>
      <c r="R11" s="3"/>
      <c r="W11"/>
      <c r="X11"/>
      <c r="Y11"/>
      <c r="Z11"/>
      <c r="AA11"/>
      <c r="AB11"/>
    </row>
    <row r="12" spans="1:28" s="18" customFormat="1" ht="106.8" customHeight="1" x14ac:dyDescent="0.3">
      <c r="A12" s="197">
        <f>'Unit Data from Audit Worksheet'!A16</f>
        <v>628</v>
      </c>
      <c r="B12" s="202" t="str">
        <f>'Unit Data from Audit Worksheet'!C16</f>
        <v>Net Position-Governmental Activities</v>
      </c>
      <c r="C12" s="201" t="str">
        <f>'Unit Data from Audit Worksheet'!D16</f>
        <v>Please enter any compensated absences that are classified as current liabilities and included in account 626 above (amounts entered should agree to the current amount included in the changes to long-term debt note)</v>
      </c>
      <c r="D12" s="101"/>
      <c r="E12" s="218">
        <f>'Unit Data from Audit Worksheet'!F16</f>
        <v>0</v>
      </c>
      <c r="F12" s="204"/>
      <c r="G12" s="193"/>
      <c r="H12" s="204"/>
      <c r="I12" s="32"/>
      <c r="J12" s="203">
        <v>628</v>
      </c>
      <c r="K12" s="181" t="s">
        <v>317</v>
      </c>
      <c r="L12" s="268">
        <f t="shared" si="0"/>
        <v>0</v>
      </c>
      <c r="M12"/>
      <c r="N12" s="159"/>
      <c r="O12" s="265"/>
      <c r="P12" s="186"/>
      <c r="Q12" s="266"/>
      <c r="R12" s="3"/>
      <c r="W12"/>
      <c r="X12"/>
      <c r="Y12"/>
      <c r="Z12"/>
      <c r="AA12"/>
      <c r="AB12"/>
    </row>
    <row r="13" spans="1:28" s="18" customFormat="1" ht="108" customHeight="1" x14ac:dyDescent="0.3">
      <c r="A13" s="197">
        <f>'Unit Data from Audit Worksheet'!A17</f>
        <v>629</v>
      </c>
      <c r="B13" s="202" t="str">
        <f>'Unit Data from Audit Worksheet'!C17</f>
        <v>Net Position-Governmental Activities</v>
      </c>
      <c r="C13" s="201" t="str">
        <f>'Unit Data from Audit Worksheet'!D17</f>
        <v>Please enter any pension liabilities that are classified as current liabilities and included in account 626 above (amounts entered should agree to the current amount included in the changes to long-term debt note)</v>
      </c>
      <c r="D13" s="101"/>
      <c r="E13" s="218">
        <f>'Unit Data from Audit Worksheet'!F17</f>
        <v>0</v>
      </c>
      <c r="F13" s="204"/>
      <c r="G13" s="193"/>
      <c r="H13" s="204"/>
      <c r="I13" s="32"/>
      <c r="J13" s="203">
        <v>629</v>
      </c>
      <c r="K13" s="181" t="s">
        <v>316</v>
      </c>
      <c r="L13" s="268">
        <f t="shared" si="0"/>
        <v>0</v>
      </c>
      <c r="M13"/>
      <c r="N13" s="159"/>
      <c r="O13" s="265"/>
      <c r="P13" s="186"/>
      <c r="Q13" s="266"/>
      <c r="R13" s="3"/>
      <c r="W13"/>
      <c r="X13"/>
      <c r="Y13"/>
      <c r="Z13"/>
      <c r="AA13"/>
      <c r="AB13"/>
    </row>
    <row r="14" spans="1:28" s="18" customFormat="1" ht="67.5" customHeight="1" x14ac:dyDescent="0.3">
      <c r="A14" s="197">
        <f>'Unit Data from Audit Worksheet'!A18</f>
        <v>630</v>
      </c>
      <c r="B14" s="202" t="str">
        <f>'Unit Data from Audit Worksheet'!C18</f>
        <v>Net Position-Governmental Activities</v>
      </c>
      <c r="C14" s="201" t="str">
        <f>'Unit Data from Audit Worksheet'!D18</f>
        <v>Please enter any current liabilities that are payable from restricted assets and included in account 626 above</v>
      </c>
      <c r="D14" s="101"/>
      <c r="E14" s="218">
        <f>'Unit Data from Audit Worksheet'!F18</f>
        <v>0</v>
      </c>
      <c r="F14" s="204"/>
      <c r="G14" s="193"/>
      <c r="H14" s="204"/>
      <c r="I14" s="32"/>
      <c r="J14" s="203">
        <v>630</v>
      </c>
      <c r="K14" s="181" t="s">
        <v>315</v>
      </c>
      <c r="L14" s="268">
        <f t="shared" si="0"/>
        <v>0</v>
      </c>
      <c r="M14"/>
      <c r="N14" s="159"/>
      <c r="O14" s="265"/>
      <c r="P14" s="186"/>
      <c r="Q14" s="266"/>
      <c r="R14" s="3"/>
      <c r="W14"/>
      <c r="X14"/>
      <c r="Y14"/>
      <c r="Z14"/>
      <c r="AA14"/>
      <c r="AB14"/>
    </row>
    <row r="15" spans="1:28" s="18" customFormat="1" ht="110.4" customHeight="1" x14ac:dyDescent="0.3">
      <c r="A15" s="197">
        <f>'Unit Data from Audit Worksheet'!A19</f>
        <v>631</v>
      </c>
      <c r="B15" s="210" t="str">
        <f>'Unit Data from Audit Worksheet'!C19</f>
        <v>Net Position-Governmental Activities</v>
      </c>
      <c r="C15" s="194" t="str">
        <f>'Unit Data from Audit Worksheet'!D19</f>
        <v>Please enter any OPEB liabilities that are classified as current liabilities and included in account 626 above (amounts entered should agree to the current amount included in the changes to long-term debt note)</v>
      </c>
      <c r="D15" s="101"/>
      <c r="E15" s="218">
        <f>'Unit Data from Audit Worksheet'!F19</f>
        <v>0</v>
      </c>
      <c r="F15" s="204"/>
      <c r="G15" s="193"/>
      <c r="H15" s="204"/>
      <c r="I15" s="32"/>
      <c r="J15" s="203">
        <v>631</v>
      </c>
      <c r="K15" s="181" t="s">
        <v>314</v>
      </c>
      <c r="L15" s="268">
        <f t="shared" si="0"/>
        <v>0</v>
      </c>
      <c r="M15"/>
      <c r="N15" s="159"/>
      <c r="O15" s="265"/>
      <c r="P15" s="186"/>
      <c r="Q15" s="266"/>
      <c r="R15" s="3"/>
      <c r="W15"/>
      <c r="X15"/>
      <c r="Y15"/>
      <c r="Z15"/>
      <c r="AA15"/>
      <c r="AB15"/>
    </row>
    <row r="16" spans="1:28" s="18" customFormat="1" ht="126.6" customHeight="1" x14ac:dyDescent="0.3">
      <c r="A16" s="197">
        <f>'Unit Data from Audit Worksheet'!A20</f>
        <v>632</v>
      </c>
      <c r="B16" s="210" t="str">
        <f>'Unit Data from Audit Worksheet'!C20</f>
        <v>Net Position-Governmental Activities</v>
      </c>
      <c r="C16" s="194" t="str">
        <f>'Unit Data from Audit Worksheet'!D20</f>
        <v>Please enter any landfill closure/postclosure liabilities that are classified as current liabilities and included in account 626 above (amounts entered should agree to the current amount included in the changes to long-term debt note)</v>
      </c>
      <c r="D16" s="101"/>
      <c r="E16" s="218">
        <f>'Unit Data from Audit Worksheet'!F20</f>
        <v>0</v>
      </c>
      <c r="F16" s="204"/>
      <c r="G16" s="193"/>
      <c r="H16" s="204"/>
      <c r="I16" s="32"/>
      <c r="J16" s="203">
        <v>632</v>
      </c>
      <c r="K16" s="181" t="s">
        <v>313</v>
      </c>
      <c r="L16" s="268">
        <f t="shared" si="0"/>
        <v>0</v>
      </c>
      <c r="M16"/>
      <c r="N16" s="159"/>
      <c r="O16" s="265"/>
      <c r="P16" s="186"/>
      <c r="Q16" s="266"/>
      <c r="R16" s="3"/>
      <c r="W16"/>
      <c r="X16"/>
      <c r="Y16"/>
      <c r="Z16"/>
      <c r="AA16"/>
      <c r="AB16"/>
    </row>
    <row r="17" spans="1:16" ht="61.2" x14ac:dyDescent="0.3">
      <c r="A17" s="534">
        <f>'Unit Data from Audit Worksheet'!A21</f>
        <v>338</v>
      </c>
      <c r="B17" s="210" t="str">
        <f>'Unit Data from Audit Worksheet'!C21</f>
        <v>Net Position-Governmental Activities</v>
      </c>
      <c r="C17" s="196" t="str">
        <f>'Unit Data from Audit Worksheet'!D21</f>
        <v>Total Liabilities and total deferred inflows</v>
      </c>
      <c r="D17" s="101"/>
      <c r="E17" s="136">
        <f>'Unit Data from Audit Worksheet'!F21</f>
        <v>0</v>
      </c>
      <c r="F17" s="123" t="str">
        <f>IF(L10&gt;L17,"Please review accounts 626 greater than 338","")</f>
        <v/>
      </c>
      <c r="G17" s="65"/>
      <c r="H17" s="208"/>
      <c r="I17" s="32"/>
      <c r="J17" s="105">
        <v>338</v>
      </c>
      <c r="K17" s="106" t="s">
        <v>96</v>
      </c>
      <c r="L17" s="263">
        <f>IF(D17="",E17,D17)+IF(D9="",E9,D9)</f>
        <v>0</v>
      </c>
      <c r="N17" s="71" t="s">
        <v>252</v>
      </c>
      <c r="P17" s="183"/>
    </row>
    <row r="18" spans="1:16" ht="100.2" customHeight="1" x14ac:dyDescent="0.3">
      <c r="A18" s="197">
        <f>'Unit Data from Audit Worksheet'!A22</f>
        <v>335</v>
      </c>
      <c r="B18" s="210" t="str">
        <f>'Unit Data from Audit Worksheet'!C22</f>
        <v>Net Position-Governmental Activities</v>
      </c>
      <c r="C18" s="196" t="str">
        <f>'Unit Data from Audit Worksheet'!D22</f>
        <v>Unearned revenues that were included in current liabilities in your audit report or entered in acct # 626 above. 
Exclude - unearned revenues that are listed in deferred inflows.</v>
      </c>
      <c r="D18" s="101"/>
      <c r="E18" s="215">
        <f>'Unit Data from Audit Worksheet'!F22</f>
        <v>0</v>
      </c>
      <c r="F18" s="209">
        <f>IF(L18&lt;0,"Error: Enter as a positive.",)</f>
        <v>0</v>
      </c>
      <c r="G18" s="211"/>
      <c r="H18" s="208"/>
      <c r="I18" s="32"/>
      <c r="J18" s="207">
        <v>335</v>
      </c>
      <c r="K18" s="206" t="s">
        <v>97</v>
      </c>
      <c r="L18" s="262">
        <f>IF(D18="",E18,D18)</f>
        <v>0</v>
      </c>
      <c r="P18" s="184"/>
    </row>
    <row r="19" spans="1:16" ht="46.2" customHeight="1" x14ac:dyDescent="0.3">
      <c r="A19" s="197">
        <f>'Unit Data from Audit Worksheet'!A23</f>
        <v>252</v>
      </c>
      <c r="B19" s="210" t="str">
        <f>'Unit Data from Audit Worksheet'!C23</f>
        <v>Net Position-Governmental Activities</v>
      </c>
      <c r="C19" s="196" t="str">
        <f>'Unit Data from Audit Worksheet'!D23</f>
        <v xml:space="preserve"> Total Net investment in capital assets</v>
      </c>
      <c r="D19" s="101"/>
      <c r="E19" s="215">
        <f>'Unit Data from Audit Worksheet'!F23</f>
        <v>0</v>
      </c>
      <c r="F19" s="209"/>
      <c r="G19" s="211"/>
      <c r="H19" s="208"/>
      <c r="I19" s="32"/>
      <c r="J19" s="207">
        <v>252</v>
      </c>
      <c r="K19" s="206" t="s">
        <v>87</v>
      </c>
      <c r="L19" s="262">
        <f t="shared" ref="L19:L37" si="1">IF(D19="",E19,D19)</f>
        <v>0</v>
      </c>
      <c r="O19" s="269" t="e">
        <f>'Unit Data from Audit Worksheet'!E23</f>
        <v>#N/A</v>
      </c>
      <c r="P19" s="184"/>
    </row>
    <row r="20" spans="1:16" ht="51" customHeight="1" x14ac:dyDescent="0.3">
      <c r="A20" s="197">
        <f>'Unit Data from Audit Worksheet'!A24</f>
        <v>253</v>
      </c>
      <c r="B20" s="210" t="str">
        <f>'Unit Data from Audit Worksheet'!C24</f>
        <v>Net Position-Governmental Activities</v>
      </c>
      <c r="C20" s="196" t="str">
        <f>'Unit Data from Audit Worksheet'!D24</f>
        <v xml:space="preserve"> Total Net Position, Restricted</v>
      </c>
      <c r="D20" s="101"/>
      <c r="E20" s="215">
        <f>'Unit Data from Audit Worksheet'!F24</f>
        <v>0</v>
      </c>
      <c r="F20" s="209"/>
      <c r="G20" s="211"/>
      <c r="H20" s="208"/>
      <c r="I20" s="32"/>
      <c r="J20" s="207">
        <v>253</v>
      </c>
      <c r="K20" s="206" t="s">
        <v>88</v>
      </c>
      <c r="L20" s="262">
        <f t="shared" si="1"/>
        <v>0</v>
      </c>
      <c r="O20" s="269" t="e">
        <f>'Unit Data from Audit Worksheet'!E24</f>
        <v>#N/A</v>
      </c>
      <c r="P20" s="184"/>
    </row>
    <row r="21" spans="1:16" ht="81" customHeight="1" x14ac:dyDescent="0.3">
      <c r="A21" s="197">
        <f>'Unit Data from Audit Worksheet'!A25</f>
        <v>254</v>
      </c>
      <c r="B21" s="210" t="str">
        <f>'Unit Data from Audit Worksheet'!C25</f>
        <v>Net Position-Governmental Activities</v>
      </c>
      <c r="C21" s="196" t="str">
        <f>'Unit Data from Audit Worksheet'!D25</f>
        <v>Total Net Position, Unrestricted - enter negative unrestricted net position as a negative)</v>
      </c>
      <c r="D21" s="101"/>
      <c r="E21" s="215">
        <f>'Unit Data from Audit Worksheet'!F25</f>
        <v>0</v>
      </c>
      <c r="F21" s="209">
        <f>IF((L7-L17-L19-L20-L21)=0,,"Error: Total assets and deferred outflows less total liabilities and deferred inflows do not equal total net position accts 385-338-252-253-254")</f>
        <v>0</v>
      </c>
      <c r="G21" s="83">
        <f>+L7-L17-L19-L20-L21</f>
        <v>0</v>
      </c>
      <c r="H21" s="208"/>
      <c r="I21" s="32"/>
      <c r="J21" s="207">
        <v>254</v>
      </c>
      <c r="K21" s="206" t="s">
        <v>89</v>
      </c>
      <c r="L21" s="262">
        <f t="shared" si="1"/>
        <v>0</v>
      </c>
      <c r="O21" s="269" t="e">
        <f>'Unit Data from Audit Worksheet'!E25</f>
        <v>#N/A</v>
      </c>
      <c r="P21" s="184"/>
    </row>
    <row r="22" spans="1:16" ht="73.2" customHeight="1" x14ac:dyDescent="0.3">
      <c r="A22" s="197">
        <f>'Unit Data from Audit Worksheet'!A27</f>
        <v>502</v>
      </c>
      <c r="B22" s="210" t="str">
        <f>'Unit Data from Audit Worksheet'!C27</f>
        <v>Net Position-Business Activities</v>
      </c>
      <c r="C22" s="196" t="str">
        <f>'Unit Data from Audit Worksheet'!D27</f>
        <v xml:space="preserve">All unrestricted Cash and investments. 
Exclude restricted cash and cash held by a third party. </v>
      </c>
      <c r="D22" s="101"/>
      <c r="E22" s="215">
        <f>'Unit Data from Audit Worksheet'!F27</f>
        <v>0</v>
      </c>
      <c r="F22" s="209">
        <f>IF(L22&lt;0,"Error: Number is normally positive.",)</f>
        <v>0</v>
      </c>
      <c r="G22" s="211"/>
      <c r="H22" s="208"/>
      <c r="I22" s="32"/>
      <c r="J22" s="207">
        <v>502</v>
      </c>
      <c r="K22" s="206" t="s">
        <v>154</v>
      </c>
      <c r="L22" s="262">
        <f t="shared" si="1"/>
        <v>0</v>
      </c>
      <c r="P22" s="184"/>
    </row>
    <row r="23" spans="1:16" ht="48" customHeight="1" x14ac:dyDescent="0.3">
      <c r="A23" s="197">
        <f>'Unit Data from Audit Worksheet'!A28</f>
        <v>503</v>
      </c>
      <c r="B23" s="210" t="str">
        <f>'Unit Data from Audit Worksheet'!C28</f>
        <v>Net Position-Business Activities</v>
      </c>
      <c r="C23" s="196" t="str">
        <f>'Unit Data from Audit Worksheet'!D28</f>
        <v>All restricted Cash and investments</v>
      </c>
      <c r="D23" s="101"/>
      <c r="E23" s="215">
        <f>'Unit Data from Audit Worksheet'!F28</f>
        <v>0</v>
      </c>
      <c r="F23" s="209">
        <f>IF(L23&lt;0,"Error: Number is normally positive.",)</f>
        <v>0</v>
      </c>
      <c r="G23" s="211"/>
      <c r="H23" s="208"/>
      <c r="I23" s="32"/>
      <c r="J23" s="207">
        <v>503</v>
      </c>
      <c r="K23" s="206" t="s">
        <v>155</v>
      </c>
      <c r="L23" s="262">
        <f t="shared" si="1"/>
        <v>0</v>
      </c>
      <c r="P23" s="184"/>
    </row>
    <row r="24" spans="1:16" ht="52.8" customHeight="1" x14ac:dyDescent="0.3">
      <c r="A24" s="197">
        <f>'Unit Data from Audit Worksheet'!A30</f>
        <v>344</v>
      </c>
      <c r="B24" s="210" t="str">
        <f>'Unit Data from Audit Worksheet'!C30</f>
        <v>Statement of Activities - Governmental</v>
      </c>
      <c r="C24" s="196" t="str">
        <f>'Unit Data from Audit Worksheet'!D30</f>
        <v xml:space="preserve">Total Interest expense on Long-Term Debt </v>
      </c>
      <c r="D24" s="101"/>
      <c r="E24" s="215">
        <f>'Unit Data from Audit Worksheet'!F30</f>
        <v>0</v>
      </c>
      <c r="F24" s="209">
        <f>IF(L24&lt;0,"Error: Enter as a positive.",)</f>
        <v>0</v>
      </c>
      <c r="G24" s="211"/>
      <c r="H24" s="208"/>
      <c r="I24" s="32"/>
      <c r="J24" s="207">
        <v>344</v>
      </c>
      <c r="K24" s="206" t="s">
        <v>156</v>
      </c>
      <c r="L24" s="262">
        <f t="shared" si="1"/>
        <v>0</v>
      </c>
      <c r="P24" s="184"/>
    </row>
    <row r="25" spans="1:16" ht="47.4" customHeight="1" x14ac:dyDescent="0.3">
      <c r="A25" s="197">
        <f>'Unit Data from Audit Worksheet'!A31</f>
        <v>388</v>
      </c>
      <c r="B25" s="210" t="str">
        <f>'Unit Data from Audit Worksheet'!C31</f>
        <v>Statement of Activities - Governmental</v>
      </c>
      <c r="C25" s="196" t="str">
        <f>'Unit Data from Audit Worksheet'!D31</f>
        <v>Total Expenses</v>
      </c>
      <c r="D25" s="101"/>
      <c r="E25" s="215">
        <f>'Unit Data from Audit Worksheet'!F31</f>
        <v>0</v>
      </c>
      <c r="F25" s="209">
        <f t="shared" ref="F25:F30" si="2">IF(L25&lt;0,"Error: Number is normally positive.",)</f>
        <v>0</v>
      </c>
      <c r="G25" s="211"/>
      <c r="H25" s="208"/>
      <c r="I25" s="32"/>
      <c r="J25" s="207">
        <v>388</v>
      </c>
      <c r="K25" s="206" t="s">
        <v>157</v>
      </c>
      <c r="L25" s="262">
        <f t="shared" si="1"/>
        <v>0</v>
      </c>
      <c r="P25" s="184"/>
    </row>
    <row r="26" spans="1:16" ht="51" customHeight="1" x14ac:dyDescent="0.3">
      <c r="A26" s="197">
        <f>'Unit Data from Audit Worksheet'!A32</f>
        <v>339</v>
      </c>
      <c r="B26" s="210" t="str">
        <f>'Unit Data from Audit Worksheet'!C32</f>
        <v>Statement of Activities - Governmental</v>
      </c>
      <c r="C26" s="196" t="str">
        <f>'Unit Data from Audit Worksheet'!D32</f>
        <v xml:space="preserve">Charges for services </v>
      </c>
      <c r="D26" s="101"/>
      <c r="E26" s="215">
        <f>'Unit Data from Audit Worksheet'!F32</f>
        <v>0</v>
      </c>
      <c r="F26" s="209">
        <f t="shared" si="2"/>
        <v>0</v>
      </c>
      <c r="G26" s="211"/>
      <c r="H26" s="208"/>
      <c r="I26" s="32"/>
      <c r="J26" s="207">
        <v>339</v>
      </c>
      <c r="K26" s="206" t="s">
        <v>158</v>
      </c>
      <c r="L26" s="262">
        <f t="shared" si="1"/>
        <v>0</v>
      </c>
      <c r="P26" s="184"/>
    </row>
    <row r="27" spans="1:16" ht="48.6" customHeight="1" x14ac:dyDescent="0.3">
      <c r="A27" s="197">
        <f>'Unit Data from Audit Worksheet'!A33</f>
        <v>504</v>
      </c>
      <c r="B27" s="210" t="str">
        <f>'Unit Data from Audit Worksheet'!C33</f>
        <v>Statement of Activities - Governmental</v>
      </c>
      <c r="C27" s="196" t="str">
        <f>'Unit Data from Audit Worksheet'!D33</f>
        <v>Operating grants and contributions</v>
      </c>
      <c r="D27" s="101"/>
      <c r="E27" s="215">
        <f>'Unit Data from Audit Worksheet'!F33</f>
        <v>0</v>
      </c>
      <c r="F27" s="209">
        <f t="shared" si="2"/>
        <v>0</v>
      </c>
      <c r="G27" s="211"/>
      <c r="H27" s="208"/>
      <c r="I27" s="32"/>
      <c r="J27" s="207">
        <v>504</v>
      </c>
      <c r="K27" s="206" t="s">
        <v>159</v>
      </c>
      <c r="L27" s="262">
        <f t="shared" si="1"/>
        <v>0</v>
      </c>
      <c r="P27" s="184"/>
    </row>
    <row r="28" spans="1:16" ht="57.6" customHeight="1" x14ac:dyDescent="0.3">
      <c r="A28" s="197">
        <f>'Unit Data from Audit Worksheet'!A34</f>
        <v>505</v>
      </c>
      <c r="B28" s="210" t="str">
        <f>'Unit Data from Audit Worksheet'!C34</f>
        <v>Statement of Activities - Governmental</v>
      </c>
      <c r="C28" s="196" t="str">
        <f>'Unit Data from Audit Worksheet'!D34</f>
        <v>Capital grants and contributions</v>
      </c>
      <c r="D28" s="101"/>
      <c r="E28" s="215">
        <f>'Unit Data from Audit Worksheet'!F34</f>
        <v>0</v>
      </c>
      <c r="F28" s="209">
        <f t="shared" si="2"/>
        <v>0</v>
      </c>
      <c r="G28" s="211"/>
      <c r="H28" s="208"/>
      <c r="I28" s="32"/>
      <c r="J28" s="207">
        <v>505</v>
      </c>
      <c r="K28" s="206" t="s">
        <v>160</v>
      </c>
      <c r="L28" s="262">
        <f t="shared" si="1"/>
        <v>0</v>
      </c>
      <c r="P28" s="184"/>
    </row>
    <row r="29" spans="1:16" ht="87" customHeight="1" x14ac:dyDescent="0.3">
      <c r="A29" s="197">
        <f>'Unit Data from Audit Worksheet'!A35</f>
        <v>341</v>
      </c>
      <c r="B29" s="210" t="str">
        <f>'Unit Data from Audit Worksheet'!C35</f>
        <v>Statement of Activities - Governmental</v>
      </c>
      <c r="C29" s="196" t="str">
        <f>'Unit Data from Audit Worksheet'!D35</f>
        <v>Total General revenues
Exclude: transfers-in or out,
                 special items,
                 extraordinary amounts</v>
      </c>
      <c r="D29" s="101"/>
      <c r="E29" s="215">
        <f>'Unit Data from Audit Worksheet'!F35</f>
        <v>0</v>
      </c>
      <c r="F29" s="209">
        <f t="shared" si="2"/>
        <v>0</v>
      </c>
      <c r="G29" s="211"/>
      <c r="H29" s="208"/>
      <c r="I29" s="32"/>
      <c r="J29" s="207">
        <v>341</v>
      </c>
      <c r="K29" s="206" t="s">
        <v>161</v>
      </c>
      <c r="L29" s="262">
        <f t="shared" si="1"/>
        <v>0</v>
      </c>
      <c r="P29" s="184"/>
    </row>
    <row r="30" spans="1:16" ht="90" customHeight="1" x14ac:dyDescent="0.3">
      <c r="A30" s="197">
        <f>'Unit Data from Audit Worksheet'!A36</f>
        <v>386</v>
      </c>
      <c r="B30" s="210" t="str">
        <f>'Unit Data from Audit Worksheet'!C36</f>
        <v>Statement of Activities - Governmental</v>
      </c>
      <c r="C30" s="196" t="str">
        <f>'Unit Data from Audit Worksheet'!D36</f>
        <v>Total Transfers in    (Preference is that transfers-in  are not netted against transfers-out)</v>
      </c>
      <c r="D30" s="101"/>
      <c r="E30" s="215">
        <f>'Unit Data from Audit Worksheet'!F36</f>
        <v>0</v>
      </c>
      <c r="F30" s="209">
        <f t="shared" si="2"/>
        <v>0</v>
      </c>
      <c r="G30" s="211"/>
      <c r="H30" s="208"/>
      <c r="I30" s="32"/>
      <c r="J30" s="207">
        <v>386</v>
      </c>
      <c r="K30" s="206" t="s">
        <v>162</v>
      </c>
      <c r="L30" s="262">
        <f t="shared" si="1"/>
        <v>0</v>
      </c>
      <c r="P30" s="184"/>
    </row>
    <row r="31" spans="1:16" ht="93" customHeight="1" x14ac:dyDescent="0.3">
      <c r="A31" s="197">
        <f>'Unit Data from Audit Worksheet'!A37</f>
        <v>387</v>
      </c>
      <c r="B31" s="210" t="str">
        <f>'Unit Data from Audit Worksheet'!C37</f>
        <v>Statement of Activities - Governmental</v>
      </c>
      <c r="C31" s="196" t="str">
        <f>'Unit Data from Audit Worksheet'!D37</f>
        <v>Total Transfers out    (Preference is that transfers-in  are not netted against transfers-out)</v>
      </c>
      <c r="D31" s="101"/>
      <c r="E31" s="215">
        <f>'Unit Data from Audit Worksheet'!F37</f>
        <v>0</v>
      </c>
      <c r="F31" s="209">
        <f>IF(L31&lt;0,"Error: Enter as a positive.",)</f>
        <v>0</v>
      </c>
      <c r="G31" s="211"/>
      <c r="H31" s="208"/>
      <c r="I31" s="32"/>
      <c r="J31" s="207">
        <v>387</v>
      </c>
      <c r="K31" s="206" t="s">
        <v>163</v>
      </c>
      <c r="L31" s="262">
        <f t="shared" si="1"/>
        <v>0</v>
      </c>
      <c r="P31" s="184"/>
    </row>
    <row r="32" spans="1:16" ht="100.2" customHeight="1" x14ac:dyDescent="0.3">
      <c r="A32" s="197">
        <f>'Unit Data from Audit Worksheet'!A38</f>
        <v>389</v>
      </c>
      <c r="B32" s="210" t="str">
        <f>'Unit Data from Audit Worksheet'!C38</f>
        <v>Statement of Activities - Governmental</v>
      </c>
      <c r="C32" s="196" t="str">
        <f>'Unit Data from Audit Worksheet'!D38</f>
        <v>Total Special and Extraordinary items.    (Amounts that increase net position are recorded as positive and amounts that decrease net position are recorded as negative)</v>
      </c>
      <c r="D32" s="101"/>
      <c r="E32" s="215">
        <f>'Unit Data from Audit Worksheet'!F38</f>
        <v>0</v>
      </c>
      <c r="F32" s="209"/>
      <c r="G32" s="211"/>
      <c r="H32" s="208"/>
      <c r="I32" s="32"/>
      <c r="J32" s="207">
        <v>389</v>
      </c>
      <c r="K32" s="206" t="s">
        <v>164</v>
      </c>
      <c r="L32" s="262">
        <f t="shared" si="1"/>
        <v>0</v>
      </c>
      <c r="N32" s="270"/>
      <c r="P32" s="184"/>
    </row>
    <row r="33" spans="1:28" ht="84.6" customHeight="1" x14ac:dyDescent="0.3">
      <c r="A33" s="197">
        <f>'Unit Data from Audit Worksheet'!A39</f>
        <v>255</v>
      </c>
      <c r="B33" s="210" t="str">
        <f>'Unit Data from Audit Worksheet'!C39</f>
        <v>Statement of Activities - Governmental</v>
      </c>
      <c r="C33" s="196" t="str">
        <f>'Unit Data from Audit Worksheet'!D39</f>
        <v>Total Change in net position - (Increase in net position is recorded as a positive and a decrease in net position is recorded as a negative)</v>
      </c>
      <c r="D33" s="101"/>
      <c r="E33" s="215">
        <f>'Unit Data from Audit Worksheet'!F39</f>
        <v>0</v>
      </c>
      <c r="F33" s="209">
        <f>IF((L26+L27+L28+L29+L30-L31+L32-L25-L33)=0,,"Total revenues less total expenses do not equal total change in net position. Acct 339+504+505+341+386-387+389-388-255=0")</f>
        <v>0</v>
      </c>
      <c r="G33" s="84">
        <f>L26+L27+L28+L29+L30-L31+L32-L25-L33</f>
        <v>0</v>
      </c>
      <c r="H33" s="208"/>
      <c r="I33" s="32"/>
      <c r="J33" s="207">
        <v>255</v>
      </c>
      <c r="K33" s="206" t="s">
        <v>165</v>
      </c>
      <c r="L33" s="262">
        <f t="shared" si="1"/>
        <v>0</v>
      </c>
      <c r="O33" s="269" t="e">
        <f>'Unit Data from Audit Worksheet'!E39</f>
        <v>#N/A</v>
      </c>
      <c r="P33" s="184"/>
    </row>
    <row r="34" spans="1:28" ht="109.8" customHeight="1" x14ac:dyDescent="0.3">
      <c r="A34" s="197">
        <f>'Unit Data from Audit Worksheet'!A40</f>
        <v>376</v>
      </c>
      <c r="B34" s="210" t="str">
        <f>'Unit Data from Audit Worksheet'!C40</f>
        <v>Statement of Activities - Governmental</v>
      </c>
      <c r="C34" s="196" t="str">
        <f>'Unit Data from Audit Worksheet'!D40</f>
        <v>Any adjustment to beginning net position including rounding, prior period adjustments and restatements.   (Increases to net position are positive; decreases to net position are negative)</v>
      </c>
      <c r="D34" s="101"/>
      <c r="E34" s="215">
        <f>'Unit Data from Audit Worksheet'!F40</f>
        <v>0</v>
      </c>
      <c r="F34" s="80" t="e">
        <f>IF(L19+L20+L21-L33-L34=O19+O20+O21,,"Beginning Balance does not agree with our records acct (252+253+254-255-376=PY252+PY253+PY254)")</f>
        <v>#N/A</v>
      </c>
      <c r="G34" s="85" t="e">
        <f>L19+L20+L21-L33-L34-(O19+O20+O21)</f>
        <v>#N/A</v>
      </c>
      <c r="H34" s="208" t="e">
        <f>'Unit Data from Audit Worksheet'!I40</f>
        <v>#N/A</v>
      </c>
      <c r="I34" s="32"/>
      <c r="J34" s="207">
        <v>376</v>
      </c>
      <c r="K34" s="206" t="s">
        <v>90</v>
      </c>
      <c r="L34" s="262">
        <f t="shared" si="1"/>
        <v>0</v>
      </c>
      <c r="O34" s="269" t="e">
        <f>'Unit Data from Audit Worksheet'!E40</f>
        <v>#N/A</v>
      </c>
      <c r="P34" s="184"/>
      <c r="R34" s="351"/>
      <c r="S34" s="351"/>
      <c r="T34" s="351"/>
      <c r="U34" s="351"/>
      <c r="V34" s="351"/>
    </row>
    <row r="35" spans="1:28" ht="157.5" customHeight="1" x14ac:dyDescent="0.3">
      <c r="A35" s="197">
        <f>'Unit Data from Audit Worksheet'!A41</f>
        <v>597</v>
      </c>
      <c r="B35" s="210" t="str">
        <f>'Unit Data from Audit Worksheet'!C41</f>
        <v>Statement of Activities                               (all governmental and business funds)</v>
      </c>
      <c r="C35" s="196" t="str">
        <f>'Unit Data from Audit Worksheet'!D41</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01"/>
      <c r="E35" s="215">
        <f>'Unit Data from Audit Worksheet'!F41</f>
        <v>0</v>
      </c>
      <c r="F35" s="209">
        <f>IF(L35&lt;0,"Error: Number is normally positive.",)</f>
        <v>0</v>
      </c>
      <c r="G35" s="211"/>
      <c r="H35" s="208"/>
      <c r="I35" s="32"/>
      <c r="J35" s="207">
        <v>597</v>
      </c>
      <c r="K35" s="206" t="s">
        <v>287</v>
      </c>
      <c r="L35" s="262">
        <f t="shared" si="1"/>
        <v>0</v>
      </c>
      <c r="O35" s="269"/>
      <c r="P35" s="184"/>
      <c r="R35" s="351"/>
      <c r="S35" s="351"/>
      <c r="T35" s="351"/>
      <c r="U35" s="351"/>
      <c r="V35" s="351"/>
    </row>
    <row r="36" spans="1:28" ht="105.6" customHeight="1" x14ac:dyDescent="0.3">
      <c r="A36" s="197">
        <f>'Unit Data from Audit Worksheet'!A43</f>
        <v>592</v>
      </c>
      <c r="B36" s="210" t="str">
        <f>'Unit Data from Audit Worksheet'!C43</f>
        <v>Statement of Activities - Business Activities</v>
      </c>
      <c r="C36" s="196" t="str">
        <f>'Unit Data from Audit Worksheet'!D43</f>
        <v>Total Change in net position Business Type 
(Increase in net position is recorded as a positive and a decrease in net position is recorded as a negative)</v>
      </c>
      <c r="D36" s="101"/>
      <c r="E36" s="215">
        <f>'Unit Data from Audit Worksheet'!F43</f>
        <v>0</v>
      </c>
      <c r="F36" s="209"/>
      <c r="G36" s="211"/>
      <c r="H36" s="208"/>
      <c r="I36" s="32"/>
      <c r="J36" s="207">
        <v>592</v>
      </c>
      <c r="K36" s="206" t="s">
        <v>279</v>
      </c>
      <c r="L36" s="262">
        <f t="shared" si="1"/>
        <v>0</v>
      </c>
      <c r="O36" s="269"/>
      <c r="P36" s="184"/>
      <c r="R36" s="351"/>
      <c r="S36" s="351"/>
      <c r="T36" s="351"/>
      <c r="U36" s="351"/>
      <c r="V36" s="351"/>
    </row>
    <row r="37" spans="1:28" ht="66" customHeight="1" x14ac:dyDescent="0.3">
      <c r="A37" s="197">
        <f>'Unit Data from Audit Worksheet'!A44</f>
        <v>591</v>
      </c>
      <c r="B37" s="210" t="str">
        <f>'Unit Data from Audit Worksheet'!C44</f>
        <v>Statement of Activities - Business Activities</v>
      </c>
      <c r="C37" s="196" t="str">
        <f>'Unit Data from Audit Worksheet'!D44</f>
        <v>Total Expenses - Exclude Transfers</v>
      </c>
      <c r="D37" s="101"/>
      <c r="E37" s="215">
        <f>'Unit Data from Audit Worksheet'!F44</f>
        <v>0</v>
      </c>
      <c r="F37" s="209">
        <f>IF(L37&lt;0,"Error: Enter as a positive.",)</f>
        <v>0</v>
      </c>
      <c r="G37" s="211"/>
      <c r="H37" s="208"/>
      <c r="I37" s="32"/>
      <c r="J37" s="207">
        <v>591</v>
      </c>
      <c r="K37" s="206" t="s">
        <v>278</v>
      </c>
      <c r="L37" s="262">
        <f t="shared" si="1"/>
        <v>0</v>
      </c>
      <c r="O37" s="269"/>
      <c r="P37" s="184"/>
      <c r="R37" s="351"/>
      <c r="S37" s="351"/>
      <c r="T37" s="351"/>
      <c r="U37" s="351"/>
      <c r="V37" s="351"/>
    </row>
    <row r="38" spans="1:28" ht="69.599999999999994" customHeight="1" x14ac:dyDescent="0.3">
      <c r="A38" s="197">
        <f>'Unit Data from Audit Worksheet'!A46</f>
        <v>506</v>
      </c>
      <c r="B38" s="47" t="str">
        <f>'Unit Data from Audit Worksheet'!C46</f>
        <v>General Fund-Balance Sheet</v>
      </c>
      <c r="C38" s="271" t="str">
        <f>'Unit Data from Audit Worksheet'!D46</f>
        <v xml:space="preserve">All unrestricted cash and investments.  
Exclude restricted cash and cash held by a third party. </v>
      </c>
      <c r="D38" s="101"/>
      <c r="E38" s="138">
        <f>'Unit Data from Audit Worksheet'!F46</f>
        <v>0</v>
      </c>
      <c r="F38" s="31">
        <f>IF(L38&lt;0,"Error: Number is normally positive.",)</f>
        <v>0</v>
      </c>
      <c r="G38" s="66"/>
      <c r="H38" s="208"/>
      <c r="I38" s="32"/>
      <c r="J38" s="35">
        <v>506</v>
      </c>
      <c r="K38" s="206" t="s">
        <v>166</v>
      </c>
      <c r="L38" s="272">
        <f t="shared" ref="L38:L50" si="3">IF(D38="",E38,D38)</f>
        <v>0</v>
      </c>
      <c r="P38" s="185"/>
    </row>
    <row r="39" spans="1:28" ht="66" customHeight="1" x14ac:dyDescent="0.3">
      <c r="A39" s="197">
        <f>'Unit Data from Audit Worksheet'!A47</f>
        <v>536</v>
      </c>
      <c r="B39" s="47" t="str">
        <f>'Unit Data from Audit Worksheet'!C47</f>
        <v>General Fund-Balance Sheet</v>
      </c>
      <c r="C39" s="271" t="str">
        <f>'Unit Data from Audit Worksheet'!D47</f>
        <v>All restricted cash and investments</v>
      </c>
      <c r="D39" s="101"/>
      <c r="E39" s="138">
        <f>'Unit Data from Audit Worksheet'!F47</f>
        <v>0</v>
      </c>
      <c r="F39" s="31">
        <f>IF(L39&lt;0,"Error: Number is normally positive.",)</f>
        <v>0</v>
      </c>
      <c r="G39" s="66"/>
      <c r="H39" s="208"/>
      <c r="I39" s="32"/>
      <c r="J39" s="35">
        <v>536</v>
      </c>
      <c r="K39" s="206" t="s">
        <v>167</v>
      </c>
      <c r="L39" s="272">
        <f t="shared" si="3"/>
        <v>0</v>
      </c>
      <c r="P39" s="186"/>
      <c r="Q39" s="266"/>
      <c r="S39" s="265"/>
      <c r="T39" s="265"/>
      <c r="U39" s="265"/>
      <c r="V39" s="265"/>
    </row>
    <row r="40" spans="1:28" ht="79.2" customHeight="1" x14ac:dyDescent="0.3">
      <c r="A40" s="197">
        <f>'Unit Data from Audit Worksheet'!A48</f>
        <v>586</v>
      </c>
      <c r="B40" s="210" t="str">
        <f>'Unit Data from Audit Worksheet'!C48</f>
        <v>General Fund-Balance Sheet</v>
      </c>
      <c r="C40" s="196" t="str">
        <f>'Unit Data from Audit Worksheet'!D48</f>
        <v>Advance To: Interfund loan receivable-portion of repayment plan longer than 12 months</v>
      </c>
      <c r="D40" s="130"/>
      <c r="E40" s="215">
        <f>'Unit Data from Audit Worksheet'!F48</f>
        <v>0</v>
      </c>
      <c r="F40" s="209"/>
      <c r="G40" s="211"/>
      <c r="H40" s="208"/>
      <c r="I40" s="32"/>
      <c r="J40" s="207">
        <v>586</v>
      </c>
      <c r="K40" s="196" t="s">
        <v>266</v>
      </c>
      <c r="L40" s="262">
        <f t="shared" si="3"/>
        <v>0</v>
      </c>
      <c r="P40" s="186"/>
      <c r="Q40" s="266"/>
      <c r="S40" s="265"/>
      <c r="T40" s="265"/>
      <c r="U40" s="265"/>
      <c r="V40" s="265"/>
    </row>
    <row r="41" spans="1:28" ht="57.6" customHeight="1" x14ac:dyDescent="0.3">
      <c r="A41" s="197">
        <f>'Unit Data from Audit Worksheet'!A49</f>
        <v>379</v>
      </c>
      <c r="B41" s="210" t="str">
        <f>'Unit Data from Audit Worksheet'!C49</f>
        <v>General Fund-Balance Sheet</v>
      </c>
      <c r="C41" s="196" t="str">
        <f>'Unit Data from Audit Worksheet'!D49</f>
        <v>Total Assets and deferred outflows</v>
      </c>
      <c r="D41" s="130"/>
      <c r="E41" s="215">
        <f>'Unit Data from Audit Worksheet'!F49</f>
        <v>0</v>
      </c>
      <c r="F41" s="77">
        <f>IF((L38+L39)&gt;L41,"Error: Please review accts (506+536)&gt;379",)</f>
        <v>0</v>
      </c>
      <c r="G41" s="211"/>
      <c r="H41" s="208"/>
      <c r="I41" s="32"/>
      <c r="J41" s="207">
        <v>379</v>
      </c>
      <c r="K41" s="206" t="s">
        <v>98</v>
      </c>
      <c r="L41" s="262">
        <f t="shared" si="3"/>
        <v>0</v>
      </c>
      <c r="P41" s="183"/>
    </row>
    <row r="42" spans="1:28" ht="114" customHeight="1" x14ac:dyDescent="0.3">
      <c r="A42" s="197">
        <f>'Unit Data from Audit Worksheet'!A50</f>
        <v>368</v>
      </c>
      <c r="B42" s="210" t="str">
        <f>'Unit Data from Audit Worksheet'!C50</f>
        <v>General Fund-Balance Sheet</v>
      </c>
      <c r="C42" s="196" t="str">
        <f>'Unit Data from Audit Worksheet'!D50</f>
        <v>Total Liabilities payable from restricted assets (only complete if this is listed in your financial statements for the general fund and the auditor has listed the cash to be used to pay the liabilities as restricted)</v>
      </c>
      <c r="D42" s="130"/>
      <c r="E42" s="215">
        <f>'Unit Data from Audit Worksheet'!F50</f>
        <v>0</v>
      </c>
      <c r="F42" s="209">
        <f>IF(L42&lt;0,"Error: Enter as a positive.",)</f>
        <v>0</v>
      </c>
      <c r="G42" s="211"/>
      <c r="H42" s="208"/>
      <c r="I42" s="32"/>
      <c r="J42" s="207">
        <v>368</v>
      </c>
      <c r="K42" s="206" t="s">
        <v>168</v>
      </c>
      <c r="L42" s="262">
        <f t="shared" si="3"/>
        <v>0</v>
      </c>
      <c r="P42" s="184"/>
      <c r="S42" s="18"/>
      <c r="T42" s="18"/>
      <c r="U42" s="18"/>
      <c r="V42" s="18"/>
    </row>
    <row r="43" spans="1:28" ht="103.2" customHeight="1" x14ac:dyDescent="0.3">
      <c r="A43" s="197">
        <f>'Unit Data from Audit Worksheet'!A51</f>
        <v>4</v>
      </c>
      <c r="B43" s="47" t="str">
        <f>'Unit Data from Audit Worksheet'!C51</f>
        <v>General Fund-Balance Sheet</v>
      </c>
      <c r="C43" s="271" t="str">
        <f>'Unit Data from Audit Worksheet'!D51</f>
        <v>Current Liabilities (as reported on the Balance Sheet)
Exclude all deferred inflows. 
Include advance from(long-term portion of interfund loans)</v>
      </c>
      <c r="D43" s="130"/>
      <c r="E43" s="138">
        <f>'Unit Data from Audit Worksheet'!F51</f>
        <v>0</v>
      </c>
      <c r="F43" s="31">
        <f t="shared" ref="F43:F51" si="4">IF(L43&lt;0,"Error: Enter as a positive.",)</f>
        <v>0</v>
      </c>
      <c r="G43" s="66"/>
      <c r="H43" s="208"/>
      <c r="I43" s="32"/>
      <c r="J43" s="35">
        <v>4</v>
      </c>
      <c r="K43" s="206" t="s">
        <v>99</v>
      </c>
      <c r="L43" s="272">
        <f t="shared" si="3"/>
        <v>0</v>
      </c>
      <c r="P43" s="184"/>
      <c r="S43" s="18"/>
      <c r="T43" s="18"/>
      <c r="U43" s="18"/>
      <c r="V43" s="18"/>
    </row>
    <row r="44" spans="1:28" ht="137.4" customHeight="1" x14ac:dyDescent="0.3">
      <c r="A44" s="197">
        <f>'Unit Data from Audit Worksheet'!A52</f>
        <v>5</v>
      </c>
      <c r="B44" s="47" t="str">
        <f>'Unit Data from Audit Worksheet'!C52</f>
        <v>General Fund-Balance Sheet</v>
      </c>
      <c r="C44" s="271" t="str">
        <f>'Unit Data from Audit Worksheet'!D52</f>
        <v>General fund deferred inflows derived from cash receipts. 
 Prepaid taxes is a common item listed.  Deferred inflows on the face of the statements can include cash and non-cash.  You may have to refer to the note disclosure where the cash and non-cash is broken out.</v>
      </c>
      <c r="D44" s="130"/>
      <c r="E44" s="138">
        <f>'Unit Data from Audit Worksheet'!F52</f>
        <v>0</v>
      </c>
      <c r="F44" s="31">
        <f t="shared" si="4"/>
        <v>0</v>
      </c>
      <c r="G44" s="66"/>
      <c r="H44" s="208"/>
      <c r="I44" s="32"/>
      <c r="J44" s="35">
        <v>5</v>
      </c>
      <c r="K44" s="206" t="s">
        <v>100</v>
      </c>
      <c r="L44" s="272">
        <f t="shared" si="3"/>
        <v>0</v>
      </c>
      <c r="P44" s="184"/>
      <c r="S44" s="18"/>
      <c r="T44" s="18"/>
      <c r="U44" s="18"/>
      <c r="V44" s="18"/>
    </row>
    <row r="45" spans="1:28" ht="110.4" customHeight="1" x14ac:dyDescent="0.3">
      <c r="A45" s="197">
        <f>'Unit Data from Audit Worksheet'!A53</f>
        <v>380</v>
      </c>
      <c r="B45" s="210" t="str">
        <f>'Unit Data from Audit Worksheet'!C53</f>
        <v>General Fund-Balance Sheet</v>
      </c>
      <c r="C45" s="196" t="str">
        <f>'Unit Data from Audit Worksheet'!D53</f>
        <v>Total Deferred inflows not derived from cash receipts.  Deferred inflows on the face of the statements can include cash and non-cash.  You may have to refer to the note disclosure where the cash and non-cash is broken out.</v>
      </c>
      <c r="D45" s="130"/>
      <c r="E45" s="215">
        <f>'Unit Data from Audit Worksheet'!F53</f>
        <v>0</v>
      </c>
      <c r="F45" s="209">
        <f t="shared" si="4"/>
        <v>0</v>
      </c>
      <c r="G45" s="211"/>
      <c r="H45" s="208"/>
      <c r="I45" s="32"/>
      <c r="J45" s="207">
        <v>380</v>
      </c>
      <c r="K45" s="206" t="s">
        <v>101</v>
      </c>
      <c r="L45" s="262">
        <f t="shared" si="3"/>
        <v>0</v>
      </c>
      <c r="P45" s="184"/>
    </row>
    <row r="46" spans="1:28" ht="65.400000000000006" customHeight="1" x14ac:dyDescent="0.3">
      <c r="A46" s="197">
        <f>'Unit Data from Audit Worksheet'!A54</f>
        <v>391</v>
      </c>
      <c r="B46" s="210" t="str">
        <f>'Unit Data from Audit Worksheet'!C54</f>
        <v>General Fund-Balance Sheet</v>
      </c>
      <c r="C46" s="196" t="str">
        <f>'Unit Data from Audit Worksheet'!D54</f>
        <v xml:space="preserve">Fund balance, Restricted for Stabilization by State Statute </v>
      </c>
      <c r="D46" s="130"/>
      <c r="E46" s="215">
        <f>'Unit Data from Audit Worksheet'!F54</f>
        <v>0</v>
      </c>
      <c r="F46" s="209">
        <f t="shared" si="4"/>
        <v>0</v>
      </c>
      <c r="G46" s="211"/>
      <c r="H46" s="208"/>
      <c r="I46" s="32"/>
      <c r="J46" s="207">
        <v>391</v>
      </c>
      <c r="K46" s="206" t="s">
        <v>169</v>
      </c>
      <c r="L46" s="262">
        <f t="shared" si="3"/>
        <v>0</v>
      </c>
      <c r="P46" s="184"/>
    </row>
    <row r="47" spans="1:28" ht="61.2" customHeight="1" x14ac:dyDescent="0.3">
      <c r="A47" s="197">
        <f>'Unit Data from Audit Worksheet'!A55</f>
        <v>7</v>
      </c>
      <c r="B47" s="47" t="str">
        <f>'Unit Data from Audit Worksheet'!C55</f>
        <v>General Fund-Balance Sheet</v>
      </c>
      <c r="C47" s="271" t="str">
        <f>'Unit Data from Audit Worksheet'!D55</f>
        <v>Fund balance, Nonspendable-  inventory/prepaids/etc.</v>
      </c>
      <c r="D47" s="130"/>
      <c r="E47" s="138">
        <f>'Unit Data from Audit Worksheet'!F55</f>
        <v>0</v>
      </c>
      <c r="F47" s="31">
        <f t="shared" si="4"/>
        <v>0</v>
      </c>
      <c r="G47" s="66"/>
      <c r="H47" s="208"/>
      <c r="I47" s="32"/>
      <c r="J47" s="35">
        <v>7</v>
      </c>
      <c r="K47" s="206" t="s">
        <v>170</v>
      </c>
      <c r="L47" s="272">
        <f t="shared" si="3"/>
        <v>0</v>
      </c>
      <c r="P47" s="184"/>
    </row>
    <row r="48" spans="1:28" s="18" customFormat="1" ht="65.400000000000006" customHeight="1" x14ac:dyDescent="0.3">
      <c r="A48" s="178">
        <f>'Unit Data from Audit Worksheet'!A56</f>
        <v>645</v>
      </c>
      <c r="B48" s="219" t="str">
        <f>'Unit Data from Audit Worksheet'!C56</f>
        <v>General Fund-Balance Sheet</v>
      </c>
      <c r="C48" s="178" t="str">
        <f>'Unit Data from Audit Worksheet'!D56</f>
        <v>Fund balance, Assigned (total of all assigned components)</v>
      </c>
      <c r="D48" s="107"/>
      <c r="E48" s="218">
        <f>'Unit Data from Audit Worksheet'!F56</f>
        <v>0</v>
      </c>
      <c r="F48" s="204">
        <f>IF(L48&lt;0,"Error: Enter as a positive.",)</f>
        <v>0</v>
      </c>
      <c r="G48" s="193"/>
      <c r="H48" s="204"/>
      <c r="I48" s="274"/>
      <c r="J48" s="203">
        <v>645</v>
      </c>
      <c r="K48" s="178" t="s">
        <v>325</v>
      </c>
      <c r="L48" s="275">
        <f t="shared" si="3"/>
        <v>0</v>
      </c>
      <c r="M48"/>
      <c r="N48" s="265"/>
      <c r="O48" s="265"/>
      <c r="P48" s="184"/>
      <c r="Q48" s="253"/>
      <c r="R48" s="3"/>
      <c r="S48" s="3"/>
      <c r="T48" s="3"/>
      <c r="U48" s="3"/>
      <c r="V48" s="3"/>
      <c r="W48"/>
      <c r="X48"/>
      <c r="Y48"/>
      <c r="Z48"/>
      <c r="AA48"/>
      <c r="AB48"/>
    </row>
    <row r="49" spans="1:28" s="18" customFormat="1" ht="61.2" customHeight="1" x14ac:dyDescent="0.3">
      <c r="A49" s="178">
        <f>'Unit Data from Audit Worksheet'!A57</f>
        <v>646</v>
      </c>
      <c r="B49" s="219" t="str">
        <f>'Unit Data from Audit Worksheet'!C57</f>
        <v>General Fund-Balance Sheet</v>
      </c>
      <c r="C49" s="178" t="str">
        <f>'Unit Data from Audit Worksheet'!D57</f>
        <v>Fund Balance, Unassigned</v>
      </c>
      <c r="D49" s="107"/>
      <c r="E49" s="218">
        <f>'Unit Data from Audit Worksheet'!F57</f>
        <v>0</v>
      </c>
      <c r="F49" s="204">
        <f>IF(L49&lt;0,"Error: Enter as a positive.",)</f>
        <v>0</v>
      </c>
      <c r="G49" s="193"/>
      <c r="H49" s="204"/>
      <c r="I49" s="274"/>
      <c r="J49" s="203">
        <v>646</v>
      </c>
      <c r="K49" s="178" t="s">
        <v>326</v>
      </c>
      <c r="L49" s="275">
        <f t="shared" si="3"/>
        <v>0</v>
      </c>
      <c r="M49"/>
      <c r="N49" s="265"/>
      <c r="O49" s="265"/>
      <c r="P49" s="184"/>
      <c r="Q49" s="253"/>
      <c r="R49" s="3"/>
      <c r="S49" s="3"/>
      <c r="T49" s="3"/>
      <c r="U49" s="3"/>
      <c r="V49" s="3"/>
      <c r="W49"/>
      <c r="X49"/>
      <c r="Y49"/>
      <c r="Z49"/>
      <c r="AA49"/>
      <c r="AB49"/>
    </row>
    <row r="50" spans="1:28" ht="63" customHeight="1" x14ac:dyDescent="0.3">
      <c r="A50" s="260">
        <f>'Unit Data from Audit Worksheet'!A58</f>
        <v>9</v>
      </c>
      <c r="B50" s="109" t="str">
        <f>'Unit Data from Audit Worksheet'!C58</f>
        <v>General Fund-Balance Sheet</v>
      </c>
      <c r="C50" s="276" t="str">
        <f>'Unit Data from Audit Worksheet'!D58</f>
        <v>Total Fund balance (enter fund deficits as negative)</v>
      </c>
      <c r="D50" s="130"/>
      <c r="E50" s="137">
        <f>'Unit Data from Audit Worksheet'!F58</f>
        <v>0</v>
      </c>
      <c r="F50" s="110">
        <f>IF(L41-L43-L44-L45-L50=0,,"Error: Total assets less total liabilities do not equal Acct +379-4-5-380-9=0")</f>
        <v>0</v>
      </c>
      <c r="G50" s="111">
        <f>L41-L43-L44-L45-L50</f>
        <v>0</v>
      </c>
      <c r="H50" s="208"/>
      <c r="I50" s="32"/>
      <c r="J50" s="112">
        <v>9</v>
      </c>
      <c r="K50" s="45" t="s">
        <v>171</v>
      </c>
      <c r="L50" s="272">
        <f t="shared" si="3"/>
        <v>0</v>
      </c>
      <c r="O50" s="269" t="e">
        <f>'Unit Data from Audit Worksheet'!E58</f>
        <v>#N/A</v>
      </c>
      <c r="P50" s="184"/>
    </row>
    <row r="51" spans="1:28" s="18" customFormat="1" ht="81.599999999999994" customHeight="1" x14ac:dyDescent="0.3">
      <c r="A51" s="197">
        <f>'Unit Data from Audit Worksheet'!A59</f>
        <v>540</v>
      </c>
      <c r="B51" s="210" t="str">
        <f>'Unit Data from Audit Worksheet'!C59</f>
        <v>General Fund - Budget Actual Statement</v>
      </c>
      <c r="C51" s="196" t="str">
        <f>'Unit Data from Audit Worksheet'!D59</f>
        <v>Amount of the General Fund Balance appropriated in next year's budget. As reported on the General Fund Balance Sheet.</v>
      </c>
      <c r="D51" s="130"/>
      <c r="E51" s="215">
        <f>'Unit Data from Audit Worksheet'!F59</f>
        <v>0</v>
      </c>
      <c r="F51" s="209">
        <f t="shared" si="4"/>
        <v>0</v>
      </c>
      <c r="G51" s="211"/>
      <c r="H51" s="208"/>
      <c r="I51" s="32"/>
      <c r="J51" s="207">
        <v>540</v>
      </c>
      <c r="K51" s="206" t="s">
        <v>210</v>
      </c>
      <c r="L51" s="262">
        <f t="shared" ref="L51:L82" si="5">IF(D51="",E51,D51)</f>
        <v>0</v>
      </c>
      <c r="M51"/>
      <c r="P51" s="184"/>
      <c r="Q51" s="253"/>
      <c r="R51" s="3"/>
      <c r="S51" s="3"/>
      <c r="T51" s="3"/>
      <c r="U51" s="3"/>
      <c r="V51" s="3"/>
      <c r="W51"/>
      <c r="X51"/>
      <c r="Y51"/>
      <c r="Z51"/>
      <c r="AA51"/>
      <c r="AB51"/>
    </row>
    <row r="52" spans="1:28" s="18" customFormat="1" ht="79.8" customHeight="1" x14ac:dyDescent="0.3">
      <c r="A52" s="197">
        <f>'Unit Data from Audit Worksheet'!A60</f>
        <v>1052</v>
      </c>
      <c r="B52" s="210" t="str">
        <f>'Unit Data from Audit Worksheet'!C60</f>
        <v>General Fund-Rev, Exp. Change in Fund Balance</v>
      </c>
      <c r="C52" s="196" t="str">
        <f>'Unit Data from Audit Worksheet'!D60</f>
        <v>Mark to Market unrealized losses in the General Fund.  (enter as a negative number)</v>
      </c>
      <c r="D52" s="130"/>
      <c r="E52" s="215">
        <f>'Unit Data from Audit Worksheet'!F60</f>
        <v>0</v>
      </c>
      <c r="F52" s="209"/>
      <c r="G52" s="211"/>
      <c r="H52" s="208"/>
      <c r="I52" s="32"/>
      <c r="J52" s="207">
        <v>1052</v>
      </c>
      <c r="K52" s="206" t="s">
        <v>1277</v>
      </c>
      <c r="L52" s="268">
        <f t="shared" si="5"/>
        <v>0</v>
      </c>
      <c r="M52"/>
      <c r="P52" s="184"/>
      <c r="Q52" s="253"/>
      <c r="R52" s="353"/>
      <c r="S52" s="353"/>
      <c r="T52" s="353"/>
      <c r="U52" s="353"/>
      <c r="V52" s="353"/>
      <c r="W52"/>
      <c r="X52"/>
      <c r="Y52"/>
      <c r="Z52"/>
      <c r="AA52"/>
      <c r="AB52"/>
    </row>
    <row r="53" spans="1:28" s="18" customFormat="1" ht="86.4" customHeight="1" x14ac:dyDescent="0.3">
      <c r="A53" s="197">
        <f>'Unit Data from Audit Worksheet'!A62</f>
        <v>984</v>
      </c>
      <c r="B53" s="210" t="str">
        <f>'Unit Data from Audit Worksheet'!C62</f>
        <v>General Fund - Budget Actual Statement</v>
      </c>
      <c r="C53" s="196" t="str">
        <f>'Unit Data from Audit Worksheet'!D62</f>
        <v>Amount of Ad valorem tax collected (including motor vehicle and prior years) reported on budget actual statement</v>
      </c>
      <c r="D53" s="130"/>
      <c r="E53" s="215">
        <f>'Unit Data from Audit Worksheet'!F62</f>
        <v>0</v>
      </c>
      <c r="F53" s="209"/>
      <c r="G53" s="211"/>
      <c r="H53" s="208"/>
      <c r="I53" s="32"/>
      <c r="J53" s="207">
        <v>984</v>
      </c>
      <c r="K53" s="206" t="s">
        <v>413</v>
      </c>
      <c r="L53" s="268">
        <f t="shared" si="5"/>
        <v>0</v>
      </c>
      <c r="M53"/>
      <c r="P53" s="184"/>
      <c r="Q53" s="253"/>
      <c r="R53" s="3"/>
      <c r="S53" s="3"/>
      <c r="T53" s="3"/>
      <c r="U53" s="3"/>
      <c r="V53" s="3"/>
      <c r="W53"/>
      <c r="X53"/>
      <c r="Y53"/>
      <c r="Z53"/>
      <c r="AA53"/>
      <c r="AB53"/>
    </row>
    <row r="54" spans="1:28" s="18" customFormat="1" ht="79.2" customHeight="1" x14ac:dyDescent="0.3">
      <c r="A54" s="197">
        <f>'Unit Data from Audit Worksheet'!A63</f>
        <v>985</v>
      </c>
      <c r="B54" s="210" t="str">
        <f>'Unit Data from Audit Worksheet'!C63</f>
        <v>General Fund - Budget Actual Statement</v>
      </c>
      <c r="C54" s="196" t="str">
        <f>'Unit Data from Audit Worksheet'!D63</f>
        <v>Amount of Ad valorem tax budgeted (including motor vehicle and prior years) reported on budget actual statement</v>
      </c>
      <c r="D54" s="130"/>
      <c r="E54" s="215">
        <f>'Unit Data from Audit Worksheet'!F63</f>
        <v>0</v>
      </c>
      <c r="F54" s="209"/>
      <c r="G54" s="211"/>
      <c r="H54" s="208"/>
      <c r="I54" s="32"/>
      <c r="J54" s="207">
        <v>985</v>
      </c>
      <c r="K54" s="206" t="s">
        <v>414</v>
      </c>
      <c r="L54" s="268">
        <f t="shared" si="5"/>
        <v>0</v>
      </c>
      <c r="M54"/>
      <c r="P54" s="185"/>
      <c r="Q54" s="253"/>
      <c r="R54" s="3"/>
      <c r="S54" s="3"/>
      <c r="T54" s="3"/>
      <c r="U54" s="3"/>
      <c r="V54" s="3"/>
      <c r="W54"/>
      <c r="X54"/>
      <c r="Y54"/>
      <c r="Z54"/>
      <c r="AA54"/>
      <c r="AB54"/>
    </row>
    <row r="55" spans="1:28" ht="75.599999999999994" customHeight="1" x14ac:dyDescent="0.3">
      <c r="A55" s="197">
        <f>'Unit Data from Audit Worksheet'!A64</f>
        <v>369</v>
      </c>
      <c r="B55" s="210" t="str">
        <f>'Unit Data from Audit Worksheet'!C64</f>
        <v>General Fund-Rev, Exp. Change in Fund Balance</v>
      </c>
      <c r="C55" s="196" t="str">
        <f>'Unit Data from Audit Worksheet'!D64</f>
        <v>Total Intergovernmental revenue 
Include restricted and unrestricted revenues</v>
      </c>
      <c r="D55" s="130"/>
      <c r="E55" s="215">
        <f>'Unit Data from Audit Worksheet'!F64</f>
        <v>0</v>
      </c>
      <c r="F55" s="209"/>
      <c r="G55" s="211"/>
      <c r="H55" s="208"/>
      <c r="I55" s="32"/>
      <c r="J55" s="207">
        <v>369</v>
      </c>
      <c r="K55" s="206" t="s">
        <v>172</v>
      </c>
      <c r="L55" s="262">
        <f t="shared" si="5"/>
        <v>0</v>
      </c>
      <c r="P55" s="191"/>
    </row>
    <row r="56" spans="1:28" ht="73.5" customHeight="1" x14ac:dyDescent="0.3">
      <c r="A56" s="197">
        <f>'Unit Data from Audit Worksheet'!A65</f>
        <v>16</v>
      </c>
      <c r="B56" s="210" t="str">
        <f>'Unit Data from Audit Worksheet'!C65</f>
        <v>General Fund-Rev, Exp. Change in Fund Balance</v>
      </c>
      <c r="C56" s="196" t="str">
        <f>'Unit Data from Audit Worksheet'!D65</f>
        <v>Total revenues</v>
      </c>
      <c r="D56" s="130"/>
      <c r="E56" s="215">
        <f>'Unit Data from Audit Worksheet'!F65</f>
        <v>0</v>
      </c>
      <c r="F56" s="209"/>
      <c r="G56" s="211"/>
      <c r="H56" s="208"/>
      <c r="I56" s="32"/>
      <c r="J56" s="207">
        <v>16</v>
      </c>
      <c r="K56" s="206" t="s">
        <v>173</v>
      </c>
      <c r="L56" s="262">
        <f t="shared" si="5"/>
        <v>0</v>
      </c>
      <c r="P56" s="191"/>
    </row>
    <row r="57" spans="1:28" ht="81" customHeight="1" x14ac:dyDescent="0.3">
      <c r="A57" s="197">
        <f>'Unit Data from Audit Worksheet'!A66</f>
        <v>370</v>
      </c>
      <c r="B57" s="210" t="str">
        <f>'Unit Data from Audit Worksheet'!C66</f>
        <v>General Fund-Rev, Exp. Change in Fund Balance</v>
      </c>
      <c r="C57" s="196" t="str">
        <f>'Unit Data from Audit Worksheet'!D66</f>
        <v>Debt service expenditures. 
Include principal, interest paid, and bond/debt issuance costs on long-term debt</v>
      </c>
      <c r="D57" s="130"/>
      <c r="E57" s="215">
        <f>'Unit Data from Audit Worksheet'!F66</f>
        <v>0</v>
      </c>
      <c r="F57" s="209">
        <f t="shared" ref="F57:F63" si="6">IF(L57&lt;0,"Error: Enter as a positive.",)</f>
        <v>0</v>
      </c>
      <c r="G57" s="211"/>
      <c r="H57" s="208"/>
      <c r="I57" s="32"/>
      <c r="J57" s="207">
        <v>370</v>
      </c>
      <c r="K57" s="206" t="s">
        <v>174</v>
      </c>
      <c r="L57" s="262">
        <f t="shared" si="5"/>
        <v>0</v>
      </c>
      <c r="P57" s="191"/>
    </row>
    <row r="58" spans="1:28" ht="75.599999999999994" customHeight="1" x14ac:dyDescent="0.3">
      <c r="A58" s="197">
        <f>'Unit Data from Audit Worksheet'!A67</f>
        <v>532</v>
      </c>
      <c r="B58" s="210" t="str">
        <f>'Unit Data from Audit Worksheet'!C67</f>
        <v>General Fund-Rev, Exp. Change in Fund Balance</v>
      </c>
      <c r="C58" s="196" t="str">
        <f>'Unit Data from Audit Worksheet'!D67</f>
        <v xml:space="preserve">Total expenditures  
Exclude expenditures in the "other financing sources (uses)" section.
</v>
      </c>
      <c r="D58" s="130"/>
      <c r="E58" s="215">
        <f>'Unit Data from Audit Worksheet'!F67</f>
        <v>0</v>
      </c>
      <c r="F58" s="209">
        <f t="shared" si="6"/>
        <v>0</v>
      </c>
      <c r="G58" s="211"/>
      <c r="H58" s="208"/>
      <c r="I58" s="32"/>
      <c r="J58" s="207">
        <v>532</v>
      </c>
      <c r="K58" s="279" t="s">
        <v>175</v>
      </c>
      <c r="L58" s="262">
        <f t="shared" si="5"/>
        <v>0</v>
      </c>
      <c r="P58" s="191"/>
    </row>
    <row r="59" spans="1:28" ht="76.8" customHeight="1" x14ac:dyDescent="0.3">
      <c r="A59" s="197">
        <f>'Unit Data from Audit Worksheet'!A68</f>
        <v>17</v>
      </c>
      <c r="B59" s="210" t="str">
        <f>'Unit Data from Audit Worksheet'!C68</f>
        <v>General Fund-Rev, Exp. Change in Fund Balance</v>
      </c>
      <c r="C59" s="196" t="str">
        <f>'Unit Data from Audit Worksheet'!D68</f>
        <v>Total Transfers in    (Preference is that transfers-in  are not netted against transfers-out)</v>
      </c>
      <c r="D59" s="130"/>
      <c r="E59" s="215">
        <f>'Unit Data from Audit Worksheet'!F68</f>
        <v>0</v>
      </c>
      <c r="F59" s="209">
        <f t="shared" si="6"/>
        <v>0</v>
      </c>
      <c r="G59" s="211"/>
      <c r="H59" s="208"/>
      <c r="I59" s="32"/>
      <c r="J59" s="207">
        <v>17</v>
      </c>
      <c r="K59" s="206" t="s">
        <v>176</v>
      </c>
      <c r="L59" s="262">
        <f t="shared" si="5"/>
        <v>0</v>
      </c>
      <c r="P59" s="191"/>
    </row>
    <row r="60" spans="1:28" ht="66.599999999999994" customHeight="1" x14ac:dyDescent="0.3">
      <c r="A60" s="197">
        <f>'Unit Data from Audit Worksheet'!A69</f>
        <v>20</v>
      </c>
      <c r="B60" s="210" t="str">
        <f>'Unit Data from Audit Worksheet'!C69</f>
        <v>General Fund-Rev, Exp. Change in Fund Balance</v>
      </c>
      <c r="C60" s="196" t="str">
        <f>'Unit Data from Audit Worksheet'!D69</f>
        <v>Total Transfers out    (Preference is that transfers-in  are not netted against transfers-out)</v>
      </c>
      <c r="D60" s="130"/>
      <c r="E60" s="215">
        <f>'Unit Data from Audit Worksheet'!F69</f>
        <v>0</v>
      </c>
      <c r="F60" s="209">
        <f t="shared" si="6"/>
        <v>0</v>
      </c>
      <c r="G60" s="211"/>
      <c r="H60" s="208"/>
      <c r="I60" s="32"/>
      <c r="J60" s="207">
        <v>20</v>
      </c>
      <c r="K60" s="206" t="s">
        <v>177</v>
      </c>
      <c r="L60" s="262">
        <f t="shared" si="5"/>
        <v>0</v>
      </c>
      <c r="P60" s="191"/>
    </row>
    <row r="61" spans="1:28" ht="66.599999999999994" customHeight="1" x14ac:dyDescent="0.3">
      <c r="A61" s="197">
        <f>'Unit Data from Audit Worksheet'!A70</f>
        <v>533</v>
      </c>
      <c r="B61" s="210" t="str">
        <f>'Unit Data from Audit Worksheet'!C70</f>
        <v>General Fund-Rev, Exp. Change in Fund Balance</v>
      </c>
      <c r="C61" s="196" t="str">
        <f>'Unit Data from Audit Worksheet'!D70</f>
        <v>Total Proceeds from all long-term debt issuances 
Exclude proceeds from refundings</v>
      </c>
      <c r="D61" s="130"/>
      <c r="E61" s="215">
        <f>'Unit Data from Audit Worksheet'!F70</f>
        <v>0</v>
      </c>
      <c r="F61" s="209">
        <f t="shared" si="6"/>
        <v>0</v>
      </c>
      <c r="G61" s="211"/>
      <c r="H61" s="208"/>
      <c r="I61" s="32"/>
      <c r="J61" s="207">
        <v>533</v>
      </c>
      <c r="K61" s="279" t="s">
        <v>178</v>
      </c>
      <c r="L61" s="262">
        <f t="shared" si="5"/>
        <v>0</v>
      </c>
      <c r="P61" s="191"/>
    </row>
    <row r="62" spans="1:28" ht="66.599999999999994" customHeight="1" x14ac:dyDescent="0.3">
      <c r="A62" s="197">
        <f>'Unit Data from Audit Worksheet'!A71</f>
        <v>508</v>
      </c>
      <c r="B62" s="210" t="str">
        <f>'Unit Data from Audit Worksheet'!C71</f>
        <v>General Fund-Rev, Exp. Change in Fund Balance</v>
      </c>
      <c r="C62" s="196" t="str">
        <f>'Unit Data from Audit Worksheet'!D71</f>
        <v>Debt Refunding - Net refunding proceeds against debt payoff and if positive place results on this line.</v>
      </c>
      <c r="D62" s="130"/>
      <c r="E62" s="215">
        <f>'Unit Data from Audit Worksheet'!F71</f>
        <v>0</v>
      </c>
      <c r="F62" s="209">
        <f t="shared" si="6"/>
        <v>0</v>
      </c>
      <c r="G62" s="211"/>
      <c r="H62" s="208"/>
      <c r="I62" s="32"/>
      <c r="J62" s="207">
        <v>508</v>
      </c>
      <c r="K62" s="206" t="s">
        <v>180</v>
      </c>
      <c r="L62" s="262">
        <f t="shared" si="5"/>
        <v>0</v>
      </c>
      <c r="N62" s="545"/>
      <c r="P62" s="186"/>
    </row>
    <row r="63" spans="1:28" ht="66.599999999999994" customHeight="1" x14ac:dyDescent="0.3">
      <c r="A63" s="197">
        <f>'Unit Data from Audit Worksheet'!A72</f>
        <v>509</v>
      </c>
      <c r="B63" s="210" t="str">
        <f>'Unit Data from Audit Worksheet'!C72</f>
        <v>General Fund-Rev, Exp. Change in Fund Balance</v>
      </c>
      <c r="C63" s="196" t="str">
        <f>'Unit Data from Audit Worksheet'!D72</f>
        <v>Debt Refunding - Net refunding proceeds against debt payoff and if negative place results on this line.</v>
      </c>
      <c r="D63" s="130"/>
      <c r="E63" s="215">
        <f>'Unit Data from Audit Worksheet'!F72</f>
        <v>0</v>
      </c>
      <c r="F63" s="209">
        <f t="shared" si="6"/>
        <v>0</v>
      </c>
      <c r="G63" s="211"/>
      <c r="H63" s="208"/>
      <c r="I63" s="32"/>
      <c r="J63" s="207">
        <v>509</v>
      </c>
      <c r="K63" s="206" t="s">
        <v>181</v>
      </c>
      <c r="L63" s="262">
        <f t="shared" si="5"/>
        <v>0</v>
      </c>
      <c r="N63" s="546"/>
      <c r="P63" s="191"/>
      <c r="Q63" s="266"/>
      <c r="S63" s="265"/>
      <c r="T63" s="265"/>
      <c r="U63" s="265"/>
      <c r="V63" s="265"/>
    </row>
    <row r="64" spans="1:28" ht="84.75" customHeight="1" x14ac:dyDescent="0.3">
      <c r="A64" s="197">
        <f>'Unit Data from Audit Worksheet'!A73</f>
        <v>22</v>
      </c>
      <c r="B64" s="210" t="str">
        <f>'Unit Data from Audit Worksheet'!C73</f>
        <v>General Fund-Rev, Exp. Change in Fund Balance</v>
      </c>
      <c r="C64" s="196" t="str">
        <f>'Unit Data from Audit Worksheet'!D73</f>
        <v xml:space="preserve">All other items on this statement that were not included in total revenues, total expenditures, transfers in or out, or proceeds from long-term debt above.  </v>
      </c>
      <c r="D64" s="130"/>
      <c r="E64" s="215">
        <f>'Unit Data from Audit Worksheet'!F73</f>
        <v>0</v>
      </c>
      <c r="F64" s="209"/>
      <c r="G64" s="211"/>
      <c r="H64" s="208"/>
      <c r="I64" s="32"/>
      <c r="J64" s="207">
        <v>22</v>
      </c>
      <c r="K64" s="206" t="s">
        <v>179</v>
      </c>
      <c r="L64" s="262">
        <f t="shared" si="5"/>
        <v>0</v>
      </c>
      <c r="N64" s="546"/>
      <c r="P64" s="183"/>
      <c r="Q64" s="282"/>
      <c r="S64" s="281"/>
      <c r="T64" s="281"/>
      <c r="U64" s="281"/>
      <c r="V64" s="281"/>
    </row>
    <row r="65" spans="1:28" ht="74.25" customHeight="1" x14ac:dyDescent="0.3">
      <c r="A65" s="197">
        <f>'Unit Data from Audit Worksheet'!A74</f>
        <v>23</v>
      </c>
      <c r="B65" s="210" t="str">
        <f>'Unit Data from Audit Worksheet'!C74</f>
        <v>General Fund-Rev, Exp. Change in Fund Balance</v>
      </c>
      <c r="C65" s="196" t="str">
        <f>'Unit Data from Audit Worksheet'!D74</f>
        <v>Change in fund balance - (Increase in Fund balance is recorded as a positive and a decrease in fund balance is recorded as a negative)</v>
      </c>
      <c r="D65" s="130"/>
      <c r="E65" s="215">
        <f>'Unit Data from Audit Worksheet'!F74</f>
        <v>0</v>
      </c>
      <c r="F65" s="209">
        <f>IF(+L56-L58+L59-L60+L61+L62-L63+L64-L65=0,,"Error:Total revenues less toal Expenditures do not equal change in fund balance")</f>
        <v>0</v>
      </c>
      <c r="G65" s="84">
        <f>+L56-L58+L59-L60+L61+L64+L62-L63-L65</f>
        <v>0</v>
      </c>
      <c r="H65" s="208"/>
      <c r="I65" s="32"/>
      <c r="J65" s="207">
        <v>23</v>
      </c>
      <c r="K65" s="206" t="s">
        <v>182</v>
      </c>
      <c r="L65" s="262">
        <f t="shared" si="5"/>
        <v>0</v>
      </c>
      <c r="P65" s="183"/>
    </row>
    <row r="66" spans="1:28" ht="123" customHeight="1" x14ac:dyDescent="0.3">
      <c r="A66" s="273">
        <f>'Unit Data from Audit Worksheet'!A76</f>
        <v>507</v>
      </c>
      <c r="B66" s="108" t="str">
        <f>'Unit Data from Audit Worksheet'!C76</f>
        <v>General Fund-Rev, Exp. Change in Fund Balance</v>
      </c>
      <c r="C66" s="192" t="str">
        <f>'Unit Data from Audit Worksheet'!D76</f>
        <v>Any adjustment to beginning fund balance including rounding, prior period adjustments and restatements.   (Amounts that increase fund balance are recorded as positive and amounts that decrease fund balance are recorded as negative)</v>
      </c>
      <c r="D66" s="101"/>
      <c r="E66" s="139">
        <f>'Unit Data from Audit Worksheet'!F76</f>
        <v>0</v>
      </c>
      <c r="F66" s="102" t="e">
        <f>IF(+L50-L65-L66=O50,,"Error: Beginning Fund Bal does not equal our records Accts 9-23-507= PY9")</f>
        <v>#N/A</v>
      </c>
      <c r="G66" s="113" t="e">
        <f>L50-L65-L66-O50</f>
        <v>#N/A</v>
      </c>
      <c r="H66" s="104" t="e">
        <f>'Unit Data from Audit Worksheet'!I76</f>
        <v>#N/A</v>
      </c>
      <c r="I66" s="32"/>
      <c r="J66" s="97">
        <v>507</v>
      </c>
      <c r="K66" s="38" t="s">
        <v>183</v>
      </c>
      <c r="L66" s="262">
        <f t="shared" si="5"/>
        <v>0</v>
      </c>
      <c r="N66" s="270"/>
      <c r="O66" s="269"/>
      <c r="P66" s="183"/>
      <c r="R66" s="353"/>
      <c r="S66" s="353"/>
      <c r="T66" s="353"/>
      <c r="U66" s="353"/>
      <c r="V66" s="353"/>
    </row>
    <row r="67" spans="1:28" s="353" customFormat="1" ht="196.8" customHeight="1" x14ac:dyDescent="0.3">
      <c r="A67" s="172">
        <f>'Unit Data from Audit Worksheet'!A77</f>
        <v>147</v>
      </c>
      <c r="B67" s="108" t="str">
        <f>'Unit Data from Audit Worksheet'!C77</f>
        <v>General Fund-Rev, Exp. Change in Fund Balance or General Fund Budget Actual</v>
      </c>
      <c r="C67" s="172" t="str">
        <f>'Unit Data from Audit Worksheet'!D77</f>
        <v>Local Current Expense sent to Boards of Education (some units present this information in the detailed general fund statements after the notes)
Exclude: amounts for community colleges and 
                  supplemental taxes
Include: amounts spent on resource officers, 
                  nurses and Timber receipts</v>
      </c>
      <c r="D67" s="657"/>
      <c r="E67" s="139">
        <f>'Unit Data from Audit Worksheet'!F77</f>
        <v>0</v>
      </c>
      <c r="F67" s="212"/>
      <c r="G67" s="658"/>
      <c r="H67" s="212"/>
      <c r="I67" s="32"/>
      <c r="J67" s="659">
        <v>147</v>
      </c>
      <c r="K67" s="662" t="s">
        <v>1267</v>
      </c>
      <c r="L67" s="262">
        <f t="shared" si="5"/>
        <v>0</v>
      </c>
      <c r="M67"/>
      <c r="N67" s="270"/>
      <c r="O67" s="269"/>
      <c r="P67" s="183"/>
      <c r="Q67" s="253"/>
      <c r="W67"/>
      <c r="X67"/>
      <c r="Y67"/>
      <c r="Z67"/>
      <c r="AA67"/>
      <c r="AB67"/>
    </row>
    <row r="68" spans="1:28" s="353" customFormat="1" ht="123" customHeight="1" x14ac:dyDescent="0.3">
      <c r="A68" s="172">
        <f>'Unit Data from Audit Worksheet'!A78</f>
        <v>585</v>
      </c>
      <c r="B68" s="108" t="str">
        <f>'Unit Data from Audit Worksheet'!C78</f>
        <v>General Fund-Rev, Exp. Change in Fund Balance or General Fund Budget Actual</v>
      </c>
      <c r="C68" s="172" t="str">
        <f>'Unit Data from Audit Worksheet'!D78</f>
        <v xml:space="preserve">How much of the above number in account 147 is from Timber Receipts sent to the schools </v>
      </c>
      <c r="D68" s="657"/>
      <c r="E68" s="139">
        <f>'Unit Data from Audit Worksheet'!F78</f>
        <v>0</v>
      </c>
      <c r="F68" s="212"/>
      <c r="G68" s="658"/>
      <c r="H68" s="212"/>
      <c r="I68" s="32"/>
      <c r="J68" s="659">
        <v>585</v>
      </c>
      <c r="K68" s="663" t="s">
        <v>620</v>
      </c>
      <c r="L68" s="262">
        <f t="shared" si="5"/>
        <v>0</v>
      </c>
      <c r="M68"/>
      <c r="N68" s="270"/>
      <c r="O68" s="269"/>
      <c r="P68" s="183"/>
      <c r="Q68" s="253"/>
      <c r="W68"/>
      <c r="X68"/>
      <c r="Y68"/>
      <c r="Z68"/>
      <c r="AA68"/>
      <c r="AB68"/>
    </row>
    <row r="69" spans="1:28" s="353" customFormat="1" ht="123" customHeight="1" x14ac:dyDescent="0.3">
      <c r="A69" s="172">
        <f>'Unit Data from Audit Worksheet'!A79</f>
        <v>546</v>
      </c>
      <c r="B69" s="108" t="str">
        <f>'Unit Data from Audit Worksheet'!C79</f>
        <v>General Fund-Rev, Exp. Change in Fund Balance or General Fund Budget Actual</v>
      </c>
      <c r="C69" s="172" t="str">
        <f>'Unit Data from Audit Worksheet'!D79</f>
        <v>Amount of Supplemental School Tax revenue recorded in the governmental funds.</v>
      </c>
      <c r="D69" s="657"/>
      <c r="E69" s="139">
        <f>'Unit Data from Audit Worksheet'!F79</f>
        <v>0</v>
      </c>
      <c r="F69" s="212"/>
      <c r="G69" s="658"/>
      <c r="H69" s="212"/>
      <c r="I69" s="32"/>
      <c r="J69" s="659">
        <v>546</v>
      </c>
      <c r="K69" s="663" t="s">
        <v>615</v>
      </c>
      <c r="L69" s="262">
        <f t="shared" si="5"/>
        <v>0</v>
      </c>
      <c r="M69"/>
      <c r="N69" s="270"/>
      <c r="O69" s="269"/>
      <c r="P69" s="183"/>
      <c r="Q69" s="253"/>
      <c r="W69"/>
      <c r="X69"/>
      <c r="Y69"/>
      <c r="Z69"/>
      <c r="AA69"/>
      <c r="AB69"/>
    </row>
    <row r="70" spans="1:28" s="353" customFormat="1" ht="123" customHeight="1" x14ac:dyDescent="0.3">
      <c r="A70" s="172">
        <f>'Unit Data from Audit Worksheet'!A80</f>
        <v>589</v>
      </c>
      <c r="B70" s="108" t="str">
        <f>'Unit Data from Audit Worksheet'!C80</f>
        <v>General Fund-Rev, Exp. Change in Fund Balance or General Fund Budget Actual</v>
      </c>
      <c r="C70" s="172" t="str">
        <f>'Unit Data from Audit Worksheet'!D80</f>
        <v>Amount of Supplemental School Tax revenue recorded in agency funds.</v>
      </c>
      <c r="D70" s="657"/>
      <c r="E70" s="139">
        <f>'Unit Data from Audit Worksheet'!F80</f>
        <v>0</v>
      </c>
      <c r="F70" s="212"/>
      <c r="G70" s="658"/>
      <c r="H70" s="212"/>
      <c r="I70" s="32"/>
      <c r="J70" s="659">
        <v>589</v>
      </c>
      <c r="K70" s="664" t="s">
        <v>1268</v>
      </c>
      <c r="L70" s="262">
        <f t="shared" si="5"/>
        <v>0</v>
      </c>
      <c r="M70"/>
      <c r="N70" s="270"/>
      <c r="O70" s="269"/>
      <c r="P70" s="183"/>
      <c r="Q70" s="253"/>
      <c r="W70"/>
      <c r="X70"/>
      <c r="Y70"/>
      <c r="Z70"/>
      <c r="AA70"/>
      <c r="AB70"/>
    </row>
    <row r="71" spans="1:28" s="18" customFormat="1" ht="40.5" customHeight="1" x14ac:dyDescent="0.3">
      <c r="A71" s="178">
        <f>'Unit Data from Audit Worksheet'!A81</f>
        <v>647</v>
      </c>
      <c r="B71" s="219" t="str">
        <f>'Unit Data from Audit Worksheet'!C81</f>
        <v>Debt Service Fund</v>
      </c>
      <c r="C71" s="178" t="str">
        <f>'Unit Data from Audit Worksheet'!D81</f>
        <v>Please enter the Total Fund Balance for any Debt Service Funds</v>
      </c>
      <c r="D71" s="107"/>
      <c r="E71" s="218">
        <f>'Unit Data from Audit Worksheet'!F81</f>
        <v>0</v>
      </c>
      <c r="F71" s="204"/>
      <c r="G71" s="200"/>
      <c r="H71" s="204"/>
      <c r="I71" s="274"/>
      <c r="J71" s="203">
        <v>647</v>
      </c>
      <c r="K71" s="181" t="s">
        <v>560</v>
      </c>
      <c r="L71" s="275">
        <f>IF(D71="",E71,D71)</f>
        <v>0</v>
      </c>
      <c r="M71"/>
      <c r="N71" s="265"/>
      <c r="O71" s="280"/>
      <c r="P71" s="183"/>
      <c r="Q71" s="253"/>
      <c r="R71" s="3"/>
      <c r="S71" s="3"/>
      <c r="T71" s="3"/>
      <c r="U71" s="3"/>
      <c r="V71" s="3"/>
      <c r="W71"/>
      <c r="X71"/>
      <c r="Y71"/>
      <c r="Z71"/>
      <c r="AA71"/>
      <c r="AB71"/>
    </row>
    <row r="72" spans="1:28" s="18" customFormat="1" ht="99" customHeight="1" x14ac:dyDescent="0.3">
      <c r="A72" s="172">
        <f>'Unit Data from Audit Worksheet'!A83</f>
        <v>148</v>
      </c>
      <c r="B72" s="172" t="str">
        <f>'Unit Data from Audit Worksheet'!C83</f>
        <v>All Gov. Funds Rev, Exp. Change in Fund Balance</v>
      </c>
      <c r="C72" s="172" t="str">
        <f>'Unit Data from Audit Worksheet'!D83</f>
        <v>Capital Outlay contributions to the BOEs (include amounts from general fund, capital project funds and any other fund sent to the BOE as part of capital outlay)</v>
      </c>
      <c r="D72" s="657"/>
      <c r="E72" s="218">
        <f>'Unit Data from Audit Worksheet'!F83</f>
        <v>0</v>
      </c>
      <c r="F72" s="212"/>
      <c r="G72" s="658"/>
      <c r="H72" s="212"/>
      <c r="I72" s="32"/>
      <c r="J72" s="659">
        <v>148</v>
      </c>
      <c r="K72" s="662" t="s">
        <v>1269</v>
      </c>
      <c r="L72" s="275">
        <f>IF(D72="",E72,D72)</f>
        <v>0</v>
      </c>
      <c r="M72"/>
      <c r="N72" s="281"/>
      <c r="O72" s="660"/>
      <c r="P72" s="183"/>
      <c r="Q72" s="253"/>
      <c r="R72" s="353"/>
      <c r="S72" s="353"/>
      <c r="T72" s="353"/>
      <c r="U72" s="353"/>
      <c r="V72" s="353"/>
      <c r="W72"/>
      <c r="X72"/>
      <c r="Y72"/>
      <c r="Z72"/>
      <c r="AA72"/>
      <c r="AB72"/>
    </row>
    <row r="73" spans="1:28" ht="82.8" customHeight="1" x14ac:dyDescent="0.3">
      <c r="A73" s="260">
        <f>'Unit Data from Audit Worksheet'!A84</f>
        <v>171</v>
      </c>
      <c r="B73" s="261" t="str">
        <f>'Unit Data from Audit Worksheet'!C84</f>
        <v>Fund Statements - all Governmental Funds</v>
      </c>
      <c r="C73" s="261" t="str">
        <f>'Unit Data from Audit Worksheet'!D84</f>
        <v>Debt service expenditures from all governmental funds.  Include principal, interest paid, and debt issuance costs on long-term debt.</v>
      </c>
      <c r="D73" s="214"/>
      <c r="E73" s="136">
        <f>'Unit Data from Audit Worksheet'!F84</f>
        <v>0</v>
      </c>
      <c r="F73" s="41">
        <f>IF(L73&lt;0,"Error: Enter as a positive.",)</f>
        <v>0</v>
      </c>
      <c r="G73" s="65"/>
      <c r="H73" s="208"/>
      <c r="I73" s="32"/>
      <c r="J73" s="36">
        <v>171</v>
      </c>
      <c r="K73" s="45" t="s">
        <v>184</v>
      </c>
      <c r="L73" s="262">
        <f t="shared" si="5"/>
        <v>0</v>
      </c>
      <c r="P73" s="183"/>
    </row>
    <row r="74" spans="1:28" ht="111.6" customHeight="1" x14ac:dyDescent="0.3">
      <c r="A74" s="197">
        <f>'Unit Data from Audit Worksheet'!A88</f>
        <v>596</v>
      </c>
      <c r="B74" s="196"/>
      <c r="C74" s="196" t="str">
        <f>'Unit Data from Audit Worksheet'!D88</f>
        <v>Indicate if your water/sewer system:
50 - Became Operational
51 - Ceased Operations
52 - No Change
Select from drop down.</v>
      </c>
      <c r="D74" s="130"/>
      <c r="E74" s="215">
        <f>'Unit Data from Audit Worksheet'!F88</f>
        <v>0</v>
      </c>
      <c r="F74" s="209"/>
      <c r="G74" s="209"/>
      <c r="H74" s="208"/>
      <c r="I74" s="32"/>
      <c r="J74" s="207">
        <v>596</v>
      </c>
      <c r="K74" s="206" t="s">
        <v>284</v>
      </c>
      <c r="L74" s="262">
        <f t="shared" si="5"/>
        <v>0</v>
      </c>
      <c r="P74" s="184"/>
    </row>
    <row r="75" spans="1:28" ht="71.400000000000006" x14ac:dyDescent="0.3">
      <c r="A75" s="197">
        <f>'Unit Data from Audit Worksheet'!A89</f>
        <v>80</v>
      </c>
      <c r="B75" s="210" t="str">
        <f>'Unit Data from Audit Worksheet'!C89</f>
        <v>Water Sewer Net Position Statement</v>
      </c>
      <c r="C75" s="196" t="str">
        <f>'Unit Data from Audit Worksheet'!D89</f>
        <v>Unrestricted Cash and investments 
Exclude restricted cash and/or restricted investments.</v>
      </c>
      <c r="D75" s="130"/>
      <c r="E75" s="215">
        <f>'Unit Data from Audit Worksheet'!F89</f>
        <v>0</v>
      </c>
      <c r="F75" s="209">
        <f>IF(L75&lt;0,"Error: Number is normally positive.",)</f>
        <v>0</v>
      </c>
      <c r="G75" s="209" t="e">
        <f>'Unit Data from Audit Worksheet'!G89</f>
        <v>#N/A</v>
      </c>
      <c r="H75" s="208"/>
      <c r="I75" s="32"/>
      <c r="J75" s="207">
        <v>80</v>
      </c>
      <c r="K75" s="206" t="s">
        <v>185</v>
      </c>
      <c r="L75" s="262">
        <f t="shared" si="5"/>
        <v>0</v>
      </c>
      <c r="P75" s="184"/>
    </row>
    <row r="76" spans="1:28" ht="67.8" customHeight="1" x14ac:dyDescent="0.3">
      <c r="A76" s="197">
        <f>'Unit Data from Audit Worksheet'!A90</f>
        <v>81</v>
      </c>
      <c r="B76" s="210" t="str">
        <f>'Unit Data from Audit Worksheet'!C90</f>
        <v>Water Sewer Net Position Statement</v>
      </c>
      <c r="C76" s="196" t="str">
        <f>'Unit Data from Audit Worksheet'!D90</f>
        <v>Customer accounts receivable (net of allowance accounts). 
Include both billed and unbilled amounts.</v>
      </c>
      <c r="D76" s="130"/>
      <c r="E76" s="215">
        <f>'Unit Data from Audit Worksheet'!F90</f>
        <v>0</v>
      </c>
      <c r="F76" s="209">
        <f>IF(L76&lt;0,"Error: Number is normally positive.",)</f>
        <v>0</v>
      </c>
      <c r="G76" s="211"/>
      <c r="H76" s="208"/>
      <c r="I76" s="32"/>
      <c r="J76" s="207">
        <v>81</v>
      </c>
      <c r="K76" s="206" t="s">
        <v>186</v>
      </c>
      <c r="L76" s="262">
        <f t="shared" si="5"/>
        <v>0</v>
      </c>
      <c r="P76" s="184"/>
    </row>
    <row r="77" spans="1:28" ht="75.599999999999994" customHeight="1" x14ac:dyDescent="0.3">
      <c r="A77" s="197">
        <f>'Unit Data from Audit Worksheet'!A91</f>
        <v>579</v>
      </c>
      <c r="B77" s="210" t="str">
        <f>'Unit Data from Audit Worksheet'!C91</f>
        <v>Water Sewer Net Position Statement</v>
      </c>
      <c r="C77" s="196" t="str">
        <f>'Unit Data from Audit Worksheet'!D91</f>
        <v>Water Sewer - Advance To:
Interfund loan receivable-portion of repayment plan longer than 12 months</v>
      </c>
      <c r="D77" s="130"/>
      <c r="E77" s="215">
        <f>'Unit Data from Audit Worksheet'!F91</f>
        <v>0</v>
      </c>
      <c r="F77" s="209"/>
      <c r="G77" s="211"/>
      <c r="H77" s="208"/>
      <c r="I77" s="32"/>
      <c r="J77" s="207">
        <v>579</v>
      </c>
      <c r="K77" s="206" t="s">
        <v>267</v>
      </c>
      <c r="L77" s="262">
        <f t="shared" si="5"/>
        <v>0</v>
      </c>
      <c r="N77" s="283"/>
      <c r="P77" s="184"/>
    </row>
    <row r="78" spans="1:28" ht="56.4" customHeight="1" x14ac:dyDescent="0.3">
      <c r="A78" s="197">
        <f>'Unit Data from Audit Worksheet'!A92</f>
        <v>510</v>
      </c>
      <c r="B78" s="210" t="str">
        <f>'Unit Data from Audit Worksheet'!C92</f>
        <v>Water Sewer Net Position Statement</v>
      </c>
      <c r="C78" s="196" t="str">
        <f>'Unit Data from Audit Worksheet'!D92</f>
        <v>Amount of Inventories and Prepaid expenses in current assets</v>
      </c>
      <c r="D78" s="130"/>
      <c r="E78" s="215">
        <f>'Unit Data from Audit Worksheet'!F92</f>
        <v>0</v>
      </c>
      <c r="F78" s="209"/>
      <c r="G78" s="211"/>
      <c r="H78" s="208"/>
      <c r="I78" s="32"/>
      <c r="J78" s="207">
        <v>510</v>
      </c>
      <c r="K78" s="206" t="s">
        <v>187</v>
      </c>
      <c r="L78" s="262">
        <f t="shared" si="5"/>
        <v>0</v>
      </c>
      <c r="P78" s="184"/>
    </row>
    <row r="79" spans="1:28" ht="52.8" customHeight="1" x14ac:dyDescent="0.3">
      <c r="A79" s="197">
        <f>'Unit Data from Audit Worksheet'!A93</f>
        <v>654</v>
      </c>
      <c r="B79" s="210" t="str">
        <f>'Unit Data from Audit Worksheet'!C93</f>
        <v>Water Sewer Net Position Statement</v>
      </c>
      <c r="C79" s="196" t="str">
        <f>'Unit Data from Audit Worksheet'!D93</f>
        <v xml:space="preserve">Total Current assets as listed on the WS Net Position Statement.  
</v>
      </c>
      <c r="D79" s="130"/>
      <c r="E79" s="215">
        <f>'Unit Data from Audit Worksheet'!F93</f>
        <v>0</v>
      </c>
      <c r="F79" s="209">
        <f>IF((+L75+L76+L78)&gt;L79,"Please review components of current assets above Acct. (80+81+510&gt;654",)</f>
        <v>0</v>
      </c>
      <c r="G79" s="211"/>
      <c r="H79" s="208"/>
      <c r="I79" s="32"/>
      <c r="J79" s="207">
        <v>654</v>
      </c>
      <c r="K79" s="213" t="s">
        <v>345</v>
      </c>
      <c r="L79" s="262">
        <f t="shared" si="5"/>
        <v>0</v>
      </c>
      <c r="P79" s="184"/>
    </row>
    <row r="80" spans="1:28" ht="58.2" customHeight="1" x14ac:dyDescent="0.3">
      <c r="A80" s="197">
        <f>'Unit Data from Audit Worksheet'!A94</f>
        <v>655</v>
      </c>
      <c r="B80" s="210" t="str">
        <f>'Unit Data from Audit Worksheet'!C94</f>
        <v>Water Sewer Net Position Statement</v>
      </c>
      <c r="C80" s="196" t="str">
        <f>'Unit Data from Audit Worksheet'!D94</f>
        <v>WS-Any current assets that are restricted (Cash, Accounts Rec., etc..) and included in account 654 above</v>
      </c>
      <c r="D80" s="130"/>
      <c r="E80" s="215">
        <f>'Unit Data from Audit Worksheet'!F94</f>
        <v>0</v>
      </c>
      <c r="F80" s="209"/>
      <c r="G80" s="211"/>
      <c r="H80" s="208"/>
      <c r="I80" s="32"/>
      <c r="J80" s="207">
        <v>655</v>
      </c>
      <c r="K80" s="213" t="s">
        <v>367</v>
      </c>
      <c r="L80" s="262">
        <f t="shared" si="5"/>
        <v>0</v>
      </c>
      <c r="P80" s="184"/>
    </row>
    <row r="81" spans="1:28" ht="55.2" customHeight="1" x14ac:dyDescent="0.3">
      <c r="A81" s="197">
        <f>'Unit Data from Audit Worksheet'!A95</f>
        <v>381</v>
      </c>
      <c r="B81" s="210" t="str">
        <f>'Unit Data from Audit Worksheet'!C95</f>
        <v>Water Sewer Net Position Statement</v>
      </c>
      <c r="C81" s="196" t="str">
        <f>'Unit Data from Audit Worksheet'!D95</f>
        <v>Total Assets and deferred outflows</v>
      </c>
      <c r="D81" s="130"/>
      <c r="E81" s="215">
        <f>'Unit Data from Audit Worksheet'!F95</f>
        <v>0</v>
      </c>
      <c r="F81" s="209" t="str">
        <f>IF(L81&lt;L79,"Please review components of current assets above acct. 381&lt;654"," ")</f>
        <v xml:space="preserve"> </v>
      </c>
      <c r="G81" s="211"/>
      <c r="H81" s="208"/>
      <c r="I81" s="32"/>
      <c r="J81" s="207">
        <v>381</v>
      </c>
      <c r="K81" s="206" t="s">
        <v>94</v>
      </c>
      <c r="L81" s="262">
        <f t="shared" si="5"/>
        <v>0</v>
      </c>
      <c r="P81" s="184"/>
    </row>
    <row r="82" spans="1:28" ht="76.2" customHeight="1" x14ac:dyDescent="0.3">
      <c r="A82" s="273">
        <f>'Unit Data from Audit Worksheet'!A96</f>
        <v>578</v>
      </c>
      <c r="B82" s="108" t="str">
        <f>'Unit Data from Audit Worksheet'!C96</f>
        <v>Water Sewer Net Position Statement</v>
      </c>
      <c r="C82" s="264" t="str">
        <f>'Unit Data from Audit Worksheet'!D96</f>
        <v>Water Sewer - Advance From: 
Interfund loan Payable-portion of repayment plan longer than 12 months</v>
      </c>
      <c r="D82" s="101"/>
      <c r="E82" s="139">
        <f>'Unit Data from Audit Worksheet'!F96</f>
        <v>0</v>
      </c>
      <c r="F82" s="102"/>
      <c r="G82" s="103"/>
      <c r="H82" s="104"/>
      <c r="I82" s="32"/>
      <c r="J82" s="97">
        <v>578</v>
      </c>
      <c r="K82" s="38" t="s">
        <v>268</v>
      </c>
      <c r="L82" s="262">
        <f t="shared" si="5"/>
        <v>0</v>
      </c>
      <c r="P82" s="184"/>
    </row>
    <row r="83" spans="1:28" s="18" customFormat="1" ht="140.4" customHeight="1" x14ac:dyDescent="0.3">
      <c r="A83" s="178">
        <v>633</v>
      </c>
      <c r="B83" s="219" t="str">
        <f>'Unit Data from Audit Worksheet'!C97</f>
        <v>Water Sewer Net Position Statement</v>
      </c>
      <c r="C83" s="178" t="str">
        <f>'Unit Data from Audit Worksheet'!D97</f>
        <v>Current liabilities (as reported on the Statement of Fund Net Position)
Include:   Current liabilities including current portion of long-term debt.  Deferred inflows should not be included in Current Liabilities  
Enter as positive</v>
      </c>
      <c r="D83" s="101"/>
      <c r="E83" s="218">
        <f>'Unit Data from Audit Worksheet'!F97</f>
        <v>0</v>
      </c>
      <c r="F83" s="204" t="str">
        <f>IF(L83&gt;=(L84+L85+L86+L87+L88+L89),"","Account 633 is less than the total sum of accounts 634 through 638 + 383")</f>
        <v/>
      </c>
      <c r="G83" s="193"/>
      <c r="H83" s="204"/>
      <c r="I83" s="274"/>
      <c r="J83" s="203">
        <v>633</v>
      </c>
      <c r="K83" s="181" t="s">
        <v>321</v>
      </c>
      <c r="L83" s="275">
        <f>IF(D83="",E83,D83)</f>
        <v>0</v>
      </c>
      <c r="M83"/>
      <c r="N83" s="265"/>
      <c r="O83" s="265"/>
      <c r="P83" s="184"/>
      <c r="Q83" s="253"/>
      <c r="R83" s="3"/>
      <c r="W83"/>
      <c r="X83"/>
      <c r="Y83"/>
      <c r="Z83"/>
      <c r="AA83"/>
      <c r="AB83"/>
    </row>
    <row r="84" spans="1:28" s="18" customFormat="1" ht="142.19999999999999" customHeight="1" x14ac:dyDescent="0.3">
      <c r="A84" s="178">
        <v>634</v>
      </c>
      <c r="B84" s="219" t="str">
        <f>'Unit Data from Audit Worksheet'!C98</f>
        <v>Water Sewer Net Position Statement</v>
      </c>
      <c r="C84" s="178" t="str">
        <f>'Unit Data from Audit Worksheet'!D98</f>
        <v>Please enter any bond anticipation notes that are classified as current liabilities and included in account 633 above (amounts entered should agree to the current amount included in the changes to long-term debt note)
Enter as positive</v>
      </c>
      <c r="D84" s="101"/>
      <c r="E84" s="218">
        <f>'Unit Data from Audit Worksheet'!F98</f>
        <v>0</v>
      </c>
      <c r="F84" s="204"/>
      <c r="G84" s="193"/>
      <c r="H84" s="204"/>
      <c r="I84" s="274"/>
      <c r="J84" s="203">
        <v>634</v>
      </c>
      <c r="K84" s="181" t="s">
        <v>322</v>
      </c>
      <c r="L84" s="275">
        <f>IF(D84="",E84,D84)</f>
        <v>0</v>
      </c>
      <c r="M84"/>
      <c r="N84" s="265"/>
      <c r="O84" s="265"/>
      <c r="P84" s="184"/>
      <c r="Q84" s="253"/>
      <c r="R84" s="3"/>
      <c r="W84"/>
      <c r="X84"/>
      <c r="Y84"/>
      <c r="Z84"/>
      <c r="AA84"/>
      <c r="AB84"/>
    </row>
    <row r="85" spans="1:28" s="18" customFormat="1" ht="124.2" customHeight="1" x14ac:dyDescent="0.3">
      <c r="A85" s="178">
        <v>635</v>
      </c>
      <c r="B85" s="219" t="str">
        <f>'Unit Data from Audit Worksheet'!C99</f>
        <v>Water Sewer Net Position Statement</v>
      </c>
      <c r="C85" s="178" t="str">
        <f>'Unit Data from Audit Worksheet'!D99</f>
        <v>Please enter any compensated absences that are classified as current liabilities and included in account 633 above (amounts entered should agree to the current amount included in the changes to long-term debt note)
Enter as positive</v>
      </c>
      <c r="D85" s="101"/>
      <c r="E85" s="218">
        <f>'Unit Data from Audit Worksheet'!F99</f>
        <v>0</v>
      </c>
      <c r="F85" s="204"/>
      <c r="G85" s="193"/>
      <c r="H85" s="204"/>
      <c r="I85" s="274"/>
      <c r="J85" s="203">
        <v>635</v>
      </c>
      <c r="K85" s="181" t="s">
        <v>323</v>
      </c>
      <c r="L85" s="275">
        <f>IF(D85="",E85,D85)</f>
        <v>0</v>
      </c>
      <c r="M85"/>
      <c r="N85" s="265"/>
      <c r="O85" s="265"/>
      <c r="P85" s="184"/>
      <c r="Q85" s="253"/>
      <c r="R85" s="3"/>
      <c r="W85"/>
      <c r="X85"/>
      <c r="Y85"/>
      <c r="Z85"/>
      <c r="AA85"/>
      <c r="AB85"/>
    </row>
    <row r="86" spans="1:28" s="18" customFormat="1" ht="144" customHeight="1" x14ac:dyDescent="0.3">
      <c r="A86" s="178">
        <v>636</v>
      </c>
      <c r="B86" s="219" t="str">
        <f>'Unit Data from Audit Worksheet'!C100</f>
        <v>Water Sewer Net Position Statement</v>
      </c>
      <c r="C86" s="178" t="str">
        <f>'Unit Data from Audit Worksheet'!D100</f>
        <v>Please enter any pension liabilities that are classified as current liabilities and included in account 633 above (amounts entered should agree to the current amount included in the changes to long-term debt note)
Enter as positive</v>
      </c>
      <c r="D86" s="101"/>
      <c r="E86" s="218">
        <f>'Unit Data from Audit Worksheet'!F100</f>
        <v>0</v>
      </c>
      <c r="F86" s="204"/>
      <c r="G86" s="193"/>
      <c r="H86" s="204"/>
      <c r="I86" s="274"/>
      <c r="J86" s="203">
        <v>636</v>
      </c>
      <c r="K86" s="181" t="s">
        <v>318</v>
      </c>
      <c r="L86" s="275">
        <f t="shared" ref="L86:L92" si="7">IF(D86="",E86,D86)</f>
        <v>0</v>
      </c>
      <c r="M86"/>
      <c r="N86" s="265"/>
      <c r="O86" s="265"/>
      <c r="P86" s="184"/>
      <c r="Q86" s="253"/>
      <c r="R86" s="3"/>
      <c r="W86"/>
      <c r="X86"/>
      <c r="Y86"/>
      <c r="Z86"/>
      <c r="AA86"/>
      <c r="AB86"/>
    </row>
    <row r="87" spans="1:28" s="18" customFormat="1" ht="99" customHeight="1" x14ac:dyDescent="0.3">
      <c r="A87" s="178">
        <v>637</v>
      </c>
      <c r="B87" s="219" t="str">
        <f>'Unit Data from Audit Worksheet'!C101</f>
        <v>Water Sewer Net Position Statement</v>
      </c>
      <c r="C87" s="178" t="str">
        <f>'Unit Data from Audit Worksheet'!D101</f>
        <v>Please enter any current liabilities that are payable from restricted assets and included in account 633 above.
Enter as positive</v>
      </c>
      <c r="D87" s="101"/>
      <c r="E87" s="218">
        <f>'Unit Data from Audit Worksheet'!F101</f>
        <v>0</v>
      </c>
      <c r="F87" s="204"/>
      <c r="G87" s="193"/>
      <c r="H87" s="204"/>
      <c r="I87" s="274"/>
      <c r="J87" s="203">
        <v>637</v>
      </c>
      <c r="K87" s="181" t="s">
        <v>319</v>
      </c>
      <c r="L87" s="275">
        <f t="shared" si="7"/>
        <v>0</v>
      </c>
      <c r="M87"/>
      <c r="N87" s="265"/>
      <c r="O87" s="265"/>
      <c r="P87" s="187"/>
      <c r="Q87" s="253"/>
      <c r="R87" s="3"/>
      <c r="W87"/>
      <c r="X87"/>
      <c r="Y87"/>
      <c r="Z87"/>
      <c r="AA87"/>
      <c r="AB87"/>
    </row>
    <row r="88" spans="1:28" s="18" customFormat="1" ht="118.2" customHeight="1" x14ac:dyDescent="0.3">
      <c r="A88" s="178">
        <v>638</v>
      </c>
      <c r="B88" s="219" t="str">
        <f>'Unit Data from Audit Worksheet'!C102</f>
        <v>Water Sewer Net Position Statement</v>
      </c>
      <c r="C88" s="178" t="str">
        <f>'Unit Data from Audit Worksheet'!D102</f>
        <v>Please enter any OPEB liabilities that are classified as current liabilities and included in account 633 above (amounts entered should agree to the current amount included in the changes to long-term debt note)
Enter as positive</v>
      </c>
      <c r="D88" s="101"/>
      <c r="E88" s="218">
        <f>'Unit Data from Audit Worksheet'!F102</f>
        <v>0</v>
      </c>
      <c r="F88" s="204"/>
      <c r="G88" s="193"/>
      <c r="H88" s="204"/>
      <c r="I88" s="274"/>
      <c r="J88" s="203">
        <v>638</v>
      </c>
      <c r="K88" s="181" t="s">
        <v>324</v>
      </c>
      <c r="L88" s="275">
        <f t="shared" si="7"/>
        <v>0</v>
      </c>
      <c r="M88"/>
      <c r="N88" s="265"/>
      <c r="O88" s="265"/>
      <c r="P88" s="184"/>
      <c r="Q88" s="253"/>
      <c r="R88" s="3"/>
      <c r="W88"/>
      <c r="X88"/>
      <c r="Y88"/>
      <c r="Z88"/>
      <c r="AA88"/>
      <c r="AB88"/>
    </row>
    <row r="89" spans="1:28" ht="121.2" customHeight="1" x14ac:dyDescent="0.3">
      <c r="A89" s="260">
        <f>'Unit Data from Audit Worksheet'!A103</f>
        <v>383</v>
      </c>
      <c r="B89" s="48" t="str">
        <f>'Unit Data from Audit Worksheet'!C103</f>
        <v>Water Sewer Net Position Statement</v>
      </c>
      <c r="C89" s="261" t="str">
        <f>'Unit Data from Audit Worksheet'!D103</f>
        <v>Unearned revenue (arising from cash receipts) that were included in Current Liabilities in the question in account 633 above.
Enter as positive</v>
      </c>
      <c r="D89" s="130"/>
      <c r="E89" s="136">
        <f>'Unit Data from Audit Worksheet'!F103</f>
        <v>0</v>
      </c>
      <c r="F89" s="41">
        <f>IF(L89&lt;0,"Error: Enter as a positive.",)</f>
        <v>0</v>
      </c>
      <c r="G89" s="65"/>
      <c r="H89" s="208"/>
      <c r="I89" s="32"/>
      <c r="J89" s="36">
        <v>383</v>
      </c>
      <c r="K89" s="45" t="s">
        <v>188</v>
      </c>
      <c r="L89" s="262">
        <f t="shared" si="7"/>
        <v>0</v>
      </c>
      <c r="P89" s="184"/>
    </row>
    <row r="90" spans="1:28" ht="72" customHeight="1" x14ac:dyDescent="0.3">
      <c r="A90" s="197">
        <f>'Unit Data from Audit Worksheet'!A104</f>
        <v>349</v>
      </c>
      <c r="B90" s="210" t="str">
        <f>'Unit Data from Audit Worksheet'!C104</f>
        <v>Water Sewer Net Position Statement</v>
      </c>
      <c r="C90" s="196" t="str">
        <f>'Unit Data from Audit Worksheet'!D104</f>
        <v>Total Liabilities and deferred inflows</v>
      </c>
      <c r="D90" s="130"/>
      <c r="E90" s="215">
        <f>'Unit Data from Audit Worksheet'!F104</f>
        <v>0</v>
      </c>
      <c r="F90" s="209">
        <f>IF(L83&gt;L90,"Error: Please review accts 633&gt;349",)</f>
        <v>0</v>
      </c>
      <c r="G90" s="211"/>
      <c r="H90" s="208"/>
      <c r="I90" s="32"/>
      <c r="J90" s="207">
        <v>349</v>
      </c>
      <c r="K90" s="206" t="s">
        <v>102</v>
      </c>
      <c r="L90" s="262">
        <f t="shared" si="7"/>
        <v>0</v>
      </c>
      <c r="P90" s="184"/>
    </row>
    <row r="91" spans="1:28" ht="67.8" customHeight="1" x14ac:dyDescent="0.3">
      <c r="A91" s="197">
        <f>'Unit Data from Audit Worksheet'!A105</f>
        <v>375</v>
      </c>
      <c r="B91" s="210" t="str">
        <f>'Unit Data from Audit Worksheet'!C105</f>
        <v>Water Sewer Net Position Statement</v>
      </c>
      <c r="C91" s="196" t="str">
        <f>'Unit Data from Audit Worksheet'!D105</f>
        <v>Total Net position, Unrestricted - enter negative unrestricted net position as a negative</v>
      </c>
      <c r="D91" s="130"/>
      <c r="E91" s="215">
        <f>'Unit Data from Audit Worksheet'!F105</f>
        <v>0</v>
      </c>
      <c r="F91" s="209"/>
      <c r="G91" s="211"/>
      <c r="H91" s="208"/>
      <c r="I91" s="32"/>
      <c r="J91" s="207">
        <v>375</v>
      </c>
      <c r="K91" s="206" t="s">
        <v>189</v>
      </c>
      <c r="L91" s="262">
        <f t="shared" si="7"/>
        <v>0</v>
      </c>
      <c r="P91" s="184"/>
    </row>
    <row r="92" spans="1:28" ht="67.2" customHeight="1" x14ac:dyDescent="0.3">
      <c r="A92" s="197">
        <f>'Unit Data from Audit Worksheet'!A106</f>
        <v>83</v>
      </c>
      <c r="B92" s="210" t="str">
        <f>'Unit Data from Audit Worksheet'!C106</f>
        <v>Water Sewer Net Position Statement</v>
      </c>
      <c r="C92" s="196" t="str">
        <f>'Unit Data from Audit Worksheet'!D106</f>
        <v>Total Net position</v>
      </c>
      <c r="D92" s="130"/>
      <c r="E92" s="215">
        <f>'Unit Data from Audit Worksheet'!F106</f>
        <v>0</v>
      </c>
      <c r="F92" s="209">
        <f>IF(+L81-L90-L92=0,,"Error: Total assets less total liabilities do not equal net position acct 381-349-83=0")</f>
        <v>0</v>
      </c>
      <c r="G92" s="84">
        <f>L81-L90-L92</f>
        <v>0</v>
      </c>
      <c r="H92" s="208"/>
      <c r="I92" s="32"/>
      <c r="J92" s="207">
        <v>83</v>
      </c>
      <c r="K92" s="206" t="s">
        <v>86</v>
      </c>
      <c r="L92" s="262">
        <f t="shared" si="7"/>
        <v>0</v>
      </c>
      <c r="O92" s="269" t="e">
        <f>'Unit Data from Audit Worksheet'!E106</f>
        <v>#N/A</v>
      </c>
      <c r="P92" s="184"/>
      <c r="Q92" s="212"/>
    </row>
    <row r="93" spans="1:28" ht="73.2" customHeight="1" x14ac:dyDescent="0.3">
      <c r="A93" s="197">
        <f>'Unit Data from Audit Worksheet'!A109</f>
        <v>88</v>
      </c>
      <c r="B93" s="210" t="str">
        <f>'Unit Data from Audit Worksheet'!C109</f>
        <v>Water Sewer Revenue, Expenses &amp; Changes in Fund Net Position</v>
      </c>
      <c r="C93" s="196" t="str">
        <f>'Unit Data from Audit Worksheet'!D109</f>
        <v>Charges for services. 
Exclude tap, capacity fees and other misc. income .</v>
      </c>
      <c r="D93" s="130"/>
      <c r="E93" s="215">
        <f>'Unit Data from Audit Worksheet'!F109</f>
        <v>0</v>
      </c>
      <c r="F93" s="209"/>
      <c r="G93" s="211"/>
      <c r="H93" s="208"/>
      <c r="I93" s="32"/>
      <c r="J93" s="207">
        <v>88</v>
      </c>
      <c r="K93" s="206" t="s">
        <v>190</v>
      </c>
      <c r="L93" s="262">
        <f t="shared" ref="L93:L108" si="8">IF(D93="",E93,D93)</f>
        <v>0</v>
      </c>
      <c r="P93" s="184"/>
    </row>
    <row r="94" spans="1:28" ht="72" customHeight="1" x14ac:dyDescent="0.3">
      <c r="A94" s="197">
        <f>'Unit Data from Audit Worksheet'!A110</f>
        <v>84</v>
      </c>
      <c r="B94" s="210" t="str">
        <f>'Unit Data from Audit Worksheet'!C110</f>
        <v>Water Sewer Revenue, Expenses &amp; Changes in Fund Net Position</v>
      </c>
      <c r="C94" s="196" t="str">
        <f>'Unit Data from Audit Worksheet'!D110</f>
        <v>Total Operating revenues</v>
      </c>
      <c r="D94" s="130"/>
      <c r="E94" s="215">
        <f>'Unit Data from Audit Worksheet'!F110</f>
        <v>0</v>
      </c>
      <c r="F94" s="209" t="str">
        <f>IF(L93&gt;L94,"Error: Charges for services exceed total operating revenues. Acct # 88&gt;84"," ")</f>
        <v xml:space="preserve"> </v>
      </c>
      <c r="G94" s="211"/>
      <c r="H94" s="208"/>
      <c r="I94" s="32"/>
      <c r="J94" s="207">
        <v>84</v>
      </c>
      <c r="K94" s="206" t="s">
        <v>191</v>
      </c>
      <c r="L94" s="262">
        <f t="shared" si="8"/>
        <v>0</v>
      </c>
      <c r="P94" s="184"/>
    </row>
    <row r="95" spans="1:28" ht="72" customHeight="1" x14ac:dyDescent="0.3">
      <c r="A95" s="197">
        <f>'Unit Data from Audit Worksheet'!A111</f>
        <v>49</v>
      </c>
      <c r="B95" s="210" t="str">
        <f>'Unit Data from Audit Worksheet'!C111</f>
        <v>Water Sewer Revenue, Expenses &amp; Changes in Fund Net Position</v>
      </c>
      <c r="C95" s="196" t="str">
        <f>'Unit Data from Audit Worksheet'!D111</f>
        <v>Depreciation and amortization expense</v>
      </c>
      <c r="D95" s="130"/>
      <c r="E95" s="215">
        <f>'Unit Data from Audit Worksheet'!F111</f>
        <v>0</v>
      </c>
      <c r="F95" s="209">
        <f>IF(L95&lt;0,"Error: Number is normally positive.",)</f>
        <v>0</v>
      </c>
      <c r="G95" s="211"/>
      <c r="H95" s="208"/>
      <c r="I95" s="32"/>
      <c r="J95" s="207">
        <v>49</v>
      </c>
      <c r="K95" s="206" t="s">
        <v>192</v>
      </c>
      <c r="L95" s="262">
        <f t="shared" si="8"/>
        <v>0</v>
      </c>
      <c r="O95" s="269"/>
      <c r="P95" s="184"/>
    </row>
    <row r="96" spans="1:28" ht="61.8" customHeight="1" x14ac:dyDescent="0.3">
      <c r="A96" s="197">
        <f>'Unit Data from Audit Worksheet'!A112</f>
        <v>85</v>
      </c>
      <c r="B96" s="210" t="str">
        <f>'Unit Data from Audit Worksheet'!C112</f>
        <v>Water Sewer Revenue, Expenses &amp; Changes in Fund Net Position</v>
      </c>
      <c r="C96" s="196" t="str">
        <f>'Unit Data from Audit Worksheet'!D112</f>
        <v>Total Operating expenses</v>
      </c>
      <c r="D96" s="130"/>
      <c r="E96" s="215">
        <f>'Unit Data from Audit Worksheet'!F112</f>
        <v>0</v>
      </c>
      <c r="F96" s="209"/>
      <c r="G96" s="211"/>
      <c r="H96" s="208"/>
      <c r="I96" s="32"/>
      <c r="J96" s="207">
        <v>85</v>
      </c>
      <c r="K96" s="206" t="s">
        <v>193</v>
      </c>
      <c r="L96" s="262">
        <f t="shared" si="8"/>
        <v>0</v>
      </c>
      <c r="P96" s="184"/>
    </row>
    <row r="97" spans="1:28" ht="62.4" customHeight="1" x14ac:dyDescent="0.3">
      <c r="A97" s="197">
        <f>'Unit Data from Audit Worksheet'!A113</f>
        <v>89</v>
      </c>
      <c r="B97" s="210" t="str">
        <f>'Unit Data from Audit Worksheet'!C113</f>
        <v>Water Sewer Revenue, Expenses &amp; Changes in Fund Net Position</v>
      </c>
      <c r="C97" s="196" t="str">
        <f>'Unit Data from Audit Worksheet'!D113</f>
        <v>Interest expense</v>
      </c>
      <c r="D97" s="130"/>
      <c r="E97" s="215">
        <f>'Unit Data from Audit Worksheet'!F113</f>
        <v>0</v>
      </c>
      <c r="F97" s="209"/>
      <c r="G97" s="211"/>
      <c r="H97" s="208"/>
      <c r="I97" s="32"/>
      <c r="J97" s="207">
        <v>89</v>
      </c>
      <c r="K97" s="206" t="s">
        <v>194</v>
      </c>
      <c r="L97" s="262">
        <f t="shared" si="8"/>
        <v>0</v>
      </c>
      <c r="P97" s="184"/>
    </row>
    <row r="98" spans="1:28" ht="66" customHeight="1" x14ac:dyDescent="0.3">
      <c r="A98" s="197">
        <f>'Unit Data from Audit Worksheet'!A114</f>
        <v>350</v>
      </c>
      <c r="B98" s="210" t="str">
        <f>'Unit Data from Audit Worksheet'!C114</f>
        <v>Water Sewer Revenue, Expenses &amp; Changes in Fund Net Position</v>
      </c>
      <c r="C98" s="196" t="str">
        <f>'Unit Data from Audit Worksheet'!D114</f>
        <v>Total all non-operating revenues  
Exclude Capital contributions.</v>
      </c>
      <c r="D98" s="130"/>
      <c r="E98" s="215">
        <f>'Unit Data from Audit Worksheet'!F114</f>
        <v>0</v>
      </c>
      <c r="F98" s="209"/>
      <c r="G98" s="211"/>
      <c r="H98" s="208"/>
      <c r="I98" s="32"/>
      <c r="J98" s="207">
        <v>350</v>
      </c>
      <c r="K98" s="206" t="s">
        <v>195</v>
      </c>
      <c r="L98" s="262">
        <f t="shared" si="8"/>
        <v>0</v>
      </c>
      <c r="P98" s="184"/>
    </row>
    <row r="99" spans="1:28" ht="66" customHeight="1" x14ac:dyDescent="0.3">
      <c r="A99" s="197">
        <f>'Unit Data from Audit Worksheet'!A115</f>
        <v>351</v>
      </c>
      <c r="B99" s="210" t="str">
        <f>'Unit Data from Audit Worksheet'!C115</f>
        <v>Water Sewer Revenue, Expenses &amp; Changes in Fund Net Position</v>
      </c>
      <c r="C99" s="196" t="str">
        <f>'Unit Data from Audit Worksheet'!D115</f>
        <v>Total all non-operating expenses.  
Include any negative special, extraordinary, or capital contribution.</v>
      </c>
      <c r="D99" s="130"/>
      <c r="E99" s="215">
        <f>'Unit Data from Audit Worksheet'!F115</f>
        <v>0</v>
      </c>
      <c r="F99" s="209"/>
      <c r="G99" s="211"/>
      <c r="H99" s="208"/>
      <c r="I99" s="32"/>
      <c r="J99" s="207">
        <v>351</v>
      </c>
      <c r="K99" s="206" t="s">
        <v>196</v>
      </c>
      <c r="L99" s="262">
        <f t="shared" si="8"/>
        <v>0</v>
      </c>
      <c r="P99" s="184"/>
    </row>
    <row r="100" spans="1:28" ht="81.599999999999994" customHeight="1" x14ac:dyDescent="0.3">
      <c r="A100" s="197">
        <f>'Unit Data from Audit Worksheet'!A116</f>
        <v>191</v>
      </c>
      <c r="B100" s="210" t="str">
        <f>'Unit Data from Audit Worksheet'!C116</f>
        <v>Water Sewer Revenue, Expenses &amp; Changes in Fund Net Position</v>
      </c>
      <c r="C100" s="196" t="str">
        <f>'Unit Data from Audit Worksheet'!D116</f>
        <v>Capital contributions. Only include positive capital contributions.  Negative capital contributions should be included with 'Total all non-operating expenses.'</v>
      </c>
      <c r="D100" s="130"/>
      <c r="E100" s="215">
        <f>'Unit Data from Audit Worksheet'!F116</f>
        <v>0</v>
      </c>
      <c r="F100" s="209">
        <f>IF(L100&lt;0,"Error: Enter as a positive.",)</f>
        <v>0</v>
      </c>
      <c r="G100" s="211"/>
      <c r="H100" s="208"/>
      <c r="I100" s="32"/>
      <c r="J100" s="207">
        <v>191</v>
      </c>
      <c r="K100" s="206" t="s">
        <v>197</v>
      </c>
      <c r="L100" s="262">
        <f t="shared" si="8"/>
        <v>0</v>
      </c>
      <c r="P100" s="184"/>
      <c r="S100" s="18"/>
      <c r="T100" s="18"/>
      <c r="U100" s="18"/>
      <c r="V100" s="18"/>
    </row>
    <row r="101" spans="1:28" s="353" customFormat="1" ht="81.599999999999994" customHeight="1" x14ac:dyDescent="0.3">
      <c r="A101" s="197">
        <f>'Unit Data from Audit Worksheet'!A117</f>
        <v>1053</v>
      </c>
      <c r="B101" s="210" t="str">
        <f>'Unit Data from Audit Worksheet'!C117</f>
        <v>Water &amp; Sewer Revenue, Expenses &amp; Changes in Fund Net Position</v>
      </c>
      <c r="C101" s="196" t="str">
        <f>'Unit Data from Audit Worksheet'!D117</f>
        <v>Mark to Market unrealized losses in the Water and Sewer Fund. (enter as a negative number)</v>
      </c>
      <c r="D101" s="130"/>
      <c r="E101" s="215">
        <f>'Unit Data from Audit Worksheet'!F117</f>
        <v>0</v>
      </c>
      <c r="F101" s="209"/>
      <c r="G101" s="211"/>
      <c r="H101" s="208"/>
      <c r="I101" s="32"/>
      <c r="J101" s="207">
        <v>1053</v>
      </c>
      <c r="K101" s="196" t="s">
        <v>779</v>
      </c>
      <c r="L101" s="268">
        <f t="shared" si="8"/>
        <v>0</v>
      </c>
      <c r="M101"/>
      <c r="P101" s="184"/>
      <c r="Q101" s="253"/>
      <c r="S101" s="18"/>
      <c r="T101" s="18"/>
      <c r="U101" s="18"/>
      <c r="V101" s="18"/>
      <c r="W101"/>
      <c r="X101"/>
      <c r="Y101"/>
      <c r="Z101"/>
      <c r="AA101"/>
      <c r="AB101"/>
    </row>
    <row r="102" spans="1:28" ht="58.8" customHeight="1" x14ac:dyDescent="0.3">
      <c r="A102" s="197">
        <f>'Unit Data from Audit Worksheet'!A118</f>
        <v>352</v>
      </c>
      <c r="B102" s="210" t="str">
        <f>'Unit Data from Audit Worksheet'!C118</f>
        <v>Water Sewer Revenue, Expenses &amp; Changes in Fund Net Position</v>
      </c>
      <c r="C102" s="196" t="str">
        <f>'Unit Data from Audit Worksheet'!D118</f>
        <v>Total Transfers in - all funds (operating and capital)</v>
      </c>
      <c r="D102" s="130"/>
      <c r="E102" s="215">
        <f>'Unit Data from Audit Worksheet'!F118</f>
        <v>0</v>
      </c>
      <c r="F102" s="209"/>
      <c r="G102" s="211"/>
      <c r="H102" s="208"/>
      <c r="I102" s="32"/>
      <c r="J102" s="207">
        <v>352</v>
      </c>
      <c r="K102" s="206" t="s">
        <v>198</v>
      </c>
      <c r="L102" s="262">
        <f t="shared" si="8"/>
        <v>0</v>
      </c>
      <c r="P102" s="184"/>
    </row>
    <row r="103" spans="1:28" ht="94.2" customHeight="1" x14ac:dyDescent="0.3">
      <c r="A103" s="197">
        <f>'Unit Data from Audit Worksheet'!A119</f>
        <v>986</v>
      </c>
      <c r="B103" s="210" t="str">
        <f>'Unit Data from Audit Worksheet'!C119</f>
        <v>Water Sewer Revenue, Expenses &amp; Changes in Fund Net Position</v>
      </c>
      <c r="C103" s="196" t="str">
        <f>'Unit Data from Audit Worksheet'!D119</f>
        <v>Of the transfers-in above in acct # 352, list amount of transfers-in that were used to support Water Sewer operations  (exclude capital transfers)</v>
      </c>
      <c r="D103" s="130"/>
      <c r="E103" s="215">
        <f>'Unit Data from Audit Worksheet'!F119</f>
        <v>0</v>
      </c>
      <c r="F103" s="209"/>
      <c r="G103" s="211"/>
      <c r="H103" s="208"/>
      <c r="I103" s="32"/>
      <c r="J103" s="207">
        <v>986</v>
      </c>
      <c r="K103" s="196" t="s">
        <v>407</v>
      </c>
      <c r="L103" s="268">
        <f t="shared" si="8"/>
        <v>0</v>
      </c>
      <c r="P103" s="184"/>
    </row>
    <row r="104" spans="1:28" ht="67.2" customHeight="1" x14ac:dyDescent="0.3">
      <c r="A104" s="197">
        <f>'Unit Data from Audit Worksheet'!A120</f>
        <v>353</v>
      </c>
      <c r="B104" s="210" t="str">
        <f>'Unit Data from Audit Worksheet'!C120</f>
        <v>Water Sewer Revenue, Expenses &amp; Changes in Fund Net Position</v>
      </c>
      <c r="C104" s="196" t="str">
        <f>'Unit Data from Audit Worksheet'!D120</f>
        <v>Total Transfers out</v>
      </c>
      <c r="D104" s="130"/>
      <c r="E104" s="215">
        <f>'Unit Data from Audit Worksheet'!F120</f>
        <v>0</v>
      </c>
      <c r="F104" s="209">
        <f>IF(L104&lt;0,"Error: Enter as a positive.",)</f>
        <v>0</v>
      </c>
      <c r="G104" s="211"/>
      <c r="H104" s="208"/>
      <c r="I104" s="32"/>
      <c r="J104" s="34">
        <v>353</v>
      </c>
      <c r="K104" s="206" t="s">
        <v>199</v>
      </c>
      <c r="L104" s="262">
        <f t="shared" si="8"/>
        <v>0</v>
      </c>
      <c r="P104" s="184"/>
    </row>
    <row r="105" spans="1:28" ht="72.75" customHeight="1" x14ac:dyDescent="0.3">
      <c r="A105" s="197">
        <f>'Unit Data from Audit Worksheet'!A121</f>
        <v>50</v>
      </c>
      <c r="B105" s="210" t="str">
        <f>'Unit Data from Audit Worksheet'!C121</f>
        <v>Water Sewer Revenue, Expenses &amp; Changes in Fund Net Position</v>
      </c>
      <c r="C105" s="196" t="str">
        <f>'Unit Data from Audit Worksheet'!D121</f>
        <v>Change in net position - Increase in net position is recorded as a positive and a (Decrease) in net position is recorded as a negative.</v>
      </c>
      <c r="D105" s="130"/>
      <c r="E105" s="135">
        <f>'Unit Data from Audit Worksheet'!F121</f>
        <v>0</v>
      </c>
      <c r="F105" s="209">
        <f>IF(L94-L96+L98-L99+L102+L100-L104-L105=0,,"Error:Total revenues less total expenses do not equal total change in net position. Acct # 84-85+350-351+191+352-353-50")</f>
        <v>0</v>
      </c>
      <c r="G105" s="84">
        <f>+L94-L96+L98-L99+L102+L100-L104-L105</f>
        <v>0</v>
      </c>
      <c r="H105" s="208"/>
      <c r="I105" s="32"/>
      <c r="J105" s="207">
        <v>50</v>
      </c>
      <c r="K105" s="206" t="s">
        <v>85</v>
      </c>
      <c r="L105" s="262">
        <f t="shared" si="8"/>
        <v>0</v>
      </c>
      <c r="P105" s="184"/>
    </row>
    <row r="106" spans="1:28" ht="144" customHeight="1" x14ac:dyDescent="0.3">
      <c r="A106" s="197">
        <f>'Unit Data from Audit Worksheet'!A122</f>
        <v>377</v>
      </c>
      <c r="B106" s="210" t="str">
        <f>'Unit Data from Audit Worksheet'!C122</f>
        <v>Water Sewer Revenue, Expenses &amp; Changes in Fund Net Position</v>
      </c>
      <c r="C106" s="196" t="str">
        <f>'Unit Data from Audit Worksheet'!D122</f>
        <v>Increases or (decreases) to beginning water sewer net position due to rounding, prior period adjustments and restatements.  Increase amounts to beginning net position should be entered as a positive amount and (decreases) should be entered as a negative amount.</v>
      </c>
      <c r="D106" s="130"/>
      <c r="E106" s="135">
        <f>'Unit Data from Audit Worksheet'!F122</f>
        <v>0</v>
      </c>
      <c r="F106" s="80" t="e">
        <f>IF(L92-L105-L106=O92,,"Error:Beginning Balance does not agree with out records.Acct # 83-50-377 = PY83")</f>
        <v>#N/A</v>
      </c>
      <c r="G106" s="84" t="e">
        <f>+L92-L105-L106-O92</f>
        <v>#N/A</v>
      </c>
      <c r="H106" s="208" t="e">
        <f>'Unit Data from Audit Worksheet'!I122</f>
        <v>#N/A</v>
      </c>
      <c r="I106" s="32"/>
      <c r="J106" s="207">
        <v>377</v>
      </c>
      <c r="K106" s="206" t="s">
        <v>91</v>
      </c>
      <c r="L106" s="262">
        <f t="shared" si="8"/>
        <v>0</v>
      </c>
      <c r="P106" s="184"/>
    </row>
    <row r="107" spans="1:28" ht="70.8" customHeight="1" x14ac:dyDescent="0.3">
      <c r="A107" s="284">
        <f>'Unit Data from Audit Worksheet'!A123</f>
        <v>537</v>
      </c>
      <c r="B107" s="210" t="str">
        <f>'Unit Data from Audit Worksheet'!C123</f>
        <v>Water Sewer Revenue, Expenses &amp; Changes in Fund Net Position</v>
      </c>
      <c r="C107" s="196" t="str">
        <f>'Unit Data from Audit Worksheet'!D123</f>
        <v>Did unit raise Water Sewer rates during the audited fiscal period? - answer Yes =1 or No= 2</v>
      </c>
      <c r="D107" s="125"/>
      <c r="E107" s="215">
        <f>'Unit Data from Audit Worksheet'!F123</f>
        <v>0</v>
      </c>
      <c r="F107" s="209" t="s">
        <v>262</v>
      </c>
      <c r="G107" s="211"/>
      <c r="H107" s="208"/>
      <c r="I107" s="32"/>
      <c r="J107" s="60">
        <v>537</v>
      </c>
      <c r="K107" s="58" t="s">
        <v>236</v>
      </c>
      <c r="L107" s="262">
        <f t="shared" si="8"/>
        <v>0</v>
      </c>
      <c r="N107" s="54" t="s">
        <v>254</v>
      </c>
      <c r="P107" s="184"/>
    </row>
    <row r="108" spans="1:28" ht="70.2" customHeight="1" x14ac:dyDescent="0.3">
      <c r="A108" s="284">
        <f>'Unit Data from Audit Worksheet'!A124</f>
        <v>538</v>
      </c>
      <c r="B108" s="210" t="str">
        <f>'Unit Data from Audit Worksheet'!C124</f>
        <v>Water Sewer Revenue, Expenses &amp; Changes in Fund Net Position</v>
      </c>
      <c r="C108" s="196" t="str">
        <f>'Unit Data from Audit Worksheet'!D124</f>
        <v>Did unit raise Water Sewer rates during the budget year following the audited fiscal year? - answer Yes=1 or No=2</v>
      </c>
      <c r="D108" s="125"/>
      <c r="E108" s="215">
        <f>'Unit Data from Audit Worksheet'!F124</f>
        <v>0</v>
      </c>
      <c r="F108" s="209" t="s">
        <v>262</v>
      </c>
      <c r="G108" s="211"/>
      <c r="H108" s="208"/>
      <c r="I108" s="32"/>
      <c r="J108" s="60">
        <v>538</v>
      </c>
      <c r="K108" s="58" t="s">
        <v>235</v>
      </c>
      <c r="L108" s="262">
        <f t="shared" si="8"/>
        <v>0</v>
      </c>
      <c r="N108" s="54" t="s">
        <v>254</v>
      </c>
      <c r="P108" s="184"/>
    </row>
    <row r="109" spans="1:28" ht="69.599999999999994" customHeight="1" x14ac:dyDescent="0.3">
      <c r="A109" s="197">
        <f>'Unit Data from Audit Worksheet'!A129</f>
        <v>51</v>
      </c>
      <c r="B109" s="210" t="str">
        <f>'Unit Data from Audit Worksheet'!C129</f>
        <v>Water Sewer Cash Flow Statement</v>
      </c>
      <c r="C109" s="196" t="str">
        <f>'Unit Data from Audit Worksheet'!D129</f>
        <v>Total Cash flow from operating activities  - (Enter negative cash flows as negative)</v>
      </c>
      <c r="D109" s="214"/>
      <c r="E109" s="215">
        <f>'Unit Data from Audit Worksheet'!F129</f>
        <v>0</v>
      </c>
      <c r="F109" s="209"/>
      <c r="G109" s="211"/>
      <c r="H109" s="208"/>
      <c r="I109" s="32"/>
      <c r="J109" s="207">
        <v>51</v>
      </c>
      <c r="K109" s="206" t="s">
        <v>200</v>
      </c>
      <c r="L109" s="262">
        <f t="shared" ref="L109:L160" si="9">IF(D109="",E109,D109)</f>
        <v>0</v>
      </c>
      <c r="P109" s="184"/>
    </row>
    <row r="110" spans="1:28" ht="64.5" customHeight="1" x14ac:dyDescent="0.3">
      <c r="A110" s="197">
        <f>'Unit Data from Audit Worksheet'!A130</f>
        <v>332</v>
      </c>
      <c r="B110" s="210" t="str">
        <f>'Unit Data from Audit Worksheet'!C130</f>
        <v>Water Sewer Cash Flow Statement</v>
      </c>
      <c r="C110" s="196" t="str">
        <f>'Unit Data from Audit Worksheet'!D130</f>
        <v>Total Capital outlay. 
Include acquisition and construction of capital assets.</v>
      </c>
      <c r="D110" s="214"/>
      <c r="E110" s="215">
        <f>'Unit Data from Audit Worksheet'!F130</f>
        <v>0</v>
      </c>
      <c r="F110" s="209">
        <f>IF(L110&lt;0,"Error: Enter as a positive.",)</f>
        <v>0</v>
      </c>
      <c r="G110" s="211"/>
      <c r="H110" s="208"/>
      <c r="I110" s="32"/>
      <c r="J110" s="207">
        <v>332</v>
      </c>
      <c r="K110" s="206" t="s">
        <v>202</v>
      </c>
      <c r="L110" s="262">
        <f t="shared" si="9"/>
        <v>0</v>
      </c>
      <c r="O110" s="269"/>
      <c r="P110" s="184"/>
    </row>
    <row r="111" spans="1:28" ht="66.599999999999994" customHeight="1" x14ac:dyDescent="0.3">
      <c r="A111" s="197">
        <f>'Unit Data from Audit Worksheet'!A131</f>
        <v>331</v>
      </c>
      <c r="B111" s="210" t="str">
        <f>'Unit Data from Audit Worksheet'!C131</f>
        <v>Water Sewer Cash Flow Statement</v>
      </c>
      <c r="C111" s="196" t="str">
        <f>'Unit Data from Audit Worksheet'!D131</f>
        <v>Principal paid on long-term debt.  Amount should be reduced by principal payments for debt refunding.</v>
      </c>
      <c r="D111" s="214"/>
      <c r="E111" s="215">
        <f>'Unit Data from Audit Worksheet'!F131</f>
        <v>0</v>
      </c>
      <c r="F111" s="209">
        <f>IF(L111&lt;0,"Error: Enter as a positive.",)</f>
        <v>0</v>
      </c>
      <c r="G111" s="211"/>
      <c r="H111" s="208"/>
      <c r="I111" s="32"/>
      <c r="J111" s="207">
        <v>331</v>
      </c>
      <c r="K111" s="206" t="s">
        <v>201</v>
      </c>
      <c r="L111" s="262">
        <f t="shared" si="9"/>
        <v>0</v>
      </c>
      <c r="O111" s="269"/>
      <c r="P111" s="184"/>
    </row>
    <row r="112" spans="1:28" s="353" customFormat="1" ht="86.4" customHeight="1" x14ac:dyDescent="0.3">
      <c r="A112" s="197">
        <f>'Unit Data from Audit Worksheet'!A133</f>
        <v>1060</v>
      </c>
      <c r="B112" s="210"/>
      <c r="C112" s="196" t="str">
        <f>'Unit Data from Audit Worksheet'!D133</f>
        <v>Total American Rescue Plan Act (ARPA) of 2021-Coronavrius State &amp; Local Fiscal Recovery Funds actually expended since inception as of June 30th.  Do not include encumbered funds in this number.</v>
      </c>
      <c r="D112" s="214"/>
      <c r="E112" s="215">
        <f>'Unit Data from Audit Worksheet'!F133</f>
        <v>0</v>
      </c>
      <c r="F112" s="209"/>
      <c r="G112" s="211"/>
      <c r="H112" s="208"/>
      <c r="I112" s="32"/>
      <c r="J112" s="207">
        <v>1060</v>
      </c>
      <c r="K112" s="196" t="s">
        <v>1310</v>
      </c>
      <c r="L112" s="262">
        <f t="shared" si="9"/>
        <v>0</v>
      </c>
      <c r="M112"/>
      <c r="P112" s="184"/>
      <c r="Q112" s="253"/>
      <c r="W112"/>
      <c r="X112"/>
      <c r="Y112"/>
      <c r="Z112"/>
      <c r="AA112"/>
      <c r="AB112"/>
    </row>
    <row r="113" spans="1:28" s="353" customFormat="1" ht="100.8" customHeight="1" x14ac:dyDescent="0.3">
      <c r="A113" s="197">
        <f>'Unit Data from Audit Worksheet'!A134</f>
        <v>1061</v>
      </c>
      <c r="B113" s="210"/>
      <c r="C113" s="196" t="str">
        <f>'Unit Data from Audit Worksheet'!D134</f>
        <v>Total American Rescue Plan Act (ARPA) of 2021-Coronavrius State &amp; Local Fiscal Recovery Funds encumbered or obligated and not yet expended since inception as of June 30th.</v>
      </c>
      <c r="D113" s="214"/>
      <c r="E113" s="215">
        <f>'Unit Data from Audit Worksheet'!F134</f>
        <v>0</v>
      </c>
      <c r="F113" s="209"/>
      <c r="G113" s="211"/>
      <c r="H113" s="208"/>
      <c r="I113" s="32"/>
      <c r="J113" s="207">
        <v>1061</v>
      </c>
      <c r="K113" s="196" t="s">
        <v>1311</v>
      </c>
      <c r="L113" s="262">
        <f t="shared" si="9"/>
        <v>0</v>
      </c>
      <c r="M113"/>
      <c r="P113" s="184"/>
      <c r="Q113" s="253"/>
      <c r="W113"/>
      <c r="X113"/>
      <c r="Y113"/>
      <c r="Z113"/>
      <c r="AA113"/>
      <c r="AB113"/>
    </row>
    <row r="114" spans="1:28" s="353" customFormat="1" ht="107.4" customHeight="1" x14ac:dyDescent="0.3">
      <c r="A114" s="197">
        <f>'Unit Data from Audit Worksheet'!A135</f>
        <v>1062</v>
      </c>
      <c r="B114" s="210"/>
      <c r="C114" s="196" t="str">
        <f>'Unit Data from Audit Worksheet'!D135</f>
        <v xml:space="preserve">Are the American Rescue Plan Act (ARPA) of 2021-Coronavrius State &amp; Local Fiscal Recovery Funds on target to be committed by December 31, 2024? (Yes = 1 or No = 2or N/A = 3 if unit did not receive funds) </v>
      </c>
      <c r="D114" s="214"/>
      <c r="E114" s="215">
        <f>'Unit Data from Audit Worksheet'!F135</f>
        <v>0</v>
      </c>
      <c r="F114" s="209"/>
      <c r="G114" s="211"/>
      <c r="H114" s="208"/>
      <c r="I114" s="32"/>
      <c r="J114" s="207">
        <v>1062</v>
      </c>
      <c r="K114" s="196" t="s">
        <v>1323</v>
      </c>
      <c r="L114" s="262">
        <f t="shared" si="9"/>
        <v>0</v>
      </c>
      <c r="M114"/>
      <c r="P114" s="184"/>
      <c r="Q114" s="253"/>
      <c r="W114"/>
      <c r="X114"/>
      <c r="Y114"/>
      <c r="Z114"/>
      <c r="AA114"/>
      <c r="AB114"/>
    </row>
    <row r="115" spans="1:28" s="353" customFormat="1" ht="101.4" customHeight="1" x14ac:dyDescent="0.3">
      <c r="A115" s="197">
        <f>'Unit Data from Audit Worksheet'!A136</f>
        <v>1063</v>
      </c>
      <c r="B115" s="210"/>
      <c r="C115" s="196" t="str">
        <f>'Unit Data from Audit Worksheet'!D136</f>
        <v>Are the American Rescue Plan Act (ARPA) of 2021-Coronavrius State &amp; Local Fiscal Recovery Funds on target to be completely expended by December 31, 2026? (Yes = 1 or No = 2 or N/A = 3 if unit did not receive funds)</v>
      </c>
      <c r="D115" s="214"/>
      <c r="E115" s="215">
        <f>'Unit Data from Audit Worksheet'!F136</f>
        <v>0</v>
      </c>
      <c r="F115" s="209"/>
      <c r="G115" s="211"/>
      <c r="H115" s="208"/>
      <c r="I115" s="32"/>
      <c r="J115" s="207">
        <v>1063</v>
      </c>
      <c r="K115" s="196" t="s">
        <v>1324</v>
      </c>
      <c r="L115" s="262">
        <f t="shared" si="9"/>
        <v>0</v>
      </c>
      <c r="M115"/>
      <c r="P115" s="184"/>
      <c r="Q115" s="253"/>
      <c r="W115"/>
      <c r="X115"/>
      <c r="Y115"/>
      <c r="Z115"/>
      <c r="AA115"/>
      <c r="AB115"/>
    </row>
    <row r="116" spans="1:28" ht="87" customHeight="1" x14ac:dyDescent="0.3">
      <c r="A116" s="197">
        <f>'Unit Data from Audit Worksheet'!A138</f>
        <v>512</v>
      </c>
      <c r="B116" s="210" t="str">
        <f>'Unit Data from Audit Worksheet'!C138</f>
        <v>Fiduciary Statements</v>
      </c>
      <c r="C116" s="196" t="str">
        <f>'Unit Data from Audit Worksheet'!D138</f>
        <v>Cash and investments.  
Include:  unrestricted and restricted.  
                   cash and investments held 
                   by a third party</v>
      </c>
      <c r="D116" s="214"/>
      <c r="E116" s="215">
        <f>'Unit Data from Audit Worksheet'!F138</f>
        <v>0</v>
      </c>
      <c r="F116" s="209">
        <f>IF(L116&lt;0,"Error: Number is normally positive.",)</f>
        <v>0</v>
      </c>
      <c r="G116" s="211"/>
      <c r="H116" s="208"/>
      <c r="I116" s="32"/>
      <c r="J116" s="207">
        <v>512</v>
      </c>
      <c r="K116" s="206" t="s">
        <v>203</v>
      </c>
      <c r="L116" s="262">
        <f t="shared" si="9"/>
        <v>0</v>
      </c>
      <c r="P116" s="184"/>
    </row>
    <row r="117" spans="1:28" ht="80.400000000000006" customHeight="1" x14ac:dyDescent="0.3">
      <c r="A117" s="197">
        <f>'Unit Data from Audit Worksheet'!A140</f>
        <v>656</v>
      </c>
      <c r="B117" s="210"/>
      <c r="C117" s="196" t="str">
        <f>'Unit Data from Audit Worksheet'!D140</f>
        <v>Do you use prepared food/occupancy tax revenue stream to support debt?  Select "1" for Yes and "2" for No from drop down list.</v>
      </c>
      <c r="D117" s="125"/>
      <c r="E117" s="215">
        <f>'Unit Data from Audit Worksheet'!F140</f>
        <v>0</v>
      </c>
      <c r="F117" s="209"/>
      <c r="G117" s="211"/>
      <c r="H117" s="208"/>
      <c r="I117" s="32"/>
      <c r="J117" s="207">
        <v>656</v>
      </c>
      <c r="K117" s="213" t="s">
        <v>350</v>
      </c>
      <c r="L117" s="285">
        <f>E117</f>
        <v>0</v>
      </c>
      <c r="N117" s="18"/>
      <c r="O117" s="18"/>
      <c r="P117" s="184"/>
    </row>
    <row r="118" spans="1:28" s="18" customFormat="1" ht="116.4" customHeight="1" x14ac:dyDescent="0.3">
      <c r="A118" s="197">
        <f>'Unit Data from Audit Worksheet'!A142</f>
        <v>535</v>
      </c>
      <c r="B118" s="210" t="str">
        <f>'Unit Data from Audit Worksheet'!C142</f>
        <v>Cash and Investment Note</v>
      </c>
      <c r="C118" s="196" t="str">
        <f>'Unit Data from Audit Worksheet'!D142</f>
        <v>Cash and Investment - Please list the book value of any unspent debt proceeds (bonds, installment, etc.) in any funds as of June 30.  This information may be on the face of your statements or in the notes</v>
      </c>
      <c r="D118" s="214"/>
      <c r="E118" s="215">
        <f>'Unit Data from Audit Worksheet'!F142</f>
        <v>0</v>
      </c>
      <c r="F118" s="80" t="str">
        <f>IF(L118&gt;1,,"Reminder: Please make sure you have entered all cash and investments from bond proceeds, if applicable")</f>
        <v>Reminder: Please make sure you have entered all cash and investments from bond proceeds, if applicable</v>
      </c>
      <c r="G118" s="211"/>
      <c r="H118" s="208"/>
      <c r="I118" s="32"/>
      <c r="J118" s="207">
        <v>535</v>
      </c>
      <c r="K118" s="55" t="s">
        <v>204</v>
      </c>
      <c r="L118" s="262">
        <f t="shared" si="9"/>
        <v>0</v>
      </c>
      <c r="M118"/>
      <c r="P118" s="184"/>
      <c r="Q118" s="253"/>
      <c r="R118" s="3"/>
      <c r="S118" s="3"/>
      <c r="T118" s="3"/>
      <c r="U118" s="3"/>
      <c r="V118" s="3"/>
      <c r="W118"/>
      <c r="X118"/>
      <c r="Y118"/>
      <c r="Z118"/>
      <c r="AA118"/>
      <c r="AB118"/>
    </row>
    <row r="119" spans="1:28" ht="60" customHeight="1" x14ac:dyDescent="0.3">
      <c r="A119" s="197">
        <f>'Unit Data from Audit Worksheet'!A146</f>
        <v>334</v>
      </c>
      <c r="B119" s="210" t="str">
        <f>'Unit Data from Audit Worksheet'!C146</f>
        <v>Gov.-Capital Assets Schedule in the Notes</v>
      </c>
      <c r="C119" s="196" t="str">
        <f>'Unit Data from Audit Worksheet'!D146</f>
        <v>Gross value.  
Exclude non-depreciable.</v>
      </c>
      <c r="D119" s="214"/>
      <c r="E119" s="215">
        <f>'Unit Data from Audit Worksheet'!F146</f>
        <v>0</v>
      </c>
      <c r="F119" s="80"/>
      <c r="G119" s="211"/>
      <c r="H119" s="208"/>
      <c r="I119" s="32"/>
      <c r="J119" s="207">
        <v>334</v>
      </c>
      <c r="K119" s="55" t="s">
        <v>218</v>
      </c>
      <c r="L119" s="262">
        <f t="shared" si="9"/>
        <v>0</v>
      </c>
      <c r="P119" s="184"/>
    </row>
    <row r="120" spans="1:28" ht="57" customHeight="1" x14ac:dyDescent="0.3">
      <c r="A120" s="197">
        <f>'Unit Data from Audit Worksheet'!A147</f>
        <v>373</v>
      </c>
      <c r="B120" s="210" t="str">
        <f>'Unit Data from Audit Worksheet'!C147</f>
        <v>Gov.-Capital Assets Schedule in the Notes</v>
      </c>
      <c r="C120" s="196" t="str">
        <f>'Unit Data from Audit Worksheet'!D147</f>
        <v>Accumulated depreciation</v>
      </c>
      <c r="D120" s="214"/>
      <c r="E120" s="215">
        <f>'Unit Data from Audit Worksheet'!F147</f>
        <v>0</v>
      </c>
      <c r="F120" s="80"/>
      <c r="G120" s="211"/>
      <c r="H120" s="208"/>
      <c r="I120" s="32"/>
      <c r="J120" s="207">
        <v>373</v>
      </c>
      <c r="K120" s="52" t="s">
        <v>257</v>
      </c>
      <c r="L120" s="262">
        <f t="shared" si="9"/>
        <v>0</v>
      </c>
      <c r="P120" s="184"/>
    </row>
    <row r="121" spans="1:28" ht="102.75" customHeight="1" x14ac:dyDescent="0.3">
      <c r="A121" s="197">
        <f>'Unit Data from Audit Worksheet'!A148</f>
        <v>987</v>
      </c>
      <c r="B121" s="210"/>
      <c r="C121" s="196" t="str">
        <f>'Unit Data from Audit Worksheet'!D148</f>
        <v xml:space="preserve">Estimated cost not yet budgeted of any mandate placed on unit by DEQ, a court order or some similar requirement (that has no realistic appeal path). </v>
      </c>
      <c r="D121" s="214"/>
      <c r="E121" s="215">
        <f>'Unit Data from Audit Worksheet'!F148</f>
        <v>0</v>
      </c>
      <c r="F121" s="80"/>
      <c r="G121" s="211"/>
      <c r="H121" s="208"/>
      <c r="I121" s="32"/>
      <c r="J121" s="207">
        <v>987</v>
      </c>
      <c r="K121" s="52" t="s">
        <v>1278</v>
      </c>
      <c r="L121" s="268">
        <f t="shared" si="9"/>
        <v>0</v>
      </c>
      <c r="P121" s="184"/>
    </row>
    <row r="122" spans="1:28" ht="82.8" customHeight="1" x14ac:dyDescent="0.3">
      <c r="A122" s="197">
        <f>'Unit Data from Audit Worksheet'!A149</f>
        <v>988</v>
      </c>
      <c r="B122" s="210"/>
      <c r="C122" s="196" t="str">
        <f>'Unit Data from Audit Worksheet'!D149</f>
        <v>Do you operate a landfill that will be closing  or have a significant portion closing within the next 5 years?  Select "1" for Yes and "2" for No</v>
      </c>
      <c r="D122" s="214"/>
      <c r="E122" s="215">
        <f>'Unit Data from Audit Worksheet'!F149</f>
        <v>0</v>
      </c>
      <c r="F122" s="80"/>
      <c r="G122" s="211"/>
      <c r="H122" s="208"/>
      <c r="I122" s="32"/>
      <c r="J122" s="207">
        <v>988</v>
      </c>
      <c r="K122" s="52" t="s">
        <v>586</v>
      </c>
      <c r="L122" s="268">
        <f t="shared" si="9"/>
        <v>0</v>
      </c>
      <c r="P122" s="184"/>
    </row>
    <row r="123" spans="1:28" ht="98.4" customHeight="1" x14ac:dyDescent="0.3">
      <c r="A123" s="197">
        <f>'Unit Data from Audit Worksheet'!A150</f>
        <v>989</v>
      </c>
      <c r="B123" s="210"/>
      <c r="C123" s="196" t="str">
        <f>'Unit Data from Audit Worksheet'!D150</f>
        <v>If you answered "yes" to question #988 above, will you have the closure/postclosure cost fully funded by the date of closure?  Select "1" for Yes,  "2" for No, or "3" for N/A.</v>
      </c>
      <c r="D123" s="214"/>
      <c r="E123" s="215">
        <f>'Unit Data from Audit Worksheet'!F150</f>
        <v>0</v>
      </c>
      <c r="F123" s="80"/>
      <c r="G123" s="211"/>
      <c r="H123" s="208"/>
      <c r="I123" s="32"/>
      <c r="J123" s="207">
        <v>989</v>
      </c>
      <c r="K123" s="52" t="s">
        <v>562</v>
      </c>
      <c r="L123" s="268">
        <f t="shared" si="9"/>
        <v>0</v>
      </c>
      <c r="P123" s="184"/>
    </row>
    <row r="124" spans="1:28" ht="74.400000000000006" customHeight="1" x14ac:dyDescent="0.3">
      <c r="A124" s="197">
        <f>'Unit Data from Audit Worksheet'!A154</f>
        <v>327</v>
      </c>
      <c r="B124" s="210" t="str">
        <f>'Unit Data from Audit Worksheet'!C154</f>
        <v>WS-Capital Assets Schedule in the Notes</v>
      </c>
      <c r="C124" s="196" t="str">
        <f>'Unit Data from Audit Worksheet'!D154</f>
        <v>Land and all other non depreciable capital assets 
Exclude construction in progress</v>
      </c>
      <c r="D124" s="214"/>
      <c r="E124" s="215">
        <f>'Unit Data from Audit Worksheet'!F154</f>
        <v>0</v>
      </c>
      <c r="F124" s="80"/>
      <c r="G124" s="211"/>
      <c r="H124" s="208"/>
      <c r="I124" s="32"/>
      <c r="J124" s="207">
        <v>327</v>
      </c>
      <c r="K124" s="52" t="s">
        <v>258</v>
      </c>
      <c r="L124" s="262">
        <f t="shared" si="9"/>
        <v>0</v>
      </c>
      <c r="P124" s="184"/>
    </row>
    <row r="125" spans="1:28" ht="57" customHeight="1" x14ac:dyDescent="0.3">
      <c r="A125" s="197">
        <f>'Unit Data from Audit Worksheet'!A155</f>
        <v>328</v>
      </c>
      <c r="B125" s="210" t="str">
        <f>'Unit Data from Audit Worksheet'!C155</f>
        <v>WS-Capital Assets Schedule in the Notes</v>
      </c>
      <c r="C125" s="196" t="str">
        <f>'Unit Data from Audit Worksheet'!D155</f>
        <v>Construction in progress</v>
      </c>
      <c r="D125" s="214"/>
      <c r="E125" s="215">
        <f>'Unit Data from Audit Worksheet'!F155</f>
        <v>0</v>
      </c>
      <c r="F125" s="80"/>
      <c r="G125" s="211"/>
      <c r="H125" s="208"/>
      <c r="I125" s="32"/>
      <c r="J125" s="207">
        <v>328</v>
      </c>
      <c r="K125" s="52" t="s">
        <v>259</v>
      </c>
      <c r="L125" s="262">
        <f t="shared" si="9"/>
        <v>0</v>
      </c>
      <c r="P125" s="184"/>
    </row>
    <row r="126" spans="1:28" ht="46.5" customHeight="1" x14ac:dyDescent="0.3">
      <c r="A126" s="197">
        <f>'Unit Data from Audit Worksheet'!A159</f>
        <v>515</v>
      </c>
      <c r="B126" s="210" t="str">
        <f>'Unit Data from Audit Worksheet'!C159</f>
        <v>WS Capital Assets Schedule-Gross Value</v>
      </c>
      <c r="C126" s="196" t="str">
        <f>'Unit Data from Audit Worksheet'!D159</f>
        <v>Buildings</v>
      </c>
      <c r="D126" s="214"/>
      <c r="E126" s="215">
        <f>'Unit Data from Audit Worksheet'!F159</f>
        <v>0</v>
      </c>
      <c r="F126" s="80"/>
      <c r="G126" s="211"/>
      <c r="H126" s="208"/>
      <c r="I126" s="32"/>
      <c r="J126" s="207">
        <v>515</v>
      </c>
      <c r="K126" s="52" t="s">
        <v>219</v>
      </c>
      <c r="L126" s="262">
        <f t="shared" si="9"/>
        <v>0</v>
      </c>
      <c r="P126" s="184"/>
    </row>
    <row r="127" spans="1:28" ht="60" customHeight="1" x14ac:dyDescent="0.3">
      <c r="A127" s="197">
        <f>'Unit Data from Audit Worksheet'!A160</f>
        <v>516</v>
      </c>
      <c r="B127" s="210" t="str">
        <f>'Unit Data from Audit Worksheet'!C160</f>
        <v>WS Capital Assets Schedule-Gross Value</v>
      </c>
      <c r="C127" s="196" t="str">
        <f>'Unit Data from Audit Worksheet'!D160</f>
        <v>Plant / distributions systems / water lines</v>
      </c>
      <c r="D127" s="214"/>
      <c r="E127" s="215">
        <f>'Unit Data from Audit Worksheet'!F160</f>
        <v>0</v>
      </c>
      <c r="F127" s="80"/>
      <c r="G127" s="211"/>
      <c r="H127" s="208"/>
      <c r="I127" s="32"/>
      <c r="J127" s="207">
        <v>516</v>
      </c>
      <c r="K127" s="52" t="s">
        <v>220</v>
      </c>
      <c r="L127" s="262">
        <f t="shared" si="9"/>
        <v>0</v>
      </c>
      <c r="P127" s="184"/>
    </row>
    <row r="128" spans="1:28" ht="60" customHeight="1" x14ac:dyDescent="0.3">
      <c r="A128" s="197">
        <f>'Unit Data from Audit Worksheet'!A161</f>
        <v>517</v>
      </c>
      <c r="B128" s="210" t="str">
        <f>'Unit Data from Audit Worksheet'!C161</f>
        <v>WS Capital Assets Schedule-Gross Value</v>
      </c>
      <c r="C128" s="196" t="str">
        <f>'Unit Data from Audit Worksheet'!D161</f>
        <v>Infrastructure(other infrastructure)</v>
      </c>
      <c r="D128" s="214"/>
      <c r="E128" s="215">
        <f>'Unit Data from Audit Worksheet'!F161</f>
        <v>0</v>
      </c>
      <c r="F128" s="80"/>
      <c r="G128" s="211"/>
      <c r="H128" s="208"/>
      <c r="I128" s="32"/>
      <c r="J128" s="207">
        <v>517</v>
      </c>
      <c r="K128" s="286" t="s">
        <v>221</v>
      </c>
      <c r="L128" s="262">
        <f t="shared" si="9"/>
        <v>0</v>
      </c>
      <c r="P128" s="184"/>
    </row>
    <row r="129" spans="1:22" ht="60" customHeight="1" x14ac:dyDescent="0.3">
      <c r="A129" s="197">
        <f>'Unit Data from Audit Worksheet'!A162</f>
        <v>518</v>
      </c>
      <c r="B129" s="210" t="str">
        <f>'Unit Data from Audit Worksheet'!C162</f>
        <v>WS Capital Assets Schedule-Gross Value</v>
      </c>
      <c r="C129" s="196" t="str">
        <f>'Unit Data from Audit Worksheet'!D162</f>
        <v>All other depreciable capital assets</v>
      </c>
      <c r="D129" s="214"/>
      <c r="E129" s="215">
        <f>'Unit Data from Audit Worksheet'!F162</f>
        <v>0</v>
      </c>
      <c r="F129" s="80"/>
      <c r="G129" s="211"/>
      <c r="H129" s="208"/>
      <c r="I129" s="32"/>
      <c r="J129" s="207">
        <v>518</v>
      </c>
      <c r="K129" s="286" t="s">
        <v>222</v>
      </c>
      <c r="L129" s="262">
        <f t="shared" si="9"/>
        <v>0</v>
      </c>
      <c r="P129" s="184"/>
    </row>
    <row r="130" spans="1:22" ht="60" customHeight="1" x14ac:dyDescent="0.3">
      <c r="A130" s="197">
        <f>'Unit Data from Audit Worksheet'!A165</f>
        <v>519</v>
      </c>
      <c r="B130" s="210" t="str">
        <f>'Unit Data from Audit Worksheet'!C165</f>
        <v>WS Capital Assets Schedule-Annual Depreciation</v>
      </c>
      <c r="C130" s="196" t="str">
        <f>'Unit Data from Audit Worksheet'!D165</f>
        <v>Buildings annual depreciation</v>
      </c>
      <c r="D130" s="214"/>
      <c r="E130" s="215">
        <f>'Unit Data from Audit Worksheet'!F165</f>
        <v>0</v>
      </c>
      <c r="F130" s="80"/>
      <c r="G130" s="211"/>
      <c r="H130" s="208"/>
      <c r="I130" s="32"/>
      <c r="J130" s="207">
        <v>519</v>
      </c>
      <c r="K130" s="286" t="s">
        <v>223</v>
      </c>
      <c r="L130" s="262">
        <f t="shared" si="9"/>
        <v>0</v>
      </c>
      <c r="P130" s="289"/>
    </row>
    <row r="131" spans="1:22" ht="60" customHeight="1" x14ac:dyDescent="0.3">
      <c r="A131" s="197">
        <f>'Unit Data from Audit Worksheet'!A166</f>
        <v>520</v>
      </c>
      <c r="B131" s="210" t="str">
        <f>'Unit Data from Audit Worksheet'!C166</f>
        <v>WS Capital Assets Schedule-Annual Depreciation</v>
      </c>
      <c r="C131" s="196" t="str">
        <f>'Unit Data from Audit Worksheet'!D166</f>
        <v>Plant / distributions systems / water lines annual depreciation</v>
      </c>
      <c r="D131" s="214"/>
      <c r="E131" s="215">
        <f>'Unit Data from Audit Worksheet'!F166</f>
        <v>0</v>
      </c>
      <c r="F131" s="80"/>
      <c r="G131" s="211"/>
      <c r="H131" s="208"/>
      <c r="I131" s="32"/>
      <c r="J131" s="207">
        <v>520</v>
      </c>
      <c r="K131" s="286" t="s">
        <v>224</v>
      </c>
      <c r="L131" s="262">
        <f t="shared" si="9"/>
        <v>0</v>
      </c>
      <c r="P131" s="292"/>
      <c r="Q131" s="290"/>
    </row>
    <row r="132" spans="1:22" ht="60" customHeight="1" x14ac:dyDescent="0.3">
      <c r="A132" s="197">
        <f>'Unit Data from Audit Worksheet'!A167</f>
        <v>521</v>
      </c>
      <c r="B132" s="210" t="str">
        <f>'Unit Data from Audit Worksheet'!C167</f>
        <v>WS Capital Assets Schedule-Annual Depreciation</v>
      </c>
      <c r="C132" s="196" t="str">
        <f>'Unit Data from Audit Worksheet'!D167</f>
        <v>Infrastructure(other infrastructure) annual depreciation</v>
      </c>
      <c r="D132" s="214"/>
      <c r="E132" s="215">
        <f>'Unit Data from Audit Worksheet'!F167</f>
        <v>0</v>
      </c>
      <c r="F132" s="80"/>
      <c r="G132" s="211"/>
      <c r="H132" s="208"/>
      <c r="I132" s="32"/>
      <c r="J132" s="207">
        <v>521</v>
      </c>
      <c r="K132" s="52" t="s">
        <v>225</v>
      </c>
      <c r="L132" s="262">
        <f t="shared" si="9"/>
        <v>0</v>
      </c>
      <c r="P132" s="184"/>
      <c r="Q132" s="176"/>
    </row>
    <row r="133" spans="1:22" ht="60" customHeight="1" x14ac:dyDescent="0.3">
      <c r="A133" s="197">
        <f>'Unit Data from Audit Worksheet'!A168</f>
        <v>522</v>
      </c>
      <c r="B133" s="210" t="str">
        <f>'Unit Data from Audit Worksheet'!C168</f>
        <v>WS Capital Assets Schedule-Annual Depreciation</v>
      </c>
      <c r="C133" s="196" t="str">
        <f>'Unit Data from Audit Worksheet'!D168</f>
        <v>All other depreciable capital assets annual depreciation</v>
      </c>
      <c r="D133" s="214"/>
      <c r="E133" s="215">
        <f>'Unit Data from Audit Worksheet'!F168</f>
        <v>0</v>
      </c>
      <c r="F133" s="80"/>
      <c r="G133" s="211"/>
      <c r="H133" s="208"/>
      <c r="I133" s="32"/>
      <c r="J133" s="207">
        <v>522</v>
      </c>
      <c r="K133" s="52" t="s">
        <v>226</v>
      </c>
      <c r="L133" s="262">
        <f t="shared" si="9"/>
        <v>0</v>
      </c>
      <c r="P133" s="289"/>
      <c r="S133" s="18"/>
      <c r="T133" s="18"/>
      <c r="U133" s="18"/>
      <c r="V133" s="18"/>
    </row>
    <row r="134" spans="1:22" ht="60" customHeight="1" x14ac:dyDescent="0.3">
      <c r="A134" s="197">
        <f>'Unit Data from Audit Worksheet'!A171</f>
        <v>523</v>
      </c>
      <c r="B134" s="210" t="str">
        <f>'Unit Data from Audit Worksheet'!C171</f>
        <v>WS Capital Assets Schedule-Accumulated Depreciation</v>
      </c>
      <c r="C134" s="196" t="str">
        <f>'Unit Data from Audit Worksheet'!D171</f>
        <v>Building accumulated depreciation</v>
      </c>
      <c r="D134" s="214"/>
      <c r="E134" s="215">
        <f>'Unit Data from Audit Worksheet'!F171</f>
        <v>0</v>
      </c>
      <c r="F134" s="80"/>
      <c r="G134" s="211"/>
      <c r="H134" s="208"/>
      <c r="I134" s="32"/>
      <c r="J134" s="207">
        <v>523</v>
      </c>
      <c r="K134" s="52" t="s">
        <v>227</v>
      </c>
      <c r="L134" s="262">
        <f t="shared" si="9"/>
        <v>0</v>
      </c>
      <c r="P134" s="289"/>
      <c r="S134" s="18"/>
      <c r="T134" s="18"/>
      <c r="U134" s="18"/>
      <c r="V134" s="18"/>
    </row>
    <row r="135" spans="1:22" ht="72" customHeight="1" x14ac:dyDescent="0.3">
      <c r="A135" s="197">
        <f>'Unit Data from Audit Worksheet'!A172</f>
        <v>524</v>
      </c>
      <c r="B135" s="210" t="str">
        <f>'Unit Data from Audit Worksheet'!C172</f>
        <v>WS Capital Assets Schedule-Accumulated Depreciation</v>
      </c>
      <c r="C135" s="196" t="str">
        <f>'Unit Data from Audit Worksheet'!D172</f>
        <v>Plant / distributions systems / water lines accumulated depreciation</v>
      </c>
      <c r="D135" s="214"/>
      <c r="E135" s="215">
        <f>'Unit Data from Audit Worksheet'!F172</f>
        <v>0</v>
      </c>
      <c r="F135" s="80"/>
      <c r="G135" s="211"/>
      <c r="H135" s="208"/>
      <c r="I135" s="32"/>
      <c r="J135" s="207">
        <v>524</v>
      </c>
      <c r="K135" s="52" t="s">
        <v>228</v>
      </c>
      <c r="L135" s="262">
        <f t="shared" si="9"/>
        <v>0</v>
      </c>
      <c r="P135" s="289"/>
      <c r="S135" s="18"/>
      <c r="T135" s="18"/>
      <c r="U135" s="18"/>
      <c r="V135" s="18"/>
    </row>
    <row r="136" spans="1:22" ht="72" customHeight="1" x14ac:dyDescent="0.3">
      <c r="A136" s="197">
        <f>'Unit Data from Audit Worksheet'!A173</f>
        <v>525</v>
      </c>
      <c r="B136" s="210" t="str">
        <f>'Unit Data from Audit Worksheet'!C173</f>
        <v>WS Capital Assets Schedule-Accumulated Depreciation</v>
      </c>
      <c r="C136" s="196" t="str">
        <f>'Unit Data from Audit Worksheet'!D173</f>
        <v>Infrastructure(other infrastructure) accumulated depreciation</v>
      </c>
      <c r="D136" s="214"/>
      <c r="E136" s="215">
        <f>'Unit Data from Audit Worksheet'!F173</f>
        <v>0</v>
      </c>
      <c r="F136" s="80"/>
      <c r="G136" s="211"/>
      <c r="H136" s="208"/>
      <c r="I136" s="32"/>
      <c r="J136" s="207">
        <v>525</v>
      </c>
      <c r="K136" s="52" t="s">
        <v>229</v>
      </c>
      <c r="L136" s="262">
        <f t="shared" si="9"/>
        <v>0</v>
      </c>
      <c r="P136" s="188"/>
      <c r="Q136" s="290"/>
    </row>
    <row r="137" spans="1:22" ht="72" customHeight="1" x14ac:dyDescent="0.3">
      <c r="A137" s="197">
        <f>'Unit Data from Audit Worksheet'!A174</f>
        <v>526</v>
      </c>
      <c r="B137" s="210" t="str">
        <f>'Unit Data from Audit Worksheet'!C174</f>
        <v>WS Capital Assets Schedule-Accumulated Depreciation</v>
      </c>
      <c r="C137" s="196" t="str">
        <f>'Unit Data from Audit Worksheet'!D174</f>
        <v>All other depreciable capital assets accumulated depreciation</v>
      </c>
      <c r="D137" s="214"/>
      <c r="E137" s="215">
        <f>'Unit Data from Audit Worksheet'!F174</f>
        <v>0</v>
      </c>
      <c r="F137" s="80"/>
      <c r="G137" s="211"/>
      <c r="H137" s="208"/>
      <c r="I137" s="32"/>
      <c r="J137" s="207">
        <v>526</v>
      </c>
      <c r="K137" s="52" t="s">
        <v>230</v>
      </c>
      <c r="L137" s="262">
        <f t="shared" si="9"/>
        <v>0</v>
      </c>
      <c r="P137" s="184"/>
      <c r="Q137" s="3"/>
    </row>
    <row r="138" spans="1:22" ht="196.8" customHeight="1" x14ac:dyDescent="0.3">
      <c r="A138" s="197">
        <f>'Unit Data from Audit Worksheet'!A179</f>
        <v>337</v>
      </c>
      <c r="B138" s="210" t="str">
        <f>'Unit Data from Audit Worksheet'!C179</f>
        <v>Long-Term Liability Note - Governmental Activities</v>
      </c>
      <c r="C138" s="210" t="str">
        <f>'Unit Data from Audit Worksheet'!D179</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38" s="214"/>
      <c r="E138" s="215">
        <f>'Unit Data from Audit Worksheet'!F179</f>
        <v>0</v>
      </c>
      <c r="F138" s="209">
        <f>IF(L138&lt;0,"Error: Enter as a positive.",)</f>
        <v>0</v>
      </c>
      <c r="G138" s="211"/>
      <c r="H138" s="208"/>
      <c r="I138" s="32"/>
      <c r="J138" s="207">
        <v>337</v>
      </c>
      <c r="K138" s="206" t="s">
        <v>205</v>
      </c>
      <c r="L138" s="262">
        <f t="shared" si="9"/>
        <v>0</v>
      </c>
      <c r="P138" s="184"/>
    </row>
    <row r="139" spans="1:22" ht="76.5" customHeight="1" x14ac:dyDescent="0.3">
      <c r="A139" s="197">
        <f>'Unit Data from Audit Worksheet'!A180</f>
        <v>343</v>
      </c>
      <c r="B139" s="210" t="str">
        <f>'Unit Data from Audit Worksheet'!C180</f>
        <v>Long-Term Liability Note - Governmental Activities</v>
      </c>
      <c r="C139" s="196" t="str">
        <f>'Unit Data from Audit Worksheet'!D180</f>
        <v>Decreases made (principal paid) on Long-Term Debt in current fiscal year.  Reduce for debt refunding.</v>
      </c>
      <c r="D139" s="214"/>
      <c r="E139" s="215">
        <f>'Unit Data from Audit Worksheet'!F180</f>
        <v>0</v>
      </c>
      <c r="F139" s="209">
        <f>IF(L139&lt;0,"Error: Enter as a positive.",)</f>
        <v>0</v>
      </c>
      <c r="G139" s="211"/>
      <c r="H139" s="208"/>
      <c r="I139" s="32"/>
      <c r="J139" s="207">
        <v>343</v>
      </c>
      <c r="K139" s="206" t="s">
        <v>206</v>
      </c>
      <c r="L139" s="262">
        <f t="shared" si="9"/>
        <v>0</v>
      </c>
      <c r="P139" s="184"/>
    </row>
    <row r="140" spans="1:22" ht="198" customHeight="1" x14ac:dyDescent="0.3">
      <c r="A140" s="197">
        <f>'Unit Data from Audit Worksheet'!A181</f>
        <v>82</v>
      </c>
      <c r="B140" s="210" t="str">
        <f>'Unit Data from Audit Worksheet'!C181</f>
        <v>Long-Term Liability Note - Water Sewer Activities</v>
      </c>
      <c r="C140" s="210" t="str">
        <f>'Unit Data from Audit Worksheet'!D181</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40" s="214"/>
      <c r="E140" s="215">
        <f>'Unit Data from Audit Worksheet'!F181</f>
        <v>0</v>
      </c>
      <c r="F140" s="209">
        <f>IF(L140&lt;0,"Error: Enter as a positive.",)</f>
        <v>0</v>
      </c>
      <c r="G140" s="211"/>
      <c r="H140" s="208"/>
      <c r="I140" s="32"/>
      <c r="J140" s="207">
        <v>82</v>
      </c>
      <c r="K140" s="62" t="s">
        <v>260</v>
      </c>
      <c r="L140" s="262">
        <f t="shared" si="9"/>
        <v>0</v>
      </c>
      <c r="P140" s="184"/>
    </row>
    <row r="141" spans="1:22" ht="91.2" customHeight="1" x14ac:dyDescent="0.3">
      <c r="A141" s="197">
        <f>'Unit Data from Audit Worksheet'!A183</f>
        <v>622</v>
      </c>
      <c r="B141" s="210" t="str">
        <f>'Unit Data from Audit Worksheet'!C183</f>
        <v>FS., Pension note or RSI</v>
      </c>
      <c r="C141" s="210" t="str">
        <f>'Unit Data from Audit Worksheet'!D183</f>
        <v xml:space="preserve">Unit's Share of Net Pension Liability ($s)
- unit of government is a participating employer in the State's TSERS (Teachers' and State Employees' Retirement System) or the LGERS (Local Governmental Employees' Retirement System).  </v>
      </c>
      <c r="D141" s="214"/>
      <c r="E141" s="215">
        <f>'Unit Data from Audit Worksheet'!F183</f>
        <v>0</v>
      </c>
      <c r="F141" s="209"/>
      <c r="G141" s="211"/>
      <c r="H141" s="208"/>
      <c r="I141" s="32"/>
      <c r="J141" s="207">
        <v>622</v>
      </c>
      <c r="K141" s="213" t="s">
        <v>306</v>
      </c>
      <c r="L141" s="262">
        <f t="shared" si="9"/>
        <v>0</v>
      </c>
      <c r="P141" s="184"/>
      <c r="S141" s="18"/>
      <c r="T141" s="18"/>
      <c r="U141" s="18"/>
      <c r="V141" s="18"/>
    </row>
    <row r="142" spans="1:22" ht="151.19999999999999" customHeight="1" x14ac:dyDescent="0.3">
      <c r="A142" s="197">
        <f>'Unit Data from Audit Worksheet'!A184</f>
        <v>577</v>
      </c>
      <c r="B142" s="210" t="str">
        <f>'Unit Data from Audit Worksheet'!C184</f>
        <v>Pension Notes</v>
      </c>
      <c r="C142" s="210" t="str">
        <f>'Unit Data from Audit Worksheet'!D184</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from drop down list.
</v>
      </c>
      <c r="D142" s="214"/>
      <c r="E142" s="215">
        <f>'Unit Data from Audit Worksheet'!F184</f>
        <v>0</v>
      </c>
      <c r="F142" s="209"/>
      <c r="G142" s="211"/>
      <c r="H142" s="208"/>
      <c r="I142" s="32"/>
      <c r="J142" s="207">
        <v>577</v>
      </c>
      <c r="K142" s="213" t="s">
        <v>280</v>
      </c>
      <c r="L142" s="262">
        <f t="shared" si="9"/>
        <v>0</v>
      </c>
      <c r="P142" s="184"/>
      <c r="S142" s="18"/>
      <c r="T142" s="18"/>
      <c r="U142" s="18"/>
      <c r="V142" s="18"/>
    </row>
    <row r="143" spans="1:22" ht="115.5" customHeight="1" x14ac:dyDescent="0.3">
      <c r="A143" s="287">
        <f>'Unit Data from Audit Worksheet'!A186</f>
        <v>598</v>
      </c>
      <c r="B143" s="210" t="str">
        <f>'Unit Data from Audit Worksheet'!C186</f>
        <v>LEO Note</v>
      </c>
      <c r="C143" s="196" t="str">
        <f>'Unit Data from Audit Worksheet'!D186</f>
        <v>Amount the unit paid out in benefits under LEO special separation allowance to retired law enforcement officers this fiscal year if you report under GASB 68 or GASB 73.</v>
      </c>
      <c r="D143" s="214"/>
      <c r="E143" s="215">
        <f>'Unit Data from Audit Worksheet'!F186</f>
        <v>0</v>
      </c>
      <c r="F143" s="209">
        <f>IF(L143&lt;0,"Error: Enter as a positive.",)</f>
        <v>0</v>
      </c>
      <c r="G143" s="211"/>
      <c r="H143" s="208">
        <f>'Unit Data from Audit Worksheet'!I186</f>
        <v>0</v>
      </c>
      <c r="I143" s="32"/>
      <c r="J143" s="207">
        <v>598</v>
      </c>
      <c r="K143" s="87" t="s">
        <v>292</v>
      </c>
      <c r="L143" s="262">
        <f t="shared" si="9"/>
        <v>0</v>
      </c>
      <c r="P143" s="184"/>
      <c r="S143" s="18"/>
      <c r="T143" s="18"/>
      <c r="U143" s="18"/>
      <c r="V143" s="18"/>
    </row>
    <row r="144" spans="1:22" ht="84" customHeight="1" x14ac:dyDescent="0.3">
      <c r="A144" s="197">
        <f>'Unit Data from Audit Worksheet'!A187</f>
        <v>599</v>
      </c>
      <c r="B144" s="210" t="str">
        <f>'Unit Data from Audit Worksheet'!C187</f>
        <v>LEO Note</v>
      </c>
      <c r="C144" s="196" t="str">
        <f>'Unit Data from Audit Worksheet'!D187</f>
        <v>The total LEO pension liability if you report under GASB 68 or GASB 73.</v>
      </c>
      <c r="D144" s="214"/>
      <c r="E144" s="215">
        <f>'Unit Data from Audit Worksheet'!F187</f>
        <v>0</v>
      </c>
      <c r="F144" s="209">
        <f>IF(L144&lt;0,"Error: Enter as a positive.",)</f>
        <v>0</v>
      </c>
      <c r="G144" s="211"/>
      <c r="H144" s="208"/>
      <c r="I144" s="32"/>
      <c r="J144" s="207">
        <v>599</v>
      </c>
      <c r="K144" s="86" t="s">
        <v>291</v>
      </c>
      <c r="L144" s="262">
        <f t="shared" si="9"/>
        <v>0</v>
      </c>
      <c r="P144" s="184"/>
    </row>
    <row r="145" spans="1:28" ht="108.6" customHeight="1" x14ac:dyDescent="0.3">
      <c r="A145" s="197">
        <f>'Unit Data from Audit Worksheet'!A188</f>
        <v>602</v>
      </c>
      <c r="B145" s="210" t="str">
        <f>'Unit Data from Audit Worksheet'!C188</f>
        <v>LEO Note</v>
      </c>
      <c r="C145" s="196" t="str">
        <f>'Unit Data from Audit Worksheet'!D188</f>
        <v>If you have LEO pension assets and are reporting under GASB 68 please enter "Plan Fiduciary Net Position" which can be found on your RSI schedules and the Notes.</v>
      </c>
      <c r="D145" s="214"/>
      <c r="E145" s="215">
        <f>'Unit Data from Audit Worksheet'!F188</f>
        <v>0</v>
      </c>
      <c r="F145" s="209">
        <f>IF(L145&lt;0,"Error: Enter as a positive.",)</f>
        <v>0</v>
      </c>
      <c r="G145" s="211"/>
      <c r="H145" s="208"/>
      <c r="I145" s="32"/>
      <c r="J145" s="207">
        <v>602</v>
      </c>
      <c r="K145" s="22" t="s">
        <v>293</v>
      </c>
      <c r="L145" s="262">
        <f t="shared" si="9"/>
        <v>0</v>
      </c>
      <c r="P145" s="184"/>
    </row>
    <row r="146" spans="1:28" ht="123" customHeight="1" x14ac:dyDescent="0.3">
      <c r="A146" s="197">
        <f>'Unit Data from Audit Worksheet'!A189</f>
        <v>619</v>
      </c>
      <c r="B146" s="210" t="str">
        <f>'Unit Data from Audit Worksheet'!C189</f>
        <v>LEO
RSI</v>
      </c>
      <c r="C146" s="87" t="str">
        <f>'Unit Data from Audit Worksheet'!D189</f>
        <v>LEOSSA – What is the plan’s fiduciary net position as a percentage of the total pension liability?  Please enter as percentage value; for example, 83.5% should be entered as 83.5.  If assets have not been set aside in a trust, please enter 0.0</v>
      </c>
      <c r="D146" s="88"/>
      <c r="E146" s="215">
        <f>'Unit Data from Audit Worksheet'!F189</f>
        <v>0</v>
      </c>
      <c r="F146" s="209"/>
      <c r="G146" s="211"/>
      <c r="H146" s="95"/>
      <c r="I146" s="32"/>
      <c r="J146" s="199">
        <v>619</v>
      </c>
      <c r="K146" s="94" t="s">
        <v>368</v>
      </c>
      <c r="L146" s="681">
        <f t="shared" si="9"/>
        <v>0</v>
      </c>
      <c r="P146" s="184"/>
    </row>
    <row r="147" spans="1:28" ht="113.25" customHeight="1" x14ac:dyDescent="0.3">
      <c r="A147" s="197">
        <v>621</v>
      </c>
      <c r="B147" s="51" t="s">
        <v>302</v>
      </c>
      <c r="C147" s="291" t="str">
        <f>'Unit Data from Audit Worksheet'!D191</f>
        <v xml:space="preserve">Unit's share of Retirement Health Benefit Fund Net OPEB Liability ($s)
- unit of government is a participating employer in the State's RHBF </v>
      </c>
      <c r="D147" s="88"/>
      <c r="E147" s="215">
        <f>'Unit Data from Audit Worksheet'!F191</f>
        <v>0</v>
      </c>
      <c r="F147" s="209">
        <f>IF(L147&lt;0,"Error: Enter as a positive.",)</f>
        <v>0</v>
      </c>
      <c r="G147" s="117"/>
      <c r="H147" s="208"/>
      <c r="I147" s="32"/>
      <c r="J147" s="292">
        <v>621</v>
      </c>
      <c r="K147" s="118" t="s">
        <v>372</v>
      </c>
      <c r="L147" s="262">
        <f t="shared" si="9"/>
        <v>0</v>
      </c>
      <c r="P147" s="185"/>
    </row>
    <row r="148" spans="1:28" s="18" customFormat="1" ht="154.19999999999999" customHeight="1" x14ac:dyDescent="0.3">
      <c r="A148" s="287">
        <f>'Unit Data from Audit Worksheet'!A192</f>
        <v>547</v>
      </c>
      <c r="B148" s="210" t="str">
        <f>'Unit Data from Audit Worksheet'!C192</f>
        <v>OPEB Note</v>
      </c>
      <c r="C148" s="210" t="str">
        <f>'Unit Data from Audit Worksheet'!D192</f>
        <v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drop down list.
</v>
      </c>
      <c r="D148" s="214"/>
      <c r="E148" s="215">
        <f>'Unit Data from Audit Worksheet'!F192</f>
        <v>0</v>
      </c>
      <c r="F148" s="209" t="str">
        <f>IF(L151&lt;1,"Please answer this question","")</f>
        <v>Please answer this question</v>
      </c>
      <c r="G148" s="211"/>
      <c r="H148" s="208">
        <f>'Unit Data from Audit Worksheet'!I192</f>
        <v>0</v>
      </c>
      <c r="I148" s="32"/>
      <c r="J148" s="207">
        <v>547</v>
      </c>
      <c r="K148" s="293" t="s">
        <v>250</v>
      </c>
      <c r="L148" s="262">
        <f t="shared" si="9"/>
        <v>0</v>
      </c>
      <c r="M148"/>
      <c r="P148" s="185"/>
      <c r="Q148" s="253"/>
      <c r="R148" s="3"/>
      <c r="S148" s="3"/>
      <c r="T148" s="3"/>
      <c r="U148" s="3"/>
      <c r="V148" s="3"/>
      <c r="W148"/>
      <c r="X148"/>
      <c r="Y148"/>
      <c r="Z148"/>
      <c r="AA148"/>
      <c r="AB148"/>
    </row>
    <row r="149" spans="1:28" s="18" customFormat="1" ht="99" customHeight="1" x14ac:dyDescent="0.3">
      <c r="A149" s="197">
        <f>'Unit Data from Audit Worksheet'!A193</f>
        <v>659</v>
      </c>
      <c r="B149" s="210" t="str">
        <f>'Unit Data from Audit Worksheet'!C193</f>
        <v>OPEB
 Note or RSI</v>
      </c>
      <c r="C149" s="196" t="str">
        <f>'Unit Data from Audit Worksheet'!D193</f>
        <v>Total OPEB benefits - total OPEB liability
If you do not provide benefit, please enter 0</v>
      </c>
      <c r="D149" s="214"/>
      <c r="E149" s="215">
        <f>'Unit Data from Audit Worksheet'!F193</f>
        <v>0</v>
      </c>
      <c r="F149" s="209">
        <f>IF(L149&lt;0,"Error: Enter as a positive.",)</f>
        <v>0</v>
      </c>
      <c r="G149" s="294" t="s">
        <v>1275</v>
      </c>
      <c r="H149" s="208"/>
      <c r="I149" s="32"/>
      <c r="J149" s="199">
        <v>659</v>
      </c>
      <c r="K149" s="198" t="s">
        <v>347</v>
      </c>
      <c r="L149" s="275">
        <f t="shared" si="9"/>
        <v>0</v>
      </c>
      <c r="M149"/>
      <c r="P149" s="185"/>
      <c r="Q149" s="253"/>
      <c r="R149" s="3"/>
      <c r="S149" s="3"/>
      <c r="T149" s="3"/>
      <c r="U149" s="3"/>
      <c r="V149" s="3"/>
      <c r="W149"/>
      <c r="X149"/>
      <c r="Y149"/>
      <c r="Z149"/>
      <c r="AA149"/>
      <c r="AB149"/>
    </row>
    <row r="150" spans="1:28" s="18" customFormat="1" ht="131.25" customHeight="1" x14ac:dyDescent="0.3">
      <c r="A150" s="197">
        <f>'Unit Data from Audit Worksheet'!A194</f>
        <v>660</v>
      </c>
      <c r="B150" s="210" t="str">
        <f>'Unit Data from Audit Worksheet'!C194</f>
        <v>OPEB
 Note or RSI</v>
      </c>
      <c r="C150" s="196" t="str">
        <f>'Unit Data from Audit Worksheet'!D194</f>
        <v>Total OPEB benefits- OPEB plan fiduciary net position
If no fiduciary net position, enter 0</v>
      </c>
      <c r="D150" s="214"/>
      <c r="E150" s="215">
        <f>'Unit Data from Audit Worksheet'!F194</f>
        <v>0</v>
      </c>
      <c r="F150" s="205">
        <f>IF(L150&lt;0,"Note: Number is normally positive.",)</f>
        <v>0</v>
      </c>
      <c r="G150" s="294" t="s">
        <v>1275</v>
      </c>
      <c r="H150" s="208"/>
      <c r="I150" s="32"/>
      <c r="J150" s="199">
        <v>660</v>
      </c>
      <c r="K150" s="198" t="s">
        <v>348</v>
      </c>
      <c r="L150" s="275">
        <f t="shared" si="9"/>
        <v>0</v>
      </c>
      <c r="M150"/>
      <c r="P150" s="185"/>
      <c r="Q150" s="253"/>
      <c r="R150" s="3"/>
      <c r="S150" s="3"/>
      <c r="T150" s="3"/>
      <c r="U150" s="3"/>
      <c r="V150" s="3"/>
      <c r="W150"/>
      <c r="X150"/>
      <c r="Y150"/>
      <c r="Z150"/>
      <c r="AA150"/>
      <c r="AB150"/>
    </row>
    <row r="151" spans="1:28" ht="134.25" customHeight="1" x14ac:dyDescent="0.3">
      <c r="A151" s="197">
        <f>'Unit Data from Audit Worksheet'!A195</f>
        <v>661</v>
      </c>
      <c r="B151" s="210" t="str">
        <f>'Unit Data from Audit Worksheet'!C195</f>
        <v>OPEB
RSI</v>
      </c>
      <c r="C151" s="196" t="str">
        <f>'Unit Data from Audit Worksheet'!D195</f>
        <v>Total OPEB benefits - What is the plan’s fiduciary net position as a percentage of the total OPEB liability?  Please enter as percentage value; for example, 83.5% should be entered as 83.5.  If assets have not been set aside in a trust, please enter 0.0</v>
      </c>
      <c r="D151" s="88"/>
      <c r="E151" s="745">
        <f>'Unit Data from Audit Worksheet'!F195</f>
        <v>0</v>
      </c>
      <c r="F151" s="209" t="str">
        <f>IF(H151=L151,"","Column L does not equal Column H")</f>
        <v/>
      </c>
      <c r="G151" s="294" t="s">
        <v>1275</v>
      </c>
      <c r="H151" s="153">
        <f>ROUND(IFERROR((L150/L149)*100,0),1)</f>
        <v>0</v>
      </c>
      <c r="I151" s="32"/>
      <c r="J151" s="199">
        <v>661</v>
      </c>
      <c r="K151" s="213" t="s">
        <v>349</v>
      </c>
      <c r="L151" s="682">
        <f>IF(D151="",E151,D151)</f>
        <v>0</v>
      </c>
      <c r="P151" s="185"/>
    </row>
    <row r="152" spans="1:28" ht="65.25" customHeight="1" x14ac:dyDescent="0.3">
      <c r="A152" s="197">
        <f>'Unit Data from Audit Worksheet'!A198</f>
        <v>371</v>
      </c>
      <c r="B152" s="210" t="str">
        <f>'Unit Data from Audit Worksheet'!C198</f>
        <v>Transfer Note</v>
      </c>
      <c r="C152" s="196" t="str">
        <f>'Unit Data from Audit Worksheet'!D198</f>
        <v>Amount of Transfers from the General Fund to the Debt Service Fund (Enter as positive)</v>
      </c>
      <c r="D152" s="214"/>
      <c r="E152" s="215">
        <f>'Unit Data from Audit Worksheet'!F198</f>
        <v>0</v>
      </c>
      <c r="F152" s="209">
        <f>IF(L152&lt;0,"Error: Enter as a positive.",)</f>
        <v>0</v>
      </c>
      <c r="G152" s="211"/>
      <c r="H152" s="208"/>
      <c r="I152" s="32"/>
      <c r="J152" s="33">
        <v>371</v>
      </c>
      <c r="K152" s="206" t="s">
        <v>207</v>
      </c>
      <c r="L152" s="262">
        <f t="shared" si="9"/>
        <v>0</v>
      </c>
      <c r="P152" s="187"/>
    </row>
    <row r="153" spans="1:28" s="353" customFormat="1" ht="65.25" customHeight="1" x14ac:dyDescent="0.3">
      <c r="A153" s="815">
        <f>'Unit Data from Audit Worksheet'!A199</f>
        <v>1075</v>
      </c>
      <c r="B153" s="816" t="str">
        <f>'Unit Data from Audit Worksheet'!C199</f>
        <v>Transfer Note</v>
      </c>
      <c r="C153" s="817" t="str">
        <f>'Unit Data from Audit Worksheet'!D199</f>
        <v>Transfers from General Fund to Water and Sewer Fund.  (Enter as positive)</v>
      </c>
      <c r="D153" s="214"/>
      <c r="E153" s="216">
        <f>'Unit Data from Audit Worksheet'!F199</f>
        <v>0</v>
      </c>
      <c r="F153" s="209"/>
      <c r="G153" s="211"/>
      <c r="H153" s="208"/>
      <c r="I153" s="32"/>
      <c r="J153" s="818">
        <v>1075</v>
      </c>
      <c r="K153" s="819" t="s">
        <v>1676</v>
      </c>
      <c r="L153" s="278">
        <f t="shared" si="9"/>
        <v>0</v>
      </c>
      <c r="M153" s="173"/>
      <c r="P153" s="187"/>
      <c r="Q153" s="253"/>
      <c r="W153" s="173"/>
      <c r="X153" s="173"/>
      <c r="Y153" s="173"/>
      <c r="Z153" s="173"/>
      <c r="AA153" s="173"/>
      <c r="AB153" s="173"/>
    </row>
    <row r="154" spans="1:28" s="353" customFormat="1" ht="65.25" customHeight="1" x14ac:dyDescent="0.3">
      <c r="A154" s="815">
        <f>'Unit Data from Audit Worksheet'!A200</f>
        <v>1076</v>
      </c>
      <c r="B154" s="816" t="str">
        <f>'Unit Data from Audit Worksheet'!C200</f>
        <v>Transfer Note</v>
      </c>
      <c r="C154" s="817" t="str">
        <f>'Unit Data from Audit Worksheet'!D200</f>
        <v>Transfers from Water and Sewer to General Fund.  (Enter as positive)</v>
      </c>
      <c r="D154" s="214"/>
      <c r="E154" s="216">
        <f>'Unit Data from Audit Worksheet'!F200</f>
        <v>0</v>
      </c>
      <c r="F154" s="209"/>
      <c r="G154" s="211"/>
      <c r="H154" s="208"/>
      <c r="I154" s="32"/>
      <c r="J154" s="818">
        <v>1076</v>
      </c>
      <c r="K154" s="819" t="s">
        <v>1677</v>
      </c>
      <c r="L154" s="278">
        <f t="shared" si="9"/>
        <v>0</v>
      </c>
      <c r="M154" s="173"/>
      <c r="P154" s="187"/>
      <c r="Q154" s="253"/>
      <c r="W154" s="173"/>
      <c r="X154" s="173"/>
      <c r="Y154" s="173"/>
      <c r="Z154" s="173"/>
      <c r="AA154" s="173"/>
      <c r="AB154" s="173"/>
    </row>
    <row r="155" spans="1:28" s="353" customFormat="1" ht="65.25" customHeight="1" x14ac:dyDescent="0.3">
      <c r="A155" s="815">
        <f>'Unit Data from Audit Worksheet'!A201</f>
        <v>1077</v>
      </c>
      <c r="B155" s="816" t="str">
        <f>'Unit Data from Audit Worksheet'!C201</f>
        <v>Water and Sewer - Fund Revenue, Expenses &amp; Changes in Fund Net Position or Notes to Financial Statements</v>
      </c>
      <c r="C155" s="817" t="str">
        <f>'Unit Data from Audit Worksheet'!D201</f>
        <v>Amount transferred from the Water and Sewer Fund to Water and Sewer Capital Project Funds</v>
      </c>
      <c r="D155" s="214"/>
      <c r="E155" s="216">
        <f>'Unit Data from Audit Worksheet'!F201</f>
        <v>0</v>
      </c>
      <c r="F155" s="209"/>
      <c r="G155" s="211"/>
      <c r="H155" s="208"/>
      <c r="I155" s="32"/>
      <c r="J155" s="818">
        <v>1077</v>
      </c>
      <c r="K155" s="819" t="s">
        <v>1708</v>
      </c>
      <c r="L155" s="278">
        <f t="shared" si="9"/>
        <v>0</v>
      </c>
      <c r="M155" s="173"/>
      <c r="P155" s="187"/>
      <c r="Q155" s="253"/>
      <c r="W155" s="173"/>
      <c r="X155" s="173"/>
      <c r="Y155" s="173"/>
      <c r="Z155" s="173"/>
      <c r="AA155" s="173"/>
      <c r="AB155" s="173"/>
    </row>
    <row r="156" spans="1:28" ht="84.75" customHeight="1" x14ac:dyDescent="0.3">
      <c r="A156" s="295">
        <f>'Unit Data from Audit Worksheet'!A203</f>
        <v>6</v>
      </c>
      <c r="B156" s="47" t="str">
        <f>'Unit Data from Audit Worksheet'!C203</f>
        <v>Fund Balance Note</v>
      </c>
      <c r="C156" s="271" t="str">
        <f>'Unit Data from Audit Worksheet'!D203</f>
        <v>General Fund -  Total Encumbrances.  You will probably have to refer to the note disclosure where the amount of encumbrances is listed.</v>
      </c>
      <c r="D156" s="214"/>
      <c r="E156" s="138">
        <f>'Unit Data from Audit Worksheet'!F203</f>
        <v>0</v>
      </c>
      <c r="F156" s="31">
        <f>IF(L156&lt;0,"Error: Enter as a positive.",)</f>
        <v>0</v>
      </c>
      <c r="G156" s="66"/>
      <c r="H156" s="208"/>
      <c r="I156" s="32"/>
      <c r="J156" s="35">
        <v>6</v>
      </c>
      <c r="K156" s="122" t="s">
        <v>208</v>
      </c>
      <c r="L156" s="262">
        <f t="shared" si="9"/>
        <v>0</v>
      </c>
      <c r="P156" s="187"/>
    </row>
    <row r="157" spans="1:28" ht="117.75" customHeight="1" x14ac:dyDescent="0.3">
      <c r="A157" s="197">
        <f>'Unit Data from Audit Worksheet'!A205</f>
        <v>541</v>
      </c>
      <c r="B157" s="210" t="str">
        <f>'Unit Data from Audit Worksheet'!C205</f>
        <v>Water Sewer - Budget Actual Statement</v>
      </c>
      <c r="C157" s="210" t="str">
        <f>'Unit Data from Audit Worksheet'!D205</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157" s="214"/>
      <c r="E157" s="215">
        <f>'Unit Data from Audit Worksheet'!F205</f>
        <v>0</v>
      </c>
      <c r="F157" s="209"/>
      <c r="G157" s="211"/>
      <c r="H157" s="208"/>
      <c r="I157" s="32"/>
      <c r="J157" s="207">
        <v>541</v>
      </c>
      <c r="K157" s="81" t="s">
        <v>1279</v>
      </c>
      <c r="L157" s="262">
        <f t="shared" si="9"/>
        <v>0</v>
      </c>
      <c r="P157" s="187"/>
    </row>
    <row r="158" spans="1:28" ht="94.5" customHeight="1" x14ac:dyDescent="0.3">
      <c r="A158" s="197">
        <f>'Unit Data from Audit Worksheet'!A207</f>
        <v>542</v>
      </c>
      <c r="B158" s="210" t="str">
        <f>'Unit Data from Audit Worksheet'!C207</f>
        <v>Water Sewer - Disclosed in the Notes or in the recently approved Budget for next year.</v>
      </c>
      <c r="C158" s="196" t="str">
        <f>'Unit Data from Audit Worksheet'!D207</f>
        <v>Amount of the Water Sewer Fund Balance appropriated in next year's budget?</v>
      </c>
      <c r="D158" s="214"/>
      <c r="E158" s="215">
        <f>'Unit Data from Audit Worksheet'!F207</f>
        <v>0</v>
      </c>
      <c r="F158" s="209"/>
      <c r="G158" s="211"/>
      <c r="H158" s="208"/>
      <c r="I158" s="32"/>
      <c r="J158" s="207">
        <v>542</v>
      </c>
      <c r="K158" s="206" t="s">
        <v>209</v>
      </c>
      <c r="L158" s="262">
        <f t="shared" si="9"/>
        <v>0</v>
      </c>
      <c r="N158" s="54" t="s">
        <v>254</v>
      </c>
      <c r="P158" s="187"/>
    </row>
    <row r="159" spans="1:28" ht="110.4" customHeight="1" x14ac:dyDescent="0.3">
      <c r="A159" s="197">
        <f>'Unit Data from Audit Worksheet'!A210</f>
        <v>528</v>
      </c>
      <c r="B159" s="210" t="str">
        <f>'Unit Data from Audit Worksheet'!C210</f>
        <v>Analysis of Current Tax Levy Schedule</v>
      </c>
      <c r="C159" s="196" t="str">
        <f>'Unit Data from Audit Worksheet'!D210</f>
        <v>Please enter the Net Current year's levy for property excluding registered motor vehicles-- (after adjusting for discoveries and abatements)
Exclude Supplemental Taxes</v>
      </c>
      <c r="D159" s="214"/>
      <c r="E159" s="215">
        <f>'Unit Data from Audit Worksheet'!F210</f>
        <v>0</v>
      </c>
      <c r="F159" s="75" t="str">
        <f>IF(L159=0,"Must be completed if unit levys taxes","")</f>
        <v>Must be completed if unit levys taxes</v>
      </c>
      <c r="G159" s="211"/>
      <c r="H159" s="208"/>
      <c r="I159" s="32"/>
      <c r="J159" s="207">
        <v>528</v>
      </c>
      <c r="K159" s="296" t="s">
        <v>214</v>
      </c>
      <c r="L159" s="262">
        <f t="shared" si="9"/>
        <v>0</v>
      </c>
      <c r="N159" s="76"/>
      <c r="P159" s="187"/>
    </row>
    <row r="160" spans="1:28" s="18" customFormat="1" ht="79.5" customHeight="1" x14ac:dyDescent="0.3">
      <c r="A160" s="197">
        <f>'Unit Data from Audit Worksheet'!A211</f>
        <v>529</v>
      </c>
      <c r="B160" s="210" t="str">
        <f>'Unit Data from Audit Worksheet'!C211</f>
        <v>Analysis of Current Tax Levy Schedule</v>
      </c>
      <c r="C160" s="196" t="str">
        <f>'Unit Data from Audit Worksheet'!D211</f>
        <v>Please enter the Net Current year's levy -- Motor vehicles (only) (after adjusting for discoveries and abatements)
Exclude supplemental taxes</v>
      </c>
      <c r="D160" s="214"/>
      <c r="E160" s="215">
        <f>'Unit Data from Audit Worksheet'!F211</f>
        <v>0</v>
      </c>
      <c r="F160" s="75" t="str">
        <f>IF(L160=0,"Must be completed if unit levys taxes","")</f>
        <v>Must be completed if unit levys taxes</v>
      </c>
      <c r="G160" s="211"/>
      <c r="H160" s="208"/>
      <c r="I160" s="32"/>
      <c r="J160" s="207">
        <v>529</v>
      </c>
      <c r="K160" s="296" t="s">
        <v>215</v>
      </c>
      <c r="L160" s="262">
        <f t="shared" si="9"/>
        <v>0</v>
      </c>
      <c r="M160"/>
      <c r="N160" s="76"/>
      <c r="P160" s="187"/>
      <c r="Q160" s="253"/>
      <c r="R160" s="3"/>
      <c r="S160" s="3"/>
      <c r="T160" s="3"/>
      <c r="U160" s="3"/>
      <c r="V160" s="3"/>
      <c r="W160"/>
      <c r="X160"/>
      <c r="Y160"/>
      <c r="Z160"/>
      <c r="AA160"/>
      <c r="AB160"/>
    </row>
    <row r="161" spans="1:28" s="18" customFormat="1" ht="93" customHeight="1" x14ac:dyDescent="0.3">
      <c r="A161" s="197">
        <f>'Unit Data from Audit Worksheet'!A212</f>
        <v>530</v>
      </c>
      <c r="B161" s="210" t="str">
        <f>'Unit Data from Audit Worksheet'!C212</f>
        <v>Analysis of Current Tax Levy Schedule</v>
      </c>
      <c r="C161" s="196" t="str">
        <f>'Unit Data from Audit Worksheet'!D212</f>
        <v>Uncollected Taxes - Curr Year's Levy Exclude Motor Vehicles
Exclude supplemental taxes</v>
      </c>
      <c r="D161" s="214"/>
      <c r="E161" s="215">
        <f>'Unit Data from Audit Worksheet'!F212</f>
        <v>0</v>
      </c>
      <c r="F161" s="75" t="str">
        <f>IF(L161=0,"Must be completed if unit levys taxes","")</f>
        <v>Must be completed if unit levys taxes</v>
      </c>
      <c r="G161" s="211"/>
      <c r="H161" s="208"/>
      <c r="I161" s="32"/>
      <c r="J161" s="207">
        <v>530</v>
      </c>
      <c r="K161" s="296" t="s">
        <v>216</v>
      </c>
      <c r="L161" s="262">
        <f t="shared" ref="L161:L167" si="10">IF(D161="",E161,D161)</f>
        <v>0</v>
      </c>
      <c r="M161"/>
      <c r="N161" s="76"/>
      <c r="P161" s="187"/>
      <c r="Q161" s="253"/>
      <c r="R161" s="3"/>
      <c r="S161" s="3"/>
      <c r="T161" s="3"/>
      <c r="U161" s="3"/>
      <c r="V161" s="3"/>
      <c r="W161"/>
      <c r="X161"/>
      <c r="Y161"/>
      <c r="Z161"/>
      <c r="AA161"/>
      <c r="AB161"/>
    </row>
    <row r="162" spans="1:28" s="18" customFormat="1" ht="93" customHeight="1" x14ac:dyDescent="0.3">
      <c r="A162" s="197">
        <f>'Unit Data from Audit Worksheet'!A213</f>
        <v>531</v>
      </c>
      <c r="B162" s="210" t="str">
        <f>'Unit Data from Audit Worksheet'!C213</f>
        <v>Analysis of Current Tax Levy Schedule</v>
      </c>
      <c r="C162" s="196" t="str">
        <f>'Unit Data from Audit Worksheet'!D213</f>
        <v>Uncollected Taxes - Curr Year's Levy Motor Vehicles
Exclude supplemental taxes</v>
      </c>
      <c r="D162" s="214"/>
      <c r="E162" s="215">
        <f>'Unit Data from Audit Worksheet'!F213</f>
        <v>0</v>
      </c>
      <c r="F162" s="75" t="str">
        <f>IF(L162=0,"Must be completed if unit levys taxes","")</f>
        <v>Must be completed if unit levys taxes</v>
      </c>
      <c r="G162" s="211"/>
      <c r="H162" s="208"/>
      <c r="I162" s="32"/>
      <c r="J162" s="207">
        <v>531</v>
      </c>
      <c r="K162" s="296" t="s">
        <v>217</v>
      </c>
      <c r="L162" s="262">
        <f t="shared" si="10"/>
        <v>0</v>
      </c>
      <c r="M162"/>
      <c r="N162" s="76" t="str">
        <f>IF(T147=0,"Must be completed if unit levys taxes, zero acceptable if Motor Vehicle collection rate is 100%","")</f>
        <v>Must be completed if unit levys taxes, zero acceptable if Motor Vehicle collection rate is 100%</v>
      </c>
      <c r="P162" s="187"/>
      <c r="Q162" s="253"/>
      <c r="R162" s="3"/>
      <c r="S162" s="3"/>
      <c r="T162" s="3"/>
      <c r="U162" s="3"/>
      <c r="V162" s="3"/>
      <c r="W162"/>
      <c r="X162"/>
      <c r="Y162"/>
      <c r="Z162"/>
      <c r="AA162"/>
      <c r="AB162"/>
    </row>
    <row r="163" spans="1:28" ht="93" customHeight="1" x14ac:dyDescent="0.3">
      <c r="A163" s="197">
        <f>'Unit Data from Audit Worksheet'!A214</f>
        <v>61</v>
      </c>
      <c r="B163" s="210" t="str">
        <f>'Unit Data from Audit Worksheet'!C214</f>
        <v>Analysis of Current Tax Levy Schedule</v>
      </c>
      <c r="C163" s="196" t="str">
        <f>'Unit Data from Audit Worksheet'!D214</f>
        <v>Tax collection rate- Total Levy UNIT-WIDE
Exclude supplemental taxes
(Enter as a percentage with two decimal places)</v>
      </c>
      <c r="D163" s="82"/>
      <c r="E163" s="684">
        <f>'Unit Data from Audit Worksheet'!F214</f>
        <v>0</v>
      </c>
      <c r="F163" s="80" t="str">
        <f>IF(L163=H163,"","Column H calculates the percentage using accounts 528, 529, 530, 531, please enter the correct amounts from the audit schedule for these cells")</f>
        <v/>
      </c>
      <c r="G163" s="211"/>
      <c r="H163" s="675">
        <f>ROUND(IFERROR(((L159+L160)-(L161+L162))/(L159+L160)*100,0),2)</f>
        <v>0</v>
      </c>
      <c r="I163" s="32"/>
      <c r="J163" s="207">
        <v>61</v>
      </c>
      <c r="K163" s="52" t="s">
        <v>211</v>
      </c>
      <c r="L163" s="683">
        <f t="shared" si="10"/>
        <v>0</v>
      </c>
      <c r="N163" s="76"/>
      <c r="P163" s="187"/>
    </row>
    <row r="164" spans="1:28" ht="93" customHeight="1" x14ac:dyDescent="0.3">
      <c r="A164" s="197">
        <f>'Unit Data from Audit Worksheet'!A215</f>
        <v>102</v>
      </c>
      <c r="B164" s="210" t="str">
        <f>'Unit Data from Audit Worksheet'!C215</f>
        <v>Analysis of Current Tax Levy Schedule</v>
      </c>
      <c r="C164" s="196" t="str">
        <f>'Unit Data from Audit Worksheet'!D215</f>
        <v>Tax collection rate - Excluding Registered motor vehicles
Exclude supplemental taxes
(Enter as a percentage with two decimal places)</v>
      </c>
      <c r="D164" s="82"/>
      <c r="E164" s="684">
        <f>'Unit Data from Audit Worksheet'!F215</f>
        <v>0</v>
      </c>
      <c r="F164" s="80" t="str">
        <f>IF(L164=H164,"","Column H calculates the percentage using accounts 528 and 530,  please enter the correct amounts from the audit schedule for these cells")</f>
        <v/>
      </c>
      <c r="G164" s="211"/>
      <c r="H164" s="675">
        <f>ROUND(IFERROR(((L159)-(L161))/(L159)*100,0),2)</f>
        <v>0</v>
      </c>
      <c r="I164" s="32"/>
      <c r="J164" s="207">
        <v>102</v>
      </c>
      <c r="K164" s="52" t="s">
        <v>212</v>
      </c>
      <c r="L164" s="683">
        <f t="shared" si="10"/>
        <v>0</v>
      </c>
      <c r="N164" s="76"/>
      <c r="P164" s="187"/>
    </row>
    <row r="165" spans="1:28" ht="87.75" customHeight="1" x14ac:dyDescent="0.3">
      <c r="A165" s="197">
        <f>'Unit Data from Audit Worksheet'!A216</f>
        <v>103</v>
      </c>
      <c r="B165" s="210" t="str">
        <f>'Unit Data from Audit Worksheet'!C216</f>
        <v>Analysis of Current Tax Levy Schedule</v>
      </c>
      <c r="C165" s="196" t="str">
        <f>'Unit Data from Audit Worksheet'!D216</f>
        <v>Tax collection rate - Registered motor vehicles
Exclude supplemental taxes
(Enter as a percentage with two decimal places)</v>
      </c>
      <c r="D165" s="82"/>
      <c r="E165" s="684">
        <f>'Unit Data from Audit Worksheet'!F216</f>
        <v>0</v>
      </c>
      <c r="F165" s="80" t="str">
        <f>IF(L165=H165,"","Column H calculates the percentage using accounts 529 and 531, please enter the correct amounts from the audit schedule for these cells")</f>
        <v/>
      </c>
      <c r="G165" s="211"/>
      <c r="H165" s="675">
        <f>ROUND(IFERROR(((L160)-(L162))/(L160)*100,0),2)</f>
        <v>0</v>
      </c>
      <c r="I165" s="32"/>
      <c r="J165" s="207">
        <v>103</v>
      </c>
      <c r="K165" s="52" t="s">
        <v>213</v>
      </c>
      <c r="L165" s="683">
        <f t="shared" si="10"/>
        <v>0</v>
      </c>
      <c r="N165" s="76"/>
      <c r="P165" s="187"/>
    </row>
    <row r="166" spans="1:28" ht="99.6" customHeight="1" x14ac:dyDescent="0.3">
      <c r="A166" s="197">
        <f>'Unit Data from Audit Worksheet'!A217</f>
        <v>544</v>
      </c>
      <c r="B166" s="210" t="str">
        <f>'Unit Data from Audit Worksheet'!C217</f>
        <v>Analysis of Current Tax Levy Schedule</v>
      </c>
      <c r="C166" s="196" t="str">
        <f>'Unit Data from Audit Worksheet'!D217</f>
        <v>Property Tax Increase for Year Audited- enter amount of  increase in cents per $100 - leave blank if no increase 
Exclude supplemental taxes</v>
      </c>
      <c r="D166" s="214"/>
      <c r="E166" s="134">
        <f>'Unit Data from Audit Worksheet'!F217</f>
        <v>0</v>
      </c>
      <c r="F166" s="96"/>
      <c r="G166" s="211"/>
      <c r="H166" s="208"/>
      <c r="I166" s="32"/>
      <c r="J166" s="207">
        <v>544</v>
      </c>
      <c r="K166" s="52" t="s">
        <v>48</v>
      </c>
      <c r="L166" s="297">
        <f t="shared" si="10"/>
        <v>0</v>
      </c>
      <c r="N166" s="54" t="s">
        <v>254</v>
      </c>
      <c r="P166" s="187"/>
    </row>
    <row r="167" spans="1:28" ht="121.2" customHeight="1" x14ac:dyDescent="0.3">
      <c r="A167" s="197">
        <f>'Unit Data from Audit Worksheet'!A218</f>
        <v>545</v>
      </c>
      <c r="B167" s="210" t="str">
        <f>'Unit Data from Audit Worksheet'!C218</f>
        <v>Analysis of Current Tax Levy Schedule</v>
      </c>
      <c r="C167" s="196" t="str">
        <f>'Unit Data from Audit Worksheet'!D218</f>
        <v>Property Tax Increase for budget year after fiscal year being reported - enter amount of increase in cents per $100- leave blank if no increase
Exclude supplemental taxes</v>
      </c>
      <c r="D167" s="214"/>
      <c r="E167" s="134">
        <f>'Unit Data from Audit Worksheet'!F218</f>
        <v>0</v>
      </c>
      <c r="F167" s="209"/>
      <c r="G167" s="211"/>
      <c r="H167" s="208"/>
      <c r="I167" s="32"/>
      <c r="J167" s="97">
        <v>545</v>
      </c>
      <c r="K167" s="52" t="s">
        <v>49</v>
      </c>
      <c r="L167" s="297">
        <f t="shared" si="10"/>
        <v>0</v>
      </c>
      <c r="N167" s="54" t="s">
        <v>254</v>
      </c>
      <c r="O167" s="270"/>
      <c r="P167" s="187"/>
    </row>
    <row r="168" spans="1:28" ht="216.6" customHeight="1" x14ac:dyDescent="0.3">
      <c r="A168" s="197">
        <f>'Unit Data from Audit Worksheet'!A219</f>
        <v>991</v>
      </c>
      <c r="B168" s="210"/>
      <c r="C168" s="196" t="str">
        <f>'Unit Data from Audit Worksheet'!D219</f>
        <v>The Counties listed in cell H219 and municipalities within these counties are scheduled to revalue property listing by 1/1/2025 according to the Dept. of Revenue records.  Please indicate if you expect your revaluation to: 
Enter  "20" for increase, 
            "21" for decrease, 
            "22" for no change,
            "23" if this question is not applicable
Select from drop list.</v>
      </c>
      <c r="D168" s="214"/>
      <c r="E168" s="140">
        <f>'Unit Data from Audit Worksheet'!F219</f>
        <v>0</v>
      </c>
      <c r="F168" s="209"/>
      <c r="G168" s="211"/>
      <c r="H168" s="208" t="str">
        <f>'Unit Data from Audit Worksheet'!H219</f>
        <v>Beaufort, Buncombe, Caldwell, Carteret, Chatham, Cleveland, Cumberland, Dare, Davie, Duplin, Durham, Forsyth, Gates, Haywood, Jackson, Johnston, Lenior, Martin, New Hanover, Orange, Person, Polk, Stanly, Stokes, Surry, Transylvania, Tyrrell, Union, Warren, Wayne, Wilkes</v>
      </c>
      <c r="I168" s="32"/>
      <c r="J168" s="97">
        <v>991</v>
      </c>
      <c r="K168" s="52" t="s">
        <v>584</v>
      </c>
      <c r="L168" s="262">
        <f t="shared" ref="L168:L184" si="11">IF(D168="",E168,D168)</f>
        <v>0</v>
      </c>
      <c r="P168" s="187"/>
    </row>
    <row r="169" spans="1:28" ht="103.2" customHeight="1" x14ac:dyDescent="0.3">
      <c r="A169" s="197">
        <f>'Unit Data from Audit Worksheet'!A221</f>
        <v>620</v>
      </c>
      <c r="B169" s="210"/>
      <c r="C169" s="196" t="str">
        <f>'Unit Data from Audit Worksheet'!D221</f>
        <v>Do you expect to issue debt requiring LGC approval within 12 months from the date that the audit is submitted - select "1" for yes and "2" for no</v>
      </c>
      <c r="D169" s="214"/>
      <c r="E169" s="140">
        <f>'Unit Data from Audit Worksheet'!F221</f>
        <v>0</v>
      </c>
      <c r="F169" s="209"/>
      <c r="G169" s="211"/>
      <c r="H169" s="208">
        <f>'Unit Data from Audit Worksheet'!I221</f>
        <v>0</v>
      </c>
      <c r="I169" s="32"/>
      <c r="J169" s="97">
        <v>620</v>
      </c>
      <c r="K169" s="52" t="s">
        <v>415</v>
      </c>
      <c r="L169" s="262">
        <f t="shared" si="11"/>
        <v>0</v>
      </c>
      <c r="N169" s="124"/>
      <c r="P169" s="187"/>
    </row>
    <row r="170" spans="1:28" ht="87.75" customHeight="1" x14ac:dyDescent="0.3">
      <c r="A170" s="197">
        <f>'TD Info Completed by Auditor'!A11</f>
        <v>906</v>
      </c>
      <c r="B170" s="121" t="s">
        <v>412</v>
      </c>
      <c r="C170" s="197" t="str">
        <f>'TD Info Completed by Auditor'!B11</f>
        <v>Is the Independent Auditor's Report Opinion Unmodified?</v>
      </c>
      <c r="D170" s="214"/>
      <c r="E170" s="199">
        <f>IF(+'TD Info Completed by Auditor'!C11="Yes",1,IF(+'TD Info Completed by Auditor'!C11="No",2,IF(+'TD Info Completed by Auditor'!C11="N/A",3,0)))</f>
        <v>0</v>
      </c>
      <c r="F170" s="209"/>
      <c r="G170" s="211"/>
      <c r="H170" s="208"/>
      <c r="I170" s="32"/>
      <c r="J170" s="174">
        <v>906</v>
      </c>
      <c r="K170" s="52" t="s">
        <v>388</v>
      </c>
      <c r="L170" s="268">
        <f t="shared" si="11"/>
        <v>0</v>
      </c>
      <c r="N170" s="228" t="s">
        <v>444</v>
      </c>
      <c r="P170" s="183"/>
    </row>
    <row r="171" spans="1:28" ht="87.75" customHeight="1" x14ac:dyDescent="0.3">
      <c r="A171" s="197">
        <f>'TD Info Completed by Auditor'!A12</f>
        <v>907</v>
      </c>
      <c r="B171" s="121" t="s">
        <v>412</v>
      </c>
      <c r="C171" s="197" t="str">
        <f>'TD Info Completed by Auditor'!B12</f>
        <v xml:space="preserve">Is there a finding for lack of segregation of duties at this unit? </v>
      </c>
      <c r="D171" s="214"/>
      <c r="E171" s="199">
        <f>IF(+'TD Info Completed by Auditor'!C12="Yes",1,IF(+'TD Info Completed by Auditor'!C12="No",2,IF(+'TD Info Completed by Auditor'!C12="N/A",3,0)))</f>
        <v>0</v>
      </c>
      <c r="F171" s="209"/>
      <c r="G171" s="211"/>
      <c r="H171" s="208"/>
      <c r="I171" s="32"/>
      <c r="J171" s="174">
        <v>907</v>
      </c>
      <c r="K171" s="52" t="s">
        <v>389</v>
      </c>
      <c r="L171" s="268">
        <f t="shared" si="11"/>
        <v>0</v>
      </c>
      <c r="N171" s="228" t="s">
        <v>444</v>
      </c>
      <c r="P171" s="184"/>
    </row>
    <row r="172" spans="1:28" s="353" customFormat="1" ht="87.75" customHeight="1" x14ac:dyDescent="0.3">
      <c r="A172" s="197">
        <f>'TD Info Completed by Auditor'!A13</f>
        <v>1055</v>
      </c>
      <c r="B172" s="121"/>
      <c r="C172" s="197" t="str">
        <f>'TD Info Completed by Auditor'!B13</f>
        <v xml:space="preserve"> Did your audit disclose as a finding bank reconciliations or subsidiary ledger reconciliations not performed timely? (Yes or No)</v>
      </c>
      <c r="D172" s="214"/>
      <c r="E172" s="199">
        <f>IF(+'TD Info Completed by Auditor'!C13="Yes",1,IF(+'TD Info Completed by Auditor'!C13="No",2,IF(+'TD Info Completed by Auditor'!C13="N/A",3,0)))</f>
        <v>0</v>
      </c>
      <c r="F172" s="209"/>
      <c r="G172" s="211"/>
      <c r="H172" s="208"/>
      <c r="I172" s="32"/>
      <c r="J172" s="174">
        <v>1055</v>
      </c>
      <c r="K172" s="197" t="s">
        <v>1320</v>
      </c>
      <c r="L172" s="268">
        <f t="shared" si="11"/>
        <v>0</v>
      </c>
      <c r="M172"/>
      <c r="N172" s="535"/>
      <c r="P172" s="185"/>
      <c r="Q172" s="253"/>
      <c r="W172"/>
      <c r="X172"/>
      <c r="Y172"/>
      <c r="Z172"/>
      <c r="AA172"/>
      <c r="AB172"/>
    </row>
    <row r="173" spans="1:28" s="353" customFormat="1" ht="87.75" customHeight="1" x14ac:dyDescent="0.3">
      <c r="A173" s="197">
        <f>'TD Info Completed by Auditor'!A14</f>
        <v>1056</v>
      </c>
      <c r="B173" s="121"/>
      <c r="C173" s="197" t="str">
        <f>'TD Info Completed by Auditor'!B14</f>
        <v>Did your audit disclose as a finding that the unit’s records were not completed by the agreed upon time? (Yes or No)</v>
      </c>
      <c r="D173" s="214"/>
      <c r="E173" s="199">
        <f>IF(+'TD Info Completed by Auditor'!C14="Yes",1,IF(+'TD Info Completed by Auditor'!C14="No",2,IF(+'TD Info Completed by Auditor'!C14="N/A",3,0)))</f>
        <v>0</v>
      </c>
      <c r="F173" s="209"/>
      <c r="G173" s="211"/>
      <c r="H173" s="208"/>
      <c r="I173" s="32"/>
      <c r="J173" s="174">
        <v>1056</v>
      </c>
      <c r="K173" s="197" t="s">
        <v>1319</v>
      </c>
      <c r="L173" s="268">
        <f t="shared" si="11"/>
        <v>0</v>
      </c>
      <c r="M173"/>
      <c r="N173" s="535"/>
      <c r="P173" s="185"/>
      <c r="Q173" s="253"/>
      <c r="W173"/>
      <c r="X173"/>
      <c r="Y173"/>
      <c r="Z173"/>
      <c r="AA173"/>
      <c r="AB173"/>
    </row>
    <row r="174" spans="1:28" s="353" customFormat="1" ht="87.75" customHeight="1" x14ac:dyDescent="0.3">
      <c r="A174" s="197">
        <f>'TD Info Completed by Auditor'!A15</f>
        <v>1057</v>
      </c>
      <c r="B174" s="121"/>
      <c r="C174" s="197" t="str">
        <f>'TD Info Completed by Auditor'!B15</f>
        <v>Did your audit disclose any budget violations at the adopted ordinance level? (Yes or No)</v>
      </c>
      <c r="D174" s="214"/>
      <c r="E174" s="199">
        <f>IF(+'TD Info Completed by Auditor'!C15="Yes",1,IF(+'TD Info Completed by Auditor'!C15="No",2,IF(+'TD Info Completed by Auditor'!C15="N/A",3,0)))</f>
        <v>0</v>
      </c>
      <c r="F174" s="209"/>
      <c r="G174" s="211"/>
      <c r="H174" s="208"/>
      <c r="I174" s="32"/>
      <c r="J174" s="174">
        <v>1057</v>
      </c>
      <c r="K174" s="799" t="s">
        <v>1678</v>
      </c>
      <c r="L174" s="268">
        <f t="shared" si="11"/>
        <v>0</v>
      </c>
      <c r="M174"/>
      <c r="N174" s="535"/>
      <c r="P174" s="185"/>
      <c r="Q174" s="253"/>
      <c r="W174"/>
      <c r="X174"/>
      <c r="Y174"/>
      <c r="Z174"/>
      <c r="AA174"/>
      <c r="AB174"/>
    </row>
    <row r="175" spans="1:28" s="353" customFormat="1" ht="102.6" customHeight="1" x14ac:dyDescent="0.3">
      <c r="A175" s="197">
        <f>'TD Info Completed by Auditor'!A16</f>
        <v>1058</v>
      </c>
      <c r="B175" s="121"/>
      <c r="C175" s="197" t="str">
        <f>'TD Info Completed by Auditor'!B16</f>
        <v>Did your audit disclose as a finding any statutory violations? (not including budget violations) (Yes or No) If the answer  is "Yes", review whether this needs to be disclosed in the Stewardship, Compliance and Accountability Note</v>
      </c>
      <c r="D175" s="214"/>
      <c r="E175" s="199">
        <f>IF(+'TD Info Completed by Auditor'!C16="Yes",1,IF(+'TD Info Completed by Auditor'!C16="No",2,IF(+'TD Info Completed by Auditor'!C16="N/A",3,0)))</f>
        <v>0</v>
      </c>
      <c r="F175" s="209"/>
      <c r="G175" s="211"/>
      <c r="H175" s="208"/>
      <c r="I175" s="32"/>
      <c r="J175" s="174">
        <v>1058</v>
      </c>
      <c r="K175" s="172" t="s">
        <v>1318</v>
      </c>
      <c r="L175" s="268">
        <f t="shared" si="11"/>
        <v>0</v>
      </c>
      <c r="M175"/>
      <c r="N175" s="535"/>
      <c r="P175" s="185"/>
      <c r="Q175" s="253"/>
      <c r="W175"/>
      <c r="X175"/>
      <c r="Y175"/>
      <c r="Z175"/>
      <c r="AA175"/>
      <c r="AB175"/>
    </row>
    <row r="176" spans="1:28" s="353" customFormat="1" ht="148.80000000000001" customHeight="1" x14ac:dyDescent="0.3">
      <c r="A176" s="197">
        <f>'TD Info Completed by Auditor'!A17</f>
        <v>1059</v>
      </c>
      <c r="B176" s="121"/>
      <c r="C176" s="197" t="str">
        <f>'TD Info Completed by Auditor'!B17</f>
        <v xml:space="preserve"> 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v>
      </c>
      <c r="D176" s="214"/>
      <c r="E176" s="199">
        <f>IF(+'TD Info Completed by Auditor'!C17="Yes",1,IF(+'TD Info Completed by Auditor'!C17="No",2,IF(+'TD Info Completed by Auditor'!C17="N/A",3,0)))</f>
        <v>0</v>
      </c>
      <c r="F176" s="209"/>
      <c r="G176" s="211"/>
      <c r="H176" s="208"/>
      <c r="I176" s="32"/>
      <c r="J176" s="174">
        <v>1059</v>
      </c>
      <c r="K176" s="799" t="s">
        <v>1714</v>
      </c>
      <c r="L176" s="268">
        <f t="shared" si="11"/>
        <v>0</v>
      </c>
      <c r="M176"/>
      <c r="N176" s="535"/>
      <c r="P176" s="185"/>
      <c r="Q176" s="253"/>
      <c r="W176"/>
      <c r="X176"/>
      <c r="Y176"/>
      <c r="Z176"/>
      <c r="AA176"/>
      <c r="AB176"/>
    </row>
    <row r="177" spans="1:28" s="353" customFormat="1" ht="147.6" customHeight="1" x14ac:dyDescent="0.3">
      <c r="A177" s="277">
        <f>'TD Info Completed by Auditor'!A18</f>
        <v>1078</v>
      </c>
      <c r="B177" s="195"/>
      <c r="C177" s="277" t="str">
        <f>'TD Info Completed by Auditor'!B18</f>
        <v>If the answer to 1059 is "No,"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v>
      </c>
      <c r="D177" s="214"/>
      <c r="E177" s="199">
        <f>IF(+'TD Info Completed by Auditor'!C18="Yes",1,IF(+'TD Info Completed by Auditor'!C18="No",2,IF(+'TD Info Completed by Auditor'!C18="N/A",3,0)))</f>
        <v>0</v>
      </c>
      <c r="F177" s="209"/>
      <c r="G177" s="211"/>
      <c r="H177" s="208"/>
      <c r="I177" s="32"/>
      <c r="J177" s="820">
        <v>1078</v>
      </c>
      <c r="K177" s="815" t="s">
        <v>1679</v>
      </c>
      <c r="L177" s="268">
        <f t="shared" si="11"/>
        <v>0</v>
      </c>
      <c r="M177" s="173"/>
      <c r="N177" s="535"/>
      <c r="P177" s="185"/>
      <c r="Q177" s="253"/>
      <c r="W177" s="173"/>
      <c r="X177" s="173"/>
      <c r="Y177" s="173"/>
      <c r="Z177" s="173"/>
      <c r="AA177" s="173"/>
      <c r="AB177" s="173"/>
    </row>
    <row r="178" spans="1:28" s="353" customFormat="1" ht="136.19999999999999" customHeight="1" x14ac:dyDescent="0.3">
      <c r="A178" s="277">
        <f>'TD Info Completed by Auditor'!A19</f>
        <v>1067</v>
      </c>
      <c r="B178" s="195"/>
      <c r="C178" s="277" t="str">
        <f>'TD Info Completed by Auditor'!B19</f>
        <v>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v>
      </c>
      <c r="D178" s="214"/>
      <c r="E178" s="199">
        <f>IF(+'TD Info Completed by Auditor'!C19="Yes",1,IF(+'TD Info Completed by Auditor'!C19="No",2,IF(+'TD Info Completed by Auditor'!C19="N/A",3,0)))</f>
        <v>0</v>
      </c>
      <c r="F178" s="209"/>
      <c r="G178" s="211"/>
      <c r="H178" s="208"/>
      <c r="I178" s="32"/>
      <c r="J178" s="820">
        <v>1067</v>
      </c>
      <c r="K178" s="815" t="s">
        <v>1680</v>
      </c>
      <c r="L178" s="268">
        <f t="shared" si="11"/>
        <v>0</v>
      </c>
      <c r="M178" s="173"/>
      <c r="N178" s="535"/>
      <c r="P178" s="185"/>
      <c r="Q178" s="253"/>
      <c r="W178" s="173"/>
      <c r="X178" s="173"/>
      <c r="Y178" s="173"/>
      <c r="Z178" s="173"/>
      <c r="AA178" s="173"/>
      <c r="AB178" s="173"/>
    </row>
    <row r="179" spans="1:28" s="353" customFormat="1" ht="87.75" customHeight="1" x14ac:dyDescent="0.3">
      <c r="A179" s="197">
        <f>'TD Info Completed by Auditor'!A20</f>
        <v>951</v>
      </c>
      <c r="B179" s="121" t="s">
        <v>412</v>
      </c>
      <c r="C179" s="197" t="str">
        <f>'TD Info Completed by Auditor'!B20</f>
        <v>Is there a finding for lack of technical skills, knowledge and experience (SKE) at this unit?</v>
      </c>
      <c r="D179" s="214"/>
      <c r="E179" s="199">
        <f>IF(+'TD Info Completed by Auditor'!C20="Yes",1,IF(+'TD Info Completed by Auditor'!C20="No",2,IF(+'TD Info Completed by Auditor'!C20="N/A",3,0)))</f>
        <v>0</v>
      </c>
      <c r="F179" s="209"/>
      <c r="G179" s="211"/>
      <c r="H179" s="208"/>
      <c r="I179" s="32"/>
      <c r="J179" s="174">
        <v>951</v>
      </c>
      <c r="K179" s="52" t="s">
        <v>390</v>
      </c>
      <c r="L179" s="268">
        <f>IF(D179="",E179,D179)</f>
        <v>0</v>
      </c>
      <c r="M179"/>
      <c r="N179" s="535"/>
      <c r="P179" s="185"/>
      <c r="Q179" s="253"/>
      <c r="W179"/>
      <c r="X179"/>
      <c r="Y179"/>
      <c r="Z179"/>
      <c r="AA179"/>
      <c r="AB179"/>
    </row>
    <row r="180" spans="1:28" ht="87.75" customHeight="1" x14ac:dyDescent="0.3">
      <c r="A180" s="197">
        <f>'TD Info Completed by Auditor'!A21</f>
        <v>953</v>
      </c>
      <c r="B180" s="121" t="s">
        <v>412</v>
      </c>
      <c r="C180" s="197" t="str">
        <f>'TD Info Completed by Auditor'!B21</f>
        <v xml:space="preserve">Is there is a going concern noted in the audit report? </v>
      </c>
      <c r="D180" s="214"/>
      <c r="E180" s="199">
        <f>IF(+'TD Info Completed by Auditor'!C21="Yes",1,IF(+'TD Info Completed by Auditor'!C21="No",2,IF(+'TD Info Completed by Auditor'!C21="N/A",3,0)))</f>
        <v>0</v>
      </c>
      <c r="F180" s="209"/>
      <c r="G180" s="211"/>
      <c r="H180" s="208"/>
      <c r="I180" s="32"/>
      <c r="J180" s="174">
        <v>953</v>
      </c>
      <c r="K180" s="848" t="s">
        <v>1681</v>
      </c>
      <c r="L180" s="268">
        <f t="shared" si="11"/>
        <v>0</v>
      </c>
      <c r="N180" s="228" t="s">
        <v>444</v>
      </c>
      <c r="P180" s="185"/>
    </row>
    <row r="181" spans="1:28" ht="87.75" customHeight="1" x14ac:dyDescent="0.3">
      <c r="A181" s="197">
        <f>'TD Info Completed by Auditor'!A22</f>
        <v>955</v>
      </c>
      <c r="B181" s="121" t="s">
        <v>412</v>
      </c>
      <c r="C181" s="197" t="str">
        <f>'TD Info Completed by Auditor'!B22</f>
        <v>Number of significant deficiency findings (financial statement findings only)
Exclude finding reported in questions 907, 951</v>
      </c>
      <c r="D181" s="214"/>
      <c r="E181" s="199">
        <f>'TD Info Completed by Auditor'!C22</f>
        <v>0</v>
      </c>
      <c r="F181" s="209"/>
      <c r="G181" s="211"/>
      <c r="H181" s="208"/>
      <c r="I181" s="32"/>
      <c r="J181" s="174">
        <v>955</v>
      </c>
      <c r="K181" s="197" t="s">
        <v>787</v>
      </c>
      <c r="L181" s="268">
        <f t="shared" si="11"/>
        <v>0</v>
      </c>
      <c r="N181" s="228" t="s">
        <v>444</v>
      </c>
      <c r="P181" s="185"/>
    </row>
    <row r="182" spans="1:28" ht="87.75" customHeight="1" x14ac:dyDescent="0.3">
      <c r="A182" s="197">
        <f>'TD Info Completed by Auditor'!A23</f>
        <v>957</v>
      </c>
      <c r="B182" s="121" t="s">
        <v>412</v>
      </c>
      <c r="C182" s="197" t="str">
        <f>'TD Info Completed by Auditor'!B23</f>
        <v>Number of material weaknesses findings (financial statements findings only)
Exclude findings reported in questions 907, 951</v>
      </c>
      <c r="D182" s="214"/>
      <c r="E182" s="199">
        <f>'TD Info Completed by Auditor'!C23</f>
        <v>0</v>
      </c>
      <c r="F182" s="209"/>
      <c r="G182" s="211"/>
      <c r="H182" s="208"/>
      <c r="I182" s="32"/>
      <c r="J182" s="174">
        <v>957</v>
      </c>
      <c r="K182" s="52" t="s">
        <v>788</v>
      </c>
      <c r="L182" s="268">
        <f t="shared" si="11"/>
        <v>0</v>
      </c>
      <c r="N182" s="228" t="s">
        <v>444</v>
      </c>
      <c r="P182" s="185"/>
    </row>
    <row r="183" spans="1:28" ht="192" customHeight="1" x14ac:dyDescent="0.3">
      <c r="A183" s="197">
        <f>'TD Info Completed by Auditor'!A24</f>
        <v>973</v>
      </c>
      <c r="B183" s="121" t="s">
        <v>412</v>
      </c>
      <c r="C183" s="197" t="str">
        <f>'TD Info Completed by Auditor'!B24</f>
        <v>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v>
      </c>
      <c r="D183" s="214"/>
      <c r="E183" s="199">
        <f>'TD Info Completed by Auditor'!C24</f>
        <v>0</v>
      </c>
      <c r="F183" s="209"/>
      <c r="G183" s="211"/>
      <c r="H183" s="208"/>
      <c r="I183" s="32"/>
      <c r="J183" s="174">
        <v>973</v>
      </c>
      <c r="K183" s="52" t="s">
        <v>1280</v>
      </c>
      <c r="L183" s="268">
        <f>IF(D183="",E183,D183)</f>
        <v>0</v>
      </c>
      <c r="N183" s="228" t="s">
        <v>444</v>
      </c>
      <c r="P183" s="189"/>
    </row>
    <row r="184" spans="1:28" ht="126" customHeight="1" x14ac:dyDescent="0.3">
      <c r="A184" s="197">
        <f>'TD Info Completed by Auditor'!A25</f>
        <v>959</v>
      </c>
      <c r="B184" s="121" t="s">
        <v>412</v>
      </c>
      <c r="C184" s="197" t="str">
        <f>'TD Info Completed by Auditor'!B25</f>
        <v>Did the Unit have debt service payments deferred or restructured in this fiscal year? (does not include refinancings designed to take advantage of lower interest rates)  Select Yes, No, or NA</v>
      </c>
      <c r="D184" s="214"/>
      <c r="E184" s="199">
        <f>IF(+'TD Info Completed by Auditor'!C25="Yes",1,IF(+'TD Info Completed by Auditor'!C25="No",2,IF(+'TD Info Completed by Auditor'!C25="N/A",3,0)))</f>
        <v>0</v>
      </c>
      <c r="F184" s="209"/>
      <c r="G184" s="211"/>
      <c r="H184" s="208"/>
      <c r="I184" s="32"/>
      <c r="J184" s="174">
        <v>959</v>
      </c>
      <c r="K184" s="52" t="s">
        <v>446</v>
      </c>
      <c r="L184" s="268">
        <f t="shared" si="11"/>
        <v>0</v>
      </c>
      <c r="N184" s="228" t="s">
        <v>444</v>
      </c>
      <c r="P184" s="185"/>
    </row>
    <row r="185" spans="1:28" s="353" customFormat="1" ht="157.19999999999999" customHeight="1" x14ac:dyDescent="0.3">
      <c r="A185" s="197">
        <f>'TD Info Completed by Auditor'!A26</f>
        <v>974</v>
      </c>
      <c r="B185" s="121" t="s">
        <v>412</v>
      </c>
      <c r="C185" s="197" t="str">
        <f>'TD Info Completed by Auditor'!B26</f>
        <v>Did the Unit have any of the following occur:
1.  Bond covenants were not met
2.  Debt service payments made late?  Deferred payments authorized by LGC or other state
     agencies should not be counted as late for purposes of this question.</v>
      </c>
      <c r="D185" s="214"/>
      <c r="E185" s="199">
        <f>IF(+'TD Info Completed by Auditor'!C26="Yes",1,IF(+'TD Info Completed by Auditor'!C26="No",2,IF(+'TD Info Completed by Auditor'!C26="N/A",3,0)))</f>
        <v>0</v>
      </c>
      <c r="F185" s="209"/>
      <c r="G185" s="211"/>
      <c r="H185" s="208"/>
      <c r="I185" s="32"/>
      <c r="J185" s="174">
        <v>974</v>
      </c>
      <c r="K185" s="52" t="s">
        <v>561</v>
      </c>
      <c r="L185" s="268">
        <f t="shared" ref="L185" si="12">IF(D185="",E185,D185)</f>
        <v>0</v>
      </c>
      <c r="M185"/>
      <c r="N185" s="228" t="s">
        <v>444</v>
      </c>
      <c r="P185" s="189"/>
      <c r="Q185" s="253"/>
      <c r="W185"/>
      <c r="X185"/>
      <c r="Y185"/>
      <c r="Z185"/>
      <c r="AA185"/>
      <c r="AB185"/>
    </row>
    <row r="186" spans="1:28" ht="105" customHeight="1" x14ac:dyDescent="0.3">
      <c r="A186" s="197">
        <f>'TD Info Completed by Auditor'!A33</f>
        <v>975</v>
      </c>
      <c r="B186" s="121" t="s">
        <v>412</v>
      </c>
      <c r="C186" s="196" t="str">
        <f>'TD Info Completed by Auditor'!B33</f>
        <v>Does the Performance Indicator Print worksheet in this workbook have a red shaded cell?</v>
      </c>
      <c r="D186" s="214"/>
      <c r="E186" s="199">
        <f>IF(+'TD Info Completed by Auditor'!C33="Yes",1,IF(+'TD Info Completed by Auditor'!C33="No",2,IF(+'TD Info Completed by Auditor'!C33="N/A",3,0)))</f>
        <v>0</v>
      </c>
      <c r="F186" s="209"/>
      <c r="G186" s="211"/>
      <c r="H186" s="208"/>
      <c r="I186" s="32"/>
      <c r="J186" s="174">
        <v>975</v>
      </c>
      <c r="K186" s="848" t="s">
        <v>1682</v>
      </c>
      <c r="L186" s="268">
        <f>IF(D186="",E186,D186)</f>
        <v>0</v>
      </c>
      <c r="N186" s="228" t="s">
        <v>444</v>
      </c>
      <c r="P186" s="189"/>
      <c r="Q186" s="290"/>
    </row>
    <row r="187" spans="1:28" s="353" customFormat="1" ht="105" customHeight="1" x14ac:dyDescent="0.3">
      <c r="A187" s="277">
        <f>'TD Info Completed by Auditor'!A35</f>
        <v>1068</v>
      </c>
      <c r="B187" s="195"/>
      <c r="C187" s="277" t="str">
        <f>'TD Info Completed by Auditor'!B35</f>
        <v xml:space="preserve">Does the unit have a self-insurance fund? </v>
      </c>
      <c r="D187" s="214"/>
      <c r="E187" s="822">
        <f>IF(+'TD Info Completed by Auditor'!C35="Yes",1,IF(+'TD Info Completed by Auditor'!C35="No",2,IF(+'TD Info Completed by Auditor'!C35="N/A",3,0)))</f>
        <v>0</v>
      </c>
      <c r="F187" s="209"/>
      <c r="G187" s="211"/>
      <c r="H187" s="208"/>
      <c r="I187" s="32"/>
      <c r="J187" s="821">
        <v>1068</v>
      </c>
      <c r="K187" s="815" t="s">
        <v>1683</v>
      </c>
      <c r="L187" s="268">
        <f>IF(D187="",E187,D187)</f>
        <v>0</v>
      </c>
      <c r="M187" s="173"/>
      <c r="N187" s="228"/>
      <c r="P187" s="189"/>
      <c r="Q187" s="290"/>
      <c r="W187" s="173"/>
      <c r="X187" s="173"/>
      <c r="Y187" s="173"/>
      <c r="Z187" s="173"/>
      <c r="AA187" s="173"/>
      <c r="AB187" s="173"/>
    </row>
    <row r="188" spans="1:28" s="353" customFormat="1" ht="105" customHeight="1" x14ac:dyDescent="0.3">
      <c r="A188" s="277">
        <f>'TD Info Completed by Auditor'!A36</f>
        <v>1069</v>
      </c>
      <c r="B188" s="195"/>
      <c r="C188" s="277" t="str">
        <f>'TD Info Completed by Auditor'!B36</f>
        <v>If the unit is self-insured for employee health care, does the unit use a qualified consultant to establish rates and appropriate reserve levels?</v>
      </c>
      <c r="D188" s="214"/>
      <c r="E188" s="822">
        <f>IF(+'TD Info Completed by Auditor'!C36="Yes",1,IF(+'TD Info Completed by Auditor'!C36="No",2,IF(+'TD Info Completed by Auditor'!C36="N/A",3,0)))</f>
        <v>0</v>
      </c>
      <c r="F188" s="209"/>
      <c r="G188" s="211"/>
      <c r="H188" s="208"/>
      <c r="I188" s="32"/>
      <c r="J188" s="821">
        <v>1069</v>
      </c>
      <c r="K188" s="629" t="s">
        <v>1684</v>
      </c>
      <c r="L188" s="268">
        <f t="shared" ref="L188:L190" si="13">IF(D188="",E188,D188)</f>
        <v>0</v>
      </c>
      <c r="M188" s="173"/>
      <c r="N188" s="228"/>
      <c r="P188" s="189"/>
      <c r="Q188" s="290"/>
      <c r="W188" s="173"/>
      <c r="X188" s="173"/>
      <c r="Y188" s="173"/>
      <c r="Z188" s="173"/>
      <c r="AA188" s="173"/>
      <c r="AB188" s="173"/>
    </row>
    <row r="189" spans="1:28" s="353" customFormat="1" ht="105" customHeight="1" x14ac:dyDescent="0.3">
      <c r="A189" s="277">
        <f>'TD Info Completed by Auditor'!A37</f>
        <v>1070</v>
      </c>
      <c r="B189" s="195"/>
      <c r="C189" s="277" t="str">
        <f>'TD Info Completed by Auditor'!B37</f>
        <v>Does the Unit have a non-state administered pension plan?
(Note - OPEB is not a pension plan.)</v>
      </c>
      <c r="D189" s="214"/>
      <c r="E189" s="822">
        <f>IF(+'TD Info Completed by Auditor'!C37="Yes",1,IF(+'TD Info Completed by Auditor'!C37="No",2,IF(+'TD Info Completed by Auditor'!C37="N/A",3,0)))</f>
        <v>0</v>
      </c>
      <c r="F189" s="209"/>
      <c r="G189" s="211"/>
      <c r="H189" s="208"/>
      <c r="I189" s="32"/>
      <c r="J189" s="821">
        <v>1070</v>
      </c>
      <c r="K189" s="815" t="s">
        <v>1709</v>
      </c>
      <c r="L189" s="268">
        <f t="shared" si="13"/>
        <v>0</v>
      </c>
      <c r="M189" s="173"/>
      <c r="N189" s="228"/>
      <c r="P189" s="189"/>
      <c r="Q189" s="290"/>
      <c r="W189" s="173"/>
      <c r="X189" s="173"/>
      <c r="Y189" s="173"/>
      <c r="Z189" s="173"/>
      <c r="AA189" s="173"/>
      <c r="AB189" s="173"/>
    </row>
    <row r="190" spans="1:28" s="353" customFormat="1" ht="105" customHeight="1" x14ac:dyDescent="0.3">
      <c r="A190" s="277">
        <f>'TD Info Completed by Auditor'!A38</f>
        <v>1071</v>
      </c>
      <c r="B190" s="195"/>
      <c r="C190" s="277" t="str">
        <f>'TD Info Completed by Auditor'!B38</f>
        <v>Please list the amount of ARPA funds expended in total this fiscal year for non-capital purposes.  Enter "0" if no ARPA funds expended for this fiscal year for non-capital purposes.</v>
      </c>
      <c r="D190" s="214"/>
      <c r="E190" s="849">
        <f>'TD Info Completed by Auditor'!C38</f>
        <v>0</v>
      </c>
      <c r="F190" s="209"/>
      <c r="G190" s="211"/>
      <c r="H190" s="208"/>
      <c r="I190" s="32"/>
      <c r="J190" s="821">
        <v>1071</v>
      </c>
      <c r="K190" s="815" t="s">
        <v>1685</v>
      </c>
      <c r="L190" s="268">
        <f t="shared" si="13"/>
        <v>0</v>
      </c>
      <c r="M190" s="173"/>
      <c r="N190" s="228"/>
      <c r="P190" s="189"/>
      <c r="Q190" s="290"/>
      <c r="W190" s="173"/>
      <c r="X190" s="173"/>
      <c r="Y190" s="173"/>
      <c r="Z190" s="173"/>
      <c r="AA190" s="173"/>
      <c r="AB190" s="173"/>
    </row>
    <row r="191" spans="1:28" ht="109.95" customHeight="1" x14ac:dyDescent="0.3">
      <c r="A191" s="298">
        <v>336</v>
      </c>
      <c r="B191" s="220"/>
      <c r="C191" s="220" t="s">
        <v>451</v>
      </c>
      <c r="D191" s="299" t="s">
        <v>428</v>
      </c>
      <c r="E191" s="300" t="s">
        <v>429</v>
      </c>
      <c r="F191" s="221" t="s">
        <v>729</v>
      </c>
      <c r="G191" s="211"/>
      <c r="H191" s="208"/>
      <c r="I191" s="32"/>
      <c r="J191" s="222">
        <v>336</v>
      </c>
      <c r="K191" s="301" t="s">
        <v>432</v>
      </c>
      <c r="L191" s="302">
        <f>L10-L11-L12-L13-L14-L15-L16</f>
        <v>0</v>
      </c>
      <c r="N191" s="229" t="s">
        <v>430</v>
      </c>
      <c r="P191" s="189"/>
      <c r="Q191" s="290"/>
    </row>
    <row r="192" spans="1:28" ht="129" customHeight="1" x14ac:dyDescent="0.3">
      <c r="A192" s="298">
        <v>44</v>
      </c>
      <c r="B192" s="220"/>
      <c r="C192" s="220" t="s">
        <v>452</v>
      </c>
      <c r="D192" s="299" t="s">
        <v>424</v>
      </c>
      <c r="E192" s="303" t="s">
        <v>425</v>
      </c>
      <c r="F192" s="221" t="s">
        <v>730</v>
      </c>
      <c r="G192" s="211"/>
      <c r="H192" s="208"/>
      <c r="I192" s="32"/>
      <c r="J192" s="222">
        <v>44</v>
      </c>
      <c r="K192" s="301" t="s">
        <v>433</v>
      </c>
      <c r="L192" s="302">
        <f>L79-L80-L77</f>
        <v>0</v>
      </c>
      <c r="N192" s="229" t="s">
        <v>431</v>
      </c>
      <c r="P192" s="189"/>
      <c r="Q192" s="290"/>
    </row>
    <row r="193" spans="1:28" ht="169.5" customHeight="1" x14ac:dyDescent="0.3">
      <c r="A193" s="298">
        <v>45</v>
      </c>
      <c r="B193" s="220"/>
      <c r="C193" s="304" t="s">
        <v>453</v>
      </c>
      <c r="D193" s="299" t="s">
        <v>426</v>
      </c>
      <c r="E193" s="300" t="s">
        <v>427</v>
      </c>
      <c r="F193" s="221" t="s">
        <v>729</v>
      </c>
      <c r="G193" s="211"/>
      <c r="H193" s="208"/>
      <c r="I193" s="32"/>
      <c r="J193" s="222">
        <v>45</v>
      </c>
      <c r="K193" s="301" t="s">
        <v>434</v>
      </c>
      <c r="L193" s="302">
        <f>L83-L84-L85-L86-L87-L88-L82</f>
        <v>0</v>
      </c>
      <c r="N193" s="229" t="s">
        <v>439</v>
      </c>
      <c r="P193" s="189"/>
      <c r="Q193" s="290"/>
    </row>
    <row r="194" spans="1:28" ht="113.4" customHeight="1" x14ac:dyDescent="0.3">
      <c r="A194" s="305"/>
      <c r="B194" s="90"/>
      <c r="C194" s="306"/>
      <c r="D194" s="125"/>
      <c r="E194" s="133"/>
      <c r="F194" s="59"/>
      <c r="G194" s="127"/>
      <c r="H194" s="128"/>
      <c r="I194" s="32"/>
      <c r="J194" s="223">
        <v>998</v>
      </c>
      <c r="K194" s="224" t="s">
        <v>233</v>
      </c>
      <c r="L194" s="307" t="e">
        <f>VLOOKUP('Unit Data from Audit Worksheet'!D2,'Unit Names(H)'!$A$2:$C$102,3,FALSE)</f>
        <v>#N/A</v>
      </c>
      <c r="N194" s="229" t="s">
        <v>435</v>
      </c>
      <c r="P194" s="189"/>
      <c r="Q194" s="290"/>
    </row>
    <row r="195" spans="1:28" ht="119.4" customHeight="1" x14ac:dyDescent="0.3">
      <c r="A195" s="305"/>
      <c r="B195" s="90"/>
      <c r="C195" s="306"/>
      <c r="D195" s="308"/>
      <c r="E195" s="309"/>
      <c r="F195" s="310"/>
      <c r="G195" s="311"/>
      <c r="H195" s="312"/>
      <c r="I195" s="32"/>
      <c r="J195" s="225">
        <v>995</v>
      </c>
      <c r="K195" s="226" t="s">
        <v>231</v>
      </c>
      <c r="L195" s="685" t="e">
        <f>INDEX('PY1 Data(H)'!$A$1:$CZ$234,MATCH('PY1 Data(H)'!$A189,'PY1 Data(H)'!$A$1:$A$234,0),MATCH('Unit Data from Audit Worksheet'!$D$2,'PY1 Data(H)'!$A$1:$CZ$1,0))</f>
        <v>#N/A</v>
      </c>
      <c r="N195" s="229" t="s">
        <v>440</v>
      </c>
      <c r="P195" s="189"/>
      <c r="Q195" s="290"/>
    </row>
    <row r="196" spans="1:28" ht="104.4" customHeight="1" x14ac:dyDescent="0.3">
      <c r="A196" s="305"/>
      <c r="B196" s="90"/>
      <c r="C196" s="306"/>
      <c r="D196" s="308"/>
      <c r="E196" s="309"/>
      <c r="F196" s="310"/>
      <c r="G196" s="311"/>
      <c r="H196" s="312"/>
      <c r="I196" s="32"/>
      <c r="J196" s="225">
        <v>996</v>
      </c>
      <c r="K196" s="226" t="s">
        <v>232</v>
      </c>
      <c r="L196" s="685" t="e">
        <f>INDEX('PY1 Data(H)'!$A$1:$CZ$234,MATCH('PY1 Data(H)'!$A190,'PY1 Data(H)'!$A$1:$A$234,0),MATCH('Unit Data from Audit Worksheet'!$D$2,'PY1 Data(H)'!$A$1:$CZ$1,0))</f>
        <v>#N/A</v>
      </c>
      <c r="N196" s="229" t="s">
        <v>441</v>
      </c>
      <c r="P196" s="189"/>
      <c r="Q196" s="290"/>
    </row>
    <row r="197" spans="1:28" ht="57.6" customHeight="1" x14ac:dyDescent="0.3">
      <c r="A197" s="305"/>
      <c r="B197" s="90"/>
      <c r="C197" s="306"/>
      <c r="D197" s="308"/>
      <c r="E197" s="309"/>
      <c r="F197" s="310"/>
      <c r="G197" s="311"/>
      <c r="H197" s="313"/>
      <c r="I197" s="32"/>
      <c r="J197" s="151">
        <v>554</v>
      </c>
      <c r="K197" s="314" t="s">
        <v>269</v>
      </c>
      <c r="L197" s="285"/>
      <c r="N197" s="315"/>
      <c r="P197" s="189"/>
      <c r="Q197" s="290"/>
    </row>
    <row r="198" spans="1:28" ht="54.6" customHeight="1" x14ac:dyDescent="0.3">
      <c r="A198" s="305"/>
      <c r="B198" s="90"/>
      <c r="C198" s="306"/>
      <c r="D198" s="308"/>
      <c r="E198" s="309"/>
      <c r="F198" s="310"/>
      <c r="G198" s="311"/>
      <c r="H198" s="313"/>
      <c r="I198" s="32"/>
      <c r="J198" s="151">
        <v>555</v>
      </c>
      <c r="K198" s="314" t="s">
        <v>270</v>
      </c>
      <c r="L198" s="285"/>
      <c r="N198" s="315"/>
      <c r="P198" s="189"/>
      <c r="Q198" s="290"/>
    </row>
    <row r="199" spans="1:28" ht="63" customHeight="1" x14ac:dyDescent="0.3">
      <c r="A199" s="305"/>
      <c r="B199" s="90"/>
      <c r="C199" s="306"/>
      <c r="D199" s="308"/>
      <c r="E199" s="309"/>
      <c r="F199" s="310"/>
      <c r="G199" s="311"/>
      <c r="H199" s="313"/>
      <c r="I199" s="32"/>
      <c r="J199" s="151">
        <v>556</v>
      </c>
      <c r="K199" s="314" t="s">
        <v>271</v>
      </c>
      <c r="L199" s="285"/>
      <c r="N199" s="315"/>
      <c r="P199" s="189"/>
      <c r="Q199" s="290"/>
    </row>
    <row r="200" spans="1:28" ht="57.6" customHeight="1" x14ac:dyDescent="0.3">
      <c r="A200" s="305"/>
      <c r="B200" s="90"/>
      <c r="C200" s="306"/>
      <c r="D200" s="308"/>
      <c r="E200" s="309"/>
      <c r="F200" s="310"/>
      <c r="G200" s="311"/>
      <c r="H200" s="313"/>
      <c r="I200" s="32"/>
      <c r="J200" s="151">
        <v>557</v>
      </c>
      <c r="K200" s="314" t="s">
        <v>272</v>
      </c>
      <c r="L200" s="285"/>
      <c r="N200" s="315"/>
      <c r="P200" s="190"/>
    </row>
    <row r="201" spans="1:28" ht="60" customHeight="1" x14ac:dyDescent="0.3">
      <c r="A201" s="305"/>
      <c r="B201" s="90"/>
      <c r="C201" s="306"/>
      <c r="D201" s="308"/>
      <c r="E201" s="309"/>
      <c r="F201" s="310"/>
      <c r="G201" s="311"/>
      <c r="H201" s="313"/>
      <c r="I201" s="32"/>
      <c r="J201" s="151">
        <v>606</v>
      </c>
      <c r="K201" s="314" t="s">
        <v>369</v>
      </c>
      <c r="L201" s="285"/>
      <c r="N201" s="315"/>
      <c r="P201" s="190"/>
    </row>
    <row r="202" spans="1:28" s="18" customFormat="1" ht="22.5" customHeight="1" x14ac:dyDescent="0.3">
      <c r="A202" s="305"/>
      <c r="B202" s="90"/>
      <c r="C202" s="306"/>
      <c r="D202" s="125"/>
      <c r="E202" s="126"/>
      <c r="F202" s="59"/>
      <c r="G202" s="127"/>
      <c r="H202" s="128"/>
      <c r="I202" s="32"/>
      <c r="J202" s="129"/>
      <c r="K202" s="317"/>
      <c r="L202" s="318"/>
      <c r="M202"/>
      <c r="N202" s="228"/>
      <c r="P202" s="190"/>
      <c r="Q202" s="253"/>
      <c r="R202" s="3"/>
      <c r="S202" s="3"/>
      <c r="T202" s="3"/>
      <c r="U202" s="3"/>
      <c r="V202" s="3"/>
      <c r="W202"/>
      <c r="X202"/>
      <c r="Y202"/>
      <c r="Z202"/>
      <c r="AA202"/>
      <c r="AB202"/>
    </row>
    <row r="203" spans="1:28" ht="99" customHeight="1" x14ac:dyDescent="0.3">
      <c r="A203" s="197">
        <f>'Unit Data from Audit Worksheet'!A223</f>
        <v>947</v>
      </c>
      <c r="B203" s="121"/>
      <c r="C203" s="196" t="str">
        <f>'Unit Data from Audit Worksheet'!D223</f>
        <v>First name of finance officer or interim finance officer (please enter “vacant” for first name if the position is currently vacant)</v>
      </c>
      <c r="D203" s="217"/>
      <c r="E203" s="165">
        <f>'Unit Data from Audit Worksheet'!F223</f>
        <v>0</v>
      </c>
      <c r="F203" s="209" t="str">
        <f>'Unit Data from Audit Worksheet'!G223</f>
        <v>Please do not leave blank</v>
      </c>
      <c r="G203" s="211"/>
      <c r="H203" s="208"/>
      <c r="I203" s="32"/>
      <c r="J203" s="154">
        <v>947</v>
      </c>
      <c r="K203" s="319" t="s">
        <v>337</v>
      </c>
      <c r="L203" s="320">
        <f t="shared" ref="L203:L215" si="14">IF(D203="",E203,D203)</f>
        <v>0</v>
      </c>
      <c r="N203" s="315"/>
      <c r="P203" s="190"/>
      <c r="Q203" s="78"/>
    </row>
    <row r="204" spans="1:28" ht="128.25" customHeight="1" x14ac:dyDescent="0.3">
      <c r="A204" s="197">
        <f>'Unit Data from Audit Worksheet'!A224</f>
        <v>948</v>
      </c>
      <c r="B204" s="121"/>
      <c r="C204" s="196" t="str">
        <f>'Unit Data from Audit Worksheet'!D224</f>
        <v>Last name of finance officer or interim finance officer (please enter “vacant” for last name if the position is currently vacant)</v>
      </c>
      <c r="D204" s="217"/>
      <c r="E204" s="321">
        <f>'Unit Data from Audit Worksheet'!F224</f>
        <v>0</v>
      </c>
      <c r="F204" s="209" t="str">
        <f>'Unit Data from Audit Worksheet'!G224</f>
        <v>Please do not leave blank</v>
      </c>
      <c r="G204" s="211"/>
      <c r="H204" s="208"/>
      <c r="I204" s="32"/>
      <c r="J204" s="154">
        <v>948</v>
      </c>
      <c r="K204" s="319" t="s">
        <v>338</v>
      </c>
      <c r="L204" s="320">
        <f t="shared" si="14"/>
        <v>0</v>
      </c>
      <c r="N204" s="315"/>
      <c r="P204" s="190"/>
    </row>
    <row r="205" spans="1:28" ht="61.5" customHeight="1" x14ac:dyDescent="0.3">
      <c r="A205" s="197">
        <f>'Unit Data from Audit Worksheet'!A225</f>
        <v>949</v>
      </c>
      <c r="B205" s="121"/>
      <c r="C205" s="196" t="str">
        <f>'Unit Data from Audit Worksheet'!D225</f>
        <v>Is the finance officer serving in a permanent role or an interim role? (select permanent/interim/vacant)</v>
      </c>
      <c r="D205" s="217"/>
      <c r="E205" s="165">
        <f>'Unit Data from Audit Worksheet'!F225</f>
        <v>0</v>
      </c>
      <c r="F205" s="209" t="str">
        <f>'Unit Data from Audit Worksheet'!G225</f>
        <v>Please do not leave blank</v>
      </c>
      <c r="G205" s="211"/>
      <c r="H205" s="208"/>
      <c r="I205" s="32"/>
      <c r="J205" s="154">
        <v>949</v>
      </c>
      <c r="K205" s="319" t="s">
        <v>361</v>
      </c>
      <c r="L205" s="320">
        <f t="shared" si="14"/>
        <v>0</v>
      </c>
      <c r="N205" s="315"/>
      <c r="P205" s="190"/>
    </row>
    <row r="206" spans="1:28" ht="93.75" customHeight="1" x14ac:dyDescent="0.3">
      <c r="A206" s="197">
        <f>'Unit Data from Audit Worksheet'!A226</f>
        <v>950</v>
      </c>
      <c r="B206" s="121"/>
      <c r="C206" s="196" t="str">
        <f>'Unit Data from Audit Worksheet'!D226</f>
        <v>Has the finance officer been formally appointed by the local government, public authority, or designated official?  (Y/N)</v>
      </c>
      <c r="D206" s="217"/>
      <c r="E206" s="165">
        <f>'Unit Data from Audit Worksheet'!F226</f>
        <v>0</v>
      </c>
      <c r="F206" s="209" t="str">
        <f>'Unit Data from Audit Worksheet'!G226</f>
        <v>Please do not leave blank</v>
      </c>
      <c r="G206" s="211"/>
      <c r="H206" s="208"/>
      <c r="I206" s="32"/>
      <c r="J206" s="154">
        <v>950</v>
      </c>
      <c r="K206" s="319" t="s">
        <v>362</v>
      </c>
      <c r="L206" s="320">
        <f t="shared" si="14"/>
        <v>0</v>
      </c>
      <c r="N206" s="315"/>
      <c r="P206" s="190"/>
    </row>
    <row r="207" spans="1:28" ht="153.75" customHeight="1" x14ac:dyDescent="0.3">
      <c r="A207" s="197">
        <f>'Unit Data from Audit Worksheet'!A227</f>
        <v>952</v>
      </c>
      <c r="B207" s="121"/>
      <c r="C207" s="196" t="str">
        <f>'Unit Data from Audit Worksheet'!D227</f>
        <v>Date on which the local government, public authority, or designated official appointed the finance officer?     Date Format  MM/DD/YYYY</v>
      </c>
      <c r="D207" s="217"/>
      <c r="E207" s="647" t="str">
        <f>IF('Unit Data from Audit Worksheet'!F227&gt;0,'Unit Data from Audit Worksheet'!F227," ")</f>
        <v xml:space="preserve"> </v>
      </c>
      <c r="F207" s="209" t="str">
        <f>'Unit Data from Audit Worksheet'!G227</f>
        <v>Leave blank if data not available</v>
      </c>
      <c r="G207" s="211"/>
      <c r="H207" s="208"/>
      <c r="I207" s="32"/>
      <c r="J207" s="154">
        <v>952</v>
      </c>
      <c r="K207" s="319" t="s">
        <v>363</v>
      </c>
      <c r="L207" s="322" t="str">
        <f t="shared" si="14"/>
        <v xml:space="preserve"> </v>
      </c>
      <c r="N207" s="315"/>
      <c r="P207" s="190"/>
    </row>
    <row r="208" spans="1:28" ht="30.75" customHeight="1" x14ac:dyDescent="0.3">
      <c r="A208" s="852">
        <f>'Unit Data from Audit Worksheet'!A235</f>
        <v>960</v>
      </c>
      <c r="B208" s="161"/>
      <c r="C208" s="162" t="str">
        <f>'Unit Data from Audit Worksheet'!B235</f>
        <v>Name of Finance Officer</v>
      </c>
      <c r="D208" s="217"/>
      <c r="E208" s="323">
        <f>'Unit Data from Audit Worksheet'!D235</f>
        <v>0</v>
      </c>
      <c r="F208" s="324" t="str">
        <f>'Unit Data from Audit Worksheet'!F235</f>
        <v>Required</v>
      </c>
      <c r="G208" s="211"/>
      <c r="H208" s="208"/>
      <c r="I208" s="32"/>
      <c r="J208" s="164">
        <v>960</v>
      </c>
      <c r="K208" s="325" t="s">
        <v>357</v>
      </c>
      <c r="L208" s="326">
        <f t="shared" si="14"/>
        <v>0</v>
      </c>
      <c r="N208" s="283"/>
      <c r="P208" s="190"/>
    </row>
    <row r="209" spans="1:28" ht="30.75" customHeight="1" x14ac:dyDescent="0.3">
      <c r="A209" s="852">
        <f>'Unit Data from Audit Worksheet'!A236</f>
        <v>962</v>
      </c>
      <c r="B209" s="161"/>
      <c r="C209" s="162" t="str">
        <f>'Unit Data from Audit Worksheet'!B236</f>
        <v>Title of Official</v>
      </c>
      <c r="D209" s="217"/>
      <c r="E209" s="323">
        <f>'Unit Data from Audit Worksheet'!D236</f>
        <v>0</v>
      </c>
      <c r="F209" s="324" t="str">
        <f>'Unit Data from Audit Worksheet'!F236</f>
        <v>Required</v>
      </c>
      <c r="G209" s="211"/>
      <c r="H209" s="208"/>
      <c r="I209" s="32"/>
      <c r="J209" s="164">
        <v>962</v>
      </c>
      <c r="K209" s="325" t="s">
        <v>333</v>
      </c>
      <c r="L209" s="326">
        <f t="shared" si="14"/>
        <v>0</v>
      </c>
      <c r="N209" s="283"/>
      <c r="P209" s="190"/>
    </row>
    <row r="210" spans="1:28" ht="30.75" customHeight="1" x14ac:dyDescent="0.3">
      <c r="A210" s="852">
        <f>'Unit Data from Audit Worksheet'!A237</f>
        <v>964</v>
      </c>
      <c r="B210" s="161"/>
      <c r="C210" s="163" t="str">
        <f>'Unit Data from Audit Worksheet'!B237</f>
        <v>Date                        (Enter as "MM/DD/YYYY")</v>
      </c>
      <c r="D210" s="217"/>
      <c r="E210" s="327">
        <f>'Unit Data from Audit Worksheet'!D237</f>
        <v>0</v>
      </c>
      <c r="F210" s="324" t="str">
        <f>'Unit Data from Audit Worksheet'!F237</f>
        <v>Required</v>
      </c>
      <c r="G210" s="548"/>
      <c r="H210" s="208"/>
      <c r="I210" s="32"/>
      <c r="J210" s="164">
        <v>964</v>
      </c>
      <c r="K210" s="325" t="s">
        <v>379</v>
      </c>
      <c r="L210" s="328">
        <f t="shared" si="14"/>
        <v>0</v>
      </c>
      <c r="N210" s="283"/>
      <c r="P210" s="190"/>
    </row>
    <row r="211" spans="1:28" ht="30.75" customHeight="1" x14ac:dyDescent="0.3">
      <c r="A211" s="852">
        <f>'Unit Data from Audit Worksheet'!A238</f>
        <v>966</v>
      </c>
      <c r="B211" s="161"/>
      <c r="C211" s="162" t="s">
        <v>731</v>
      </c>
      <c r="D211" s="217"/>
      <c r="E211" s="547" t="str">
        <f>_xlfn.TEXTJOIN(",",,TEXT('Unit Data from Audit Worksheet'!D238,"###-###-####")," "&amp;'Unit Data from Audit Worksheet'!D239)</f>
        <v xml:space="preserve">--, </v>
      </c>
      <c r="F211" s="324" t="str">
        <f>'Unit Data from Audit Worksheet'!F238</f>
        <v>Required</v>
      </c>
      <c r="G211" s="211"/>
      <c r="H211" s="208"/>
      <c r="I211" s="32"/>
      <c r="J211" s="164">
        <v>966</v>
      </c>
      <c r="K211" s="325" t="s">
        <v>335</v>
      </c>
      <c r="L211" s="326" t="str">
        <f t="shared" si="14"/>
        <v xml:space="preserve">--, </v>
      </c>
      <c r="N211" s="283"/>
      <c r="P211" s="190"/>
    </row>
    <row r="212" spans="1:28" ht="30.75" customHeight="1" x14ac:dyDescent="0.3">
      <c r="A212" s="852">
        <f>'Unit Data from Audit Worksheet'!A240</f>
        <v>968</v>
      </c>
      <c r="B212" s="161"/>
      <c r="C212" s="162" t="str">
        <f>'Unit Data from Audit Worksheet'!B240</f>
        <v>E-mail address</v>
      </c>
      <c r="D212" s="217"/>
      <c r="E212" s="323">
        <f>'Unit Data from Audit Worksheet'!D240</f>
        <v>0</v>
      </c>
      <c r="F212" s="324" t="str">
        <f>'Unit Data from Audit Worksheet'!F240</f>
        <v>Required</v>
      </c>
      <c r="G212" s="211"/>
      <c r="H212" s="208"/>
      <c r="I212" s="32"/>
      <c r="J212" s="164">
        <v>968</v>
      </c>
      <c r="K212" s="325" t="s">
        <v>336</v>
      </c>
      <c r="L212" s="326">
        <f t="shared" si="14"/>
        <v>0</v>
      </c>
      <c r="N212" s="283"/>
      <c r="P212" s="190"/>
    </row>
    <row r="213" spans="1:28" ht="123.6" customHeight="1" x14ac:dyDescent="0.3">
      <c r="A213" s="851">
        <v>980</v>
      </c>
      <c r="B213" s="220" t="s">
        <v>412</v>
      </c>
      <c r="C213" s="850" t="str">
        <f>'TD Info Completed by Auditor'!B32</f>
        <v>Date the auditor presented or plans to present Financial Performance Indicators of Concern (FPIC) to the Governing Board.  If there are no FPICs to present to the governing board,  enter "7/1/2024" to indicate that an FPIC response is not required.</v>
      </c>
      <c r="D213" s="217"/>
      <c r="E213" s="853" t="str">
        <f>IF('TD Info Completed by Auditor'!C32&gt;0,'TD Info Completed by Auditor'!C32," ")</f>
        <v xml:space="preserve"> </v>
      </c>
      <c r="F213" s="329" t="s">
        <v>443</v>
      </c>
      <c r="G213" s="211"/>
      <c r="H213" s="208"/>
      <c r="I213" s="32"/>
      <c r="J213" s="230">
        <v>980</v>
      </c>
      <c r="K213" s="231" t="s">
        <v>1312</v>
      </c>
      <c r="L213" s="330" t="str">
        <f t="shared" si="14"/>
        <v xml:space="preserve"> </v>
      </c>
      <c r="N213" s="356" t="s">
        <v>444</v>
      </c>
      <c r="P213" s="190"/>
    </row>
    <row r="214" spans="1:28" s="353" customFormat="1" ht="135.6" customHeight="1" x14ac:dyDescent="0.3">
      <c r="A214" s="197">
        <f>'Unit Data from Audit Worksheet'!A75</f>
        <v>590</v>
      </c>
      <c r="B214" s="197" t="str">
        <f>'Unit Data from Audit Worksheet'!B75</f>
        <v>Fiscal Review, UAL Determination, Financial Performance Indicator</v>
      </c>
      <c r="C214" s="74" t="str">
        <f>'Unit Data from Audit Worksheet'!D75</f>
        <v>If you appropriated General Fund Balance in your 2024 budget and your "change in fund balance": (account # 23 above) is negative, please select from the drop down box in column F either "operations" or "capital", whichever best describes what the fund balance was used for.  Briefly describe in column G to the right what the fund balance was used for.</v>
      </c>
      <c r="D214" s="217"/>
      <c r="E214" s="329" t="str">
        <f>CONCATENATE('Unit Data from Audit Worksheet'!F75," - ",'Unit Data from Audit Worksheet'!G75)</f>
        <v xml:space="preserve"> - </v>
      </c>
      <c r="F214" s="329"/>
      <c r="G214" s="211"/>
      <c r="H214" s="208"/>
      <c r="I214" s="32"/>
      <c r="J214" s="230">
        <v>590</v>
      </c>
      <c r="K214" s="231" t="s">
        <v>795</v>
      </c>
      <c r="L214" s="854" t="str">
        <f t="shared" si="14"/>
        <v xml:space="preserve"> - </v>
      </c>
      <c r="M214"/>
      <c r="N214" s="356"/>
      <c r="P214" s="190"/>
      <c r="Q214" s="253"/>
      <c r="W214"/>
      <c r="X214"/>
      <c r="Y214"/>
      <c r="Z214"/>
      <c r="AA214"/>
      <c r="AB214"/>
    </row>
    <row r="215" spans="1:28" s="353" customFormat="1" ht="135.6" customHeight="1" x14ac:dyDescent="0.3">
      <c r="A215" s="197">
        <f>'TD Info Completed by Auditor'!A31</f>
        <v>1079</v>
      </c>
      <c r="B215" s="197"/>
      <c r="C215" s="74" t="str">
        <f>'TD Info Completed by Auditor'!B31</f>
        <v>What date was the audit report submitted to the LGC?  (Note audit reports are due four months after fiscal year end regardless of the contract submission date.)</v>
      </c>
      <c r="D215" s="217"/>
      <c r="E215" s="823">
        <f>'TD Info Completed by Auditor'!C31</f>
        <v>0</v>
      </c>
      <c r="F215" s="329"/>
      <c r="G215" s="211"/>
      <c r="H215" s="208"/>
      <c r="I215" s="32"/>
      <c r="J215" s="824">
        <v>1079</v>
      </c>
      <c r="K215" s="825" t="s">
        <v>1686</v>
      </c>
      <c r="L215" s="330">
        <f t="shared" si="14"/>
        <v>0</v>
      </c>
      <c r="M215" s="173"/>
      <c r="N215" s="356"/>
      <c r="P215" s="190"/>
      <c r="Q215" s="253"/>
      <c r="W215" s="173"/>
      <c r="X215" s="173"/>
      <c r="Y215" s="173"/>
      <c r="Z215" s="173"/>
      <c r="AA215" s="173"/>
      <c r="AB215" s="173"/>
    </row>
    <row r="216" spans="1:28" ht="83.4" customHeight="1" x14ac:dyDescent="0.3">
      <c r="A216" s="305"/>
      <c r="B216" s="90"/>
      <c r="C216" s="306"/>
      <c r="D216" s="308"/>
      <c r="E216" s="309"/>
      <c r="F216" s="310"/>
      <c r="G216" s="311"/>
      <c r="H216" s="312"/>
      <c r="I216" s="32"/>
      <c r="J216" s="154">
        <v>999</v>
      </c>
      <c r="K216" s="319" t="s">
        <v>234</v>
      </c>
      <c r="L216" s="676" t="e">
        <f>'Unit Data from Audit Worksheet'!D3</f>
        <v>#N/A</v>
      </c>
      <c r="N216" s="331" t="s">
        <v>1710</v>
      </c>
      <c r="O216" s="331" t="s">
        <v>442</v>
      </c>
      <c r="P216" s="190"/>
    </row>
    <row r="217" spans="1:28" x14ac:dyDescent="0.3">
      <c r="A217" s="176"/>
      <c r="B217" s="176"/>
      <c r="C217" s="176"/>
      <c r="D217" s="176"/>
      <c r="E217" s="176"/>
      <c r="F217" s="176"/>
      <c r="G217" s="176"/>
      <c r="H217" s="176"/>
      <c r="I217" s="176"/>
      <c r="J217" s="3"/>
      <c r="K217" s="3"/>
      <c r="L217" s="3"/>
      <c r="N217" s="4"/>
      <c r="P217" s="190"/>
    </row>
    <row r="218" spans="1:28" s="353" customFormat="1" x14ac:dyDescent="0.3">
      <c r="A218" s="176"/>
      <c r="B218" s="176"/>
      <c r="C218" s="176"/>
      <c r="D218" s="176"/>
      <c r="E218" s="176"/>
      <c r="F218" s="176"/>
      <c r="G218" s="176"/>
      <c r="H218" s="176"/>
      <c r="I218" s="176"/>
      <c r="M218"/>
      <c r="N218" s="4"/>
      <c r="P218" s="190"/>
      <c r="Q218" s="253"/>
      <c r="W218"/>
      <c r="X218"/>
      <c r="Y218"/>
      <c r="Z218"/>
      <c r="AA218"/>
      <c r="AB218"/>
    </row>
    <row r="219" spans="1:28" ht="19.8" customHeight="1" x14ac:dyDescent="0.3">
      <c r="C219" s="637"/>
      <c r="D219" s="333"/>
      <c r="E219" s="334"/>
      <c r="F219" s="334"/>
      <c r="G219" s="335"/>
      <c r="H219" s="334"/>
      <c r="I219" s="336"/>
      <c r="K219" s="679" t="s">
        <v>1276</v>
      </c>
      <c r="L219" s="680" t="e">
        <f>SUM(L4:L201)</f>
        <v>#N/A</v>
      </c>
      <c r="N219" s="4"/>
      <c r="P219" s="190"/>
    </row>
    <row r="220" spans="1:28" ht="21.6" customHeight="1" x14ac:dyDescent="0.3">
      <c r="A220"/>
      <c r="B220"/>
      <c r="C220"/>
      <c r="D220"/>
      <c r="E220"/>
      <c r="F220"/>
      <c r="G220" s="335"/>
      <c r="H220" s="334"/>
      <c r="I220" s="336"/>
      <c r="K220" s="677" t="s">
        <v>791</v>
      </c>
      <c r="L220" s="678"/>
      <c r="N220" s="4"/>
      <c r="P220" s="190"/>
    </row>
    <row r="221" spans="1:28" ht="25.8" customHeight="1" x14ac:dyDescent="0.7">
      <c r="B221" s="3"/>
      <c r="C221" s="3"/>
      <c r="D221" s="73"/>
      <c r="E221" s="96"/>
      <c r="F221" s="73"/>
      <c r="G221" s="335"/>
      <c r="H221" s="334"/>
      <c r="I221" s="336"/>
      <c r="J221" s="142"/>
      <c r="K221" s="141"/>
      <c r="L221" s="721" t="e">
        <f>L219-L220</f>
        <v>#N/A</v>
      </c>
      <c r="N221" s="4"/>
      <c r="P221" s="190"/>
    </row>
    <row r="222" spans="1:28" ht="25.2" customHeight="1" x14ac:dyDescent="0.3">
      <c r="A222" s="176"/>
      <c r="B222" s="176"/>
      <c r="C222" s="176"/>
      <c r="D222" s="176"/>
      <c r="E222" s="176"/>
      <c r="F222" s="334"/>
      <c r="G222" s="335"/>
      <c r="H222" s="334"/>
      <c r="I222" s="336"/>
      <c r="K222" s="10"/>
      <c r="L222" s="337"/>
      <c r="P222" s="190"/>
    </row>
    <row r="223" spans="1:28" x14ac:dyDescent="0.3">
      <c r="A223" s="176"/>
      <c r="B223" s="176"/>
      <c r="C223" s="176"/>
      <c r="D223" s="176"/>
      <c r="E223" s="176"/>
      <c r="F223" s="334"/>
      <c r="G223" s="335"/>
      <c r="H223" s="334"/>
      <c r="I223" s="336"/>
      <c r="K223" s="10"/>
      <c r="L223" s="337"/>
      <c r="P223" s="190"/>
    </row>
    <row r="224" spans="1:28" ht="18.75" customHeight="1" x14ac:dyDescent="0.3">
      <c r="A224" s="176"/>
      <c r="B224" s="176"/>
      <c r="C224" s="176"/>
      <c r="D224" s="176"/>
      <c r="E224" s="176"/>
      <c r="F224" s="334"/>
      <c r="G224" s="335"/>
      <c r="H224" s="334"/>
      <c r="I224" s="336"/>
      <c r="K224" s="10"/>
      <c r="L224" s="337"/>
      <c r="P224" s="190"/>
    </row>
    <row r="225" spans="1:16" ht="30.75" customHeight="1" x14ac:dyDescent="0.3">
      <c r="A225" s="176"/>
      <c r="B225" s="176"/>
      <c r="C225" s="176"/>
      <c r="D225" s="176"/>
      <c r="E225" s="176"/>
      <c r="F225" s="334"/>
      <c r="G225" s="335"/>
      <c r="H225" s="334"/>
      <c r="I225" s="336"/>
      <c r="K225" s="10"/>
      <c r="L225" s="337"/>
      <c r="P225" s="190"/>
    </row>
    <row r="226" spans="1:16" ht="30.75" customHeight="1" x14ac:dyDescent="0.3">
      <c r="A226" s="176"/>
      <c r="B226" s="176"/>
      <c r="C226" s="176"/>
      <c r="D226" s="176"/>
      <c r="E226" s="176"/>
      <c r="F226" s="334"/>
      <c r="G226" s="335"/>
      <c r="H226" s="334"/>
      <c r="I226" s="336"/>
      <c r="K226" s="10"/>
      <c r="L226" s="337"/>
      <c r="P226" s="190"/>
    </row>
    <row r="227" spans="1:16" ht="30.75" customHeight="1" x14ac:dyDescent="0.3">
      <c r="A227" s="176"/>
      <c r="B227" s="176"/>
      <c r="C227" s="176"/>
      <c r="D227" s="176"/>
      <c r="E227" s="176"/>
      <c r="F227" s="334"/>
      <c r="G227" s="335"/>
      <c r="H227" s="334"/>
      <c r="I227" s="336"/>
      <c r="K227" s="10"/>
      <c r="L227" s="337"/>
      <c r="P227" s="190"/>
    </row>
    <row r="228" spans="1:16" ht="30.75" customHeight="1" x14ac:dyDescent="0.3">
      <c r="A228" s="176"/>
      <c r="B228" s="176"/>
      <c r="C228" s="176"/>
      <c r="D228" s="176"/>
      <c r="E228" s="176"/>
      <c r="F228" s="334"/>
      <c r="G228" s="335"/>
      <c r="H228" s="334"/>
      <c r="I228" s="336"/>
      <c r="K228" s="10"/>
      <c r="L228" s="337"/>
      <c r="P228" s="190"/>
    </row>
    <row r="229" spans="1:16" ht="30.75" customHeight="1" x14ac:dyDescent="0.3">
      <c r="A229" s="176"/>
      <c r="B229" s="176"/>
      <c r="C229" s="176"/>
      <c r="D229" s="176"/>
      <c r="E229" s="176"/>
      <c r="F229" s="334"/>
      <c r="G229" s="335"/>
      <c r="H229" s="334"/>
      <c r="I229" s="336"/>
      <c r="K229" s="10"/>
      <c r="L229" s="337"/>
      <c r="P229" s="190"/>
    </row>
    <row r="230" spans="1:16" x14ac:dyDescent="0.3">
      <c r="A230" s="176"/>
      <c r="B230" s="176"/>
      <c r="C230" s="176"/>
      <c r="D230" s="176"/>
      <c r="E230" s="176"/>
      <c r="I230" s="336"/>
      <c r="K230" s="10"/>
      <c r="L230" s="337"/>
      <c r="P230" s="190"/>
    </row>
    <row r="231" spans="1:16" x14ac:dyDescent="0.3">
      <c r="A231" s="176"/>
      <c r="B231" s="176"/>
      <c r="C231" s="176"/>
      <c r="D231" s="176"/>
      <c r="E231" s="176"/>
      <c r="I231" s="336"/>
      <c r="L231" s="337"/>
      <c r="P231" s="190"/>
    </row>
    <row r="232" spans="1:16" x14ac:dyDescent="0.3">
      <c r="A232" s="5"/>
      <c r="B232" s="338"/>
      <c r="C232" s="22"/>
      <c r="D232" s="72"/>
      <c r="I232" s="336"/>
      <c r="L232" s="337"/>
      <c r="P232" s="190"/>
    </row>
    <row r="233" spans="1:16" x14ac:dyDescent="0.3">
      <c r="A233" s="5"/>
      <c r="B233" s="338"/>
      <c r="C233" s="22"/>
      <c r="D233" s="72"/>
      <c r="L233" s="337"/>
      <c r="P233" s="190"/>
    </row>
    <row r="234" spans="1:16" x14ac:dyDescent="0.3">
      <c r="D234" s="72"/>
      <c r="P234" s="190"/>
    </row>
    <row r="235" spans="1:16" x14ac:dyDescent="0.3">
      <c r="D235" s="72"/>
      <c r="P235" s="190"/>
    </row>
    <row r="236" spans="1:16" x14ac:dyDescent="0.3">
      <c r="D236" s="72"/>
      <c r="P236" s="190"/>
    </row>
    <row r="237" spans="1:16" x14ac:dyDescent="0.3">
      <c r="D237" s="72"/>
      <c r="P237" s="190"/>
    </row>
    <row r="238" spans="1:16" x14ac:dyDescent="0.3">
      <c r="A238" s="5"/>
      <c r="B238" s="338"/>
      <c r="C238" s="22"/>
      <c r="D238" s="72"/>
      <c r="P238" s="190"/>
    </row>
    <row r="239" spans="1:16" x14ac:dyDescent="0.3">
      <c r="A239" s="5"/>
      <c r="B239" s="338"/>
      <c r="C239" s="22"/>
      <c r="D239" s="72"/>
      <c r="P239" s="190"/>
    </row>
    <row r="240" spans="1:16" x14ac:dyDescent="0.3">
      <c r="D240" s="72"/>
      <c r="P240" s="190"/>
    </row>
    <row r="241" spans="1:16" x14ac:dyDescent="0.3">
      <c r="D241" s="72"/>
      <c r="P241" s="190"/>
    </row>
    <row r="242" spans="1:16" x14ac:dyDescent="0.3">
      <c r="D242" s="72"/>
      <c r="P242" s="190"/>
    </row>
    <row r="243" spans="1:16" x14ac:dyDescent="0.3">
      <c r="D243" s="72"/>
      <c r="P243" s="190"/>
    </row>
    <row r="244" spans="1:16" x14ac:dyDescent="0.3">
      <c r="A244" s="5"/>
      <c r="B244" s="338"/>
      <c r="C244" s="22"/>
      <c r="D244" s="72"/>
      <c r="P244" s="190"/>
    </row>
    <row r="245" spans="1:16" x14ac:dyDescent="0.3">
      <c r="A245" s="5"/>
      <c r="B245" s="338"/>
      <c r="C245" s="22"/>
      <c r="D245" s="72"/>
      <c r="P245" s="190"/>
    </row>
    <row r="246" spans="1:16" x14ac:dyDescent="0.3">
      <c r="D246" s="72"/>
      <c r="P246" s="190"/>
    </row>
    <row r="247" spans="1:16" x14ac:dyDescent="0.3">
      <c r="D247" s="72"/>
      <c r="P247" s="190"/>
    </row>
    <row r="248" spans="1:16" x14ac:dyDescent="0.3">
      <c r="D248" s="72"/>
      <c r="P248" s="190"/>
    </row>
    <row r="249" spans="1:16" x14ac:dyDescent="0.3">
      <c r="D249" s="72"/>
      <c r="P249" s="190"/>
    </row>
    <row r="250" spans="1:16" x14ac:dyDescent="0.3">
      <c r="A250" s="5"/>
      <c r="B250" s="338"/>
      <c r="C250" s="22"/>
      <c r="D250" s="72"/>
      <c r="P250" s="190"/>
    </row>
    <row r="251" spans="1:16" x14ac:dyDescent="0.3">
      <c r="A251" s="5"/>
      <c r="B251" s="338"/>
      <c r="C251" s="22"/>
      <c r="D251" s="72"/>
      <c r="P251" s="190"/>
    </row>
    <row r="252" spans="1:16" x14ac:dyDescent="0.3">
      <c r="A252" s="5"/>
      <c r="B252" s="338"/>
      <c r="C252" s="22"/>
      <c r="D252" s="72"/>
      <c r="P252" s="190"/>
    </row>
    <row r="253" spans="1:16" x14ac:dyDescent="0.3">
      <c r="A253" s="5"/>
      <c r="B253" s="338"/>
      <c r="C253" s="22"/>
      <c r="D253" s="72"/>
      <c r="P253" s="190"/>
    </row>
    <row r="254" spans="1:16" x14ac:dyDescent="0.3">
      <c r="D254" s="72"/>
      <c r="P254" s="190"/>
    </row>
    <row r="255" spans="1:16" x14ac:dyDescent="0.3">
      <c r="D255" s="72"/>
      <c r="P255" s="190"/>
    </row>
    <row r="256" spans="1:16" x14ac:dyDescent="0.3">
      <c r="D256" s="72"/>
      <c r="P256" s="190"/>
    </row>
    <row r="257" spans="1:16" x14ac:dyDescent="0.3">
      <c r="A257" s="5"/>
      <c r="B257" s="338"/>
      <c r="C257" s="22"/>
      <c r="D257" s="72"/>
      <c r="P257" s="190"/>
    </row>
    <row r="258" spans="1:16" x14ac:dyDescent="0.3">
      <c r="A258" s="5"/>
      <c r="B258" s="338"/>
      <c r="C258" s="22"/>
      <c r="D258" s="72"/>
      <c r="P258" s="190"/>
    </row>
    <row r="259" spans="1:16" x14ac:dyDescent="0.3">
      <c r="A259" s="5"/>
      <c r="B259" s="338"/>
      <c r="C259" s="22"/>
      <c r="D259" s="72"/>
      <c r="P259" s="190"/>
    </row>
    <row r="260" spans="1:16" x14ac:dyDescent="0.3">
      <c r="A260" s="5"/>
      <c r="B260" s="338"/>
      <c r="C260" s="22"/>
      <c r="D260" s="72"/>
      <c r="P260" s="190"/>
    </row>
    <row r="261" spans="1:16" x14ac:dyDescent="0.3">
      <c r="A261" s="5"/>
      <c r="B261" s="338"/>
      <c r="C261" s="22"/>
      <c r="D261" s="72"/>
      <c r="P261" s="190"/>
    </row>
    <row r="262" spans="1:16" x14ac:dyDescent="0.3">
      <c r="A262" s="5"/>
      <c r="B262" s="338"/>
      <c r="C262" s="22"/>
      <c r="D262" s="72"/>
      <c r="P262" s="190"/>
    </row>
    <row r="263" spans="1:16" x14ac:dyDescent="0.3">
      <c r="A263" s="5"/>
      <c r="B263" s="338"/>
      <c r="C263" s="22"/>
      <c r="D263" s="72"/>
      <c r="P263" s="190"/>
    </row>
    <row r="264" spans="1:16" x14ac:dyDescent="0.3">
      <c r="A264" s="5"/>
      <c r="B264" s="338"/>
      <c r="C264" s="22"/>
      <c r="D264" s="72"/>
      <c r="P264" s="190"/>
    </row>
    <row r="265" spans="1:16" x14ac:dyDescent="0.3">
      <c r="A265" s="5"/>
      <c r="B265" s="338"/>
      <c r="C265" s="22"/>
      <c r="D265" s="72"/>
      <c r="P265" s="190"/>
    </row>
    <row r="266" spans="1:16" x14ac:dyDescent="0.3">
      <c r="A266" s="5"/>
      <c r="B266" s="338"/>
      <c r="C266" s="22"/>
      <c r="D266" s="72"/>
      <c r="P266" s="190"/>
    </row>
    <row r="267" spans="1:16" x14ac:dyDescent="0.3">
      <c r="A267" s="5"/>
      <c r="B267" s="338"/>
      <c r="C267" s="22"/>
      <c r="D267" s="72"/>
      <c r="P267" s="190"/>
    </row>
    <row r="268" spans="1:16" x14ac:dyDescent="0.3">
      <c r="A268" s="5"/>
      <c r="B268" s="338"/>
      <c r="C268" s="22"/>
      <c r="D268" s="72"/>
      <c r="P268" s="190"/>
    </row>
    <row r="269" spans="1:16" x14ac:dyDescent="0.3">
      <c r="A269" s="5"/>
      <c r="B269" s="338"/>
      <c r="C269" s="22"/>
      <c r="D269" s="72"/>
      <c r="P269" s="190"/>
    </row>
    <row r="270" spans="1:16" x14ac:dyDescent="0.3">
      <c r="A270" s="5"/>
      <c r="B270" s="338"/>
      <c r="C270" s="22"/>
      <c r="D270" s="72"/>
      <c r="P270" s="190"/>
    </row>
    <row r="271" spans="1:16" x14ac:dyDescent="0.3">
      <c r="A271" s="5"/>
      <c r="B271" s="338"/>
      <c r="C271" s="22"/>
      <c r="D271" s="72"/>
      <c r="P271" s="190"/>
    </row>
    <row r="272" spans="1:16" x14ac:dyDescent="0.3">
      <c r="A272" s="5"/>
      <c r="B272" s="338"/>
      <c r="C272" s="22"/>
      <c r="D272" s="72"/>
      <c r="P272" s="190"/>
    </row>
    <row r="273" spans="1:16" x14ac:dyDescent="0.3">
      <c r="A273" s="5"/>
      <c r="B273" s="338"/>
      <c r="C273" s="22"/>
      <c r="D273" s="72"/>
      <c r="P273" s="190"/>
    </row>
    <row r="274" spans="1:16" x14ac:dyDescent="0.3">
      <c r="A274" s="5"/>
      <c r="B274" s="338"/>
      <c r="C274" s="22"/>
      <c r="D274" s="72"/>
      <c r="P274" s="190"/>
    </row>
    <row r="275" spans="1:16" x14ac:dyDescent="0.3">
      <c r="A275" s="5"/>
      <c r="B275" s="338"/>
      <c r="C275" s="22"/>
      <c r="D275" s="72"/>
      <c r="P275" s="190"/>
    </row>
    <row r="276" spans="1:16" x14ac:dyDescent="0.3">
      <c r="A276" s="5"/>
      <c r="B276" s="338"/>
      <c r="C276" s="22"/>
      <c r="D276" s="72"/>
      <c r="P276" s="190"/>
    </row>
    <row r="277" spans="1:16" x14ac:dyDescent="0.3">
      <c r="A277" s="5"/>
      <c r="B277" s="338"/>
      <c r="C277" s="22"/>
      <c r="D277" s="72"/>
      <c r="P277" s="190"/>
    </row>
    <row r="278" spans="1:16" x14ac:dyDescent="0.3">
      <c r="A278" s="5"/>
      <c r="B278" s="338"/>
      <c r="C278" s="22"/>
      <c r="D278" s="72"/>
      <c r="P278" s="190"/>
    </row>
    <row r="279" spans="1:16" x14ac:dyDescent="0.3">
      <c r="A279" s="5"/>
      <c r="B279" s="338"/>
      <c r="C279" s="22"/>
      <c r="D279" s="72"/>
      <c r="P279" s="190"/>
    </row>
    <row r="280" spans="1:16" x14ac:dyDescent="0.3">
      <c r="A280" s="5"/>
      <c r="B280" s="338"/>
      <c r="C280" s="22"/>
      <c r="D280" s="72"/>
      <c r="P280" s="190"/>
    </row>
    <row r="281" spans="1:16" x14ac:dyDescent="0.3">
      <c r="A281" s="5"/>
      <c r="B281" s="338"/>
      <c r="C281" s="22"/>
      <c r="D281" s="72"/>
      <c r="P281" s="190"/>
    </row>
    <row r="282" spans="1:16" x14ac:dyDescent="0.3">
      <c r="A282" s="5"/>
      <c r="B282" s="338"/>
      <c r="C282" s="22"/>
      <c r="D282" s="72"/>
      <c r="P282" s="190"/>
    </row>
    <row r="283" spans="1:16" x14ac:dyDescent="0.3">
      <c r="A283" s="5"/>
      <c r="B283" s="338"/>
      <c r="C283" s="22"/>
      <c r="D283" s="72"/>
      <c r="P283" s="190"/>
    </row>
    <row r="284" spans="1:16" x14ac:dyDescent="0.3">
      <c r="A284" s="5"/>
      <c r="B284" s="338"/>
      <c r="C284" s="22"/>
      <c r="D284" s="72"/>
      <c r="P284" s="190"/>
    </row>
    <row r="285" spans="1:16" x14ac:dyDescent="0.3">
      <c r="A285" s="5"/>
      <c r="B285" s="338"/>
      <c r="C285" s="22"/>
      <c r="D285" s="72"/>
      <c r="P285" s="190"/>
    </row>
    <row r="286" spans="1:16" x14ac:dyDescent="0.3">
      <c r="A286" s="5"/>
      <c r="B286" s="338"/>
      <c r="C286" s="22"/>
      <c r="D286" s="72"/>
      <c r="P286" s="190"/>
    </row>
    <row r="287" spans="1:16" x14ac:dyDescent="0.3">
      <c r="A287" s="5"/>
      <c r="B287" s="338"/>
      <c r="C287" s="22"/>
      <c r="D287" s="72"/>
      <c r="P287" s="190"/>
    </row>
    <row r="288" spans="1:16" x14ac:dyDescent="0.3">
      <c r="A288" s="5"/>
      <c r="B288" s="338"/>
      <c r="C288" s="22"/>
      <c r="D288" s="72"/>
      <c r="P288" s="190"/>
    </row>
    <row r="289" spans="1:16" x14ac:dyDescent="0.3">
      <c r="A289" s="5"/>
      <c r="B289" s="338"/>
      <c r="C289" s="22"/>
      <c r="D289" s="72"/>
      <c r="P289" s="190"/>
    </row>
    <row r="290" spans="1:16" x14ac:dyDescent="0.3">
      <c r="A290" s="5"/>
      <c r="B290" s="338"/>
      <c r="C290" s="22"/>
      <c r="D290" s="72"/>
      <c r="P290" s="190"/>
    </row>
    <row r="291" spans="1:16" x14ac:dyDescent="0.3">
      <c r="A291" s="5"/>
      <c r="B291" s="338"/>
      <c r="C291" s="22"/>
      <c r="D291" s="72"/>
      <c r="P291" s="190"/>
    </row>
    <row r="292" spans="1:16" x14ac:dyDescent="0.3">
      <c r="A292" s="5"/>
      <c r="B292" s="338"/>
      <c r="C292" s="22"/>
      <c r="D292" s="72"/>
      <c r="P292" s="190"/>
    </row>
    <row r="293" spans="1:16" x14ac:dyDescent="0.3">
      <c r="A293" s="5"/>
      <c r="B293" s="338"/>
      <c r="C293" s="22"/>
      <c r="D293" s="72"/>
      <c r="P293" s="190"/>
    </row>
    <row r="294" spans="1:16" x14ac:dyDescent="0.3">
      <c r="A294" s="5"/>
      <c r="B294" s="338"/>
      <c r="C294" s="22"/>
      <c r="D294" s="72"/>
      <c r="P294" s="190"/>
    </row>
    <row r="295" spans="1:16" x14ac:dyDescent="0.3">
      <c r="A295" s="5"/>
      <c r="B295" s="338"/>
      <c r="C295" s="22"/>
      <c r="D295" s="72"/>
      <c r="P295" s="190"/>
    </row>
    <row r="296" spans="1:16" x14ac:dyDescent="0.3">
      <c r="A296" s="5"/>
      <c r="B296" s="338"/>
      <c r="C296" s="22"/>
      <c r="D296" s="72"/>
      <c r="P296" s="190"/>
    </row>
    <row r="297" spans="1:16" x14ac:dyDescent="0.3">
      <c r="A297" s="5"/>
      <c r="B297" s="338"/>
      <c r="C297" s="22"/>
      <c r="D297" s="72"/>
      <c r="P297" s="190"/>
    </row>
    <row r="298" spans="1:16" x14ac:dyDescent="0.3">
      <c r="A298" s="5"/>
      <c r="B298" s="338"/>
      <c r="C298" s="22"/>
      <c r="D298" s="72"/>
      <c r="P298" s="190"/>
    </row>
    <row r="299" spans="1:16" x14ac:dyDescent="0.3">
      <c r="A299" s="5"/>
      <c r="B299" s="338"/>
      <c r="C299" s="22"/>
      <c r="D299" s="72"/>
      <c r="P299" s="190"/>
    </row>
    <row r="300" spans="1:16" x14ac:dyDescent="0.3">
      <c r="A300" s="5"/>
      <c r="B300" s="338"/>
      <c r="C300" s="22"/>
      <c r="D300" s="72"/>
      <c r="P300" s="190"/>
    </row>
    <row r="301" spans="1:16" x14ac:dyDescent="0.3">
      <c r="A301" s="5"/>
      <c r="B301" s="338"/>
      <c r="C301" s="22"/>
      <c r="D301" s="72"/>
      <c r="P301" s="190"/>
    </row>
    <row r="302" spans="1:16" x14ac:dyDescent="0.3">
      <c r="A302" s="5"/>
      <c r="B302" s="338"/>
      <c r="C302" s="22"/>
      <c r="D302" s="72"/>
      <c r="P302" s="190"/>
    </row>
    <row r="303" spans="1:16" x14ac:dyDescent="0.3">
      <c r="A303" s="5"/>
      <c r="B303" s="338"/>
      <c r="C303" s="22"/>
      <c r="D303" s="72"/>
      <c r="P303" s="190"/>
    </row>
    <row r="304" spans="1:16" x14ac:dyDescent="0.3">
      <c r="A304" s="5"/>
      <c r="B304" s="338"/>
      <c r="C304" s="22"/>
      <c r="D304" s="72"/>
      <c r="P304" s="190"/>
    </row>
    <row r="305" spans="1:16" x14ac:dyDescent="0.3">
      <c r="A305" s="5"/>
      <c r="B305" s="338"/>
      <c r="C305" s="22"/>
      <c r="D305" s="72"/>
      <c r="P305" s="190"/>
    </row>
    <row r="306" spans="1:16" x14ac:dyDescent="0.3">
      <c r="A306" s="5"/>
      <c r="B306" s="338"/>
      <c r="C306" s="22"/>
      <c r="D306" s="72"/>
      <c r="P306" s="190"/>
    </row>
    <row r="307" spans="1:16" x14ac:dyDescent="0.3">
      <c r="A307" s="5"/>
      <c r="B307" s="338"/>
      <c r="C307" s="22"/>
      <c r="D307" s="72"/>
      <c r="P307" s="190"/>
    </row>
    <row r="308" spans="1:16" x14ac:dyDescent="0.3">
      <c r="A308" s="5"/>
      <c r="B308" s="338"/>
      <c r="C308" s="22"/>
      <c r="D308" s="72"/>
      <c r="P308" s="190"/>
    </row>
    <row r="309" spans="1:16" x14ac:dyDescent="0.3">
      <c r="A309" s="5"/>
      <c r="B309" s="338"/>
      <c r="C309" s="22"/>
      <c r="D309" s="72"/>
      <c r="P309" s="190"/>
    </row>
    <row r="310" spans="1:16" x14ac:dyDescent="0.3">
      <c r="A310" s="5"/>
      <c r="B310" s="338"/>
      <c r="C310" s="22"/>
      <c r="D310" s="72"/>
      <c r="P310" s="190"/>
    </row>
    <row r="311" spans="1:16" x14ac:dyDescent="0.3">
      <c r="A311" s="5"/>
      <c r="B311" s="338"/>
      <c r="C311" s="22"/>
      <c r="D311" s="72"/>
      <c r="P311" s="190"/>
    </row>
    <row r="312" spans="1:16" x14ac:dyDescent="0.3">
      <c r="A312" s="5"/>
      <c r="B312" s="338"/>
      <c r="C312" s="22"/>
      <c r="D312" s="72"/>
      <c r="P312" s="190"/>
    </row>
    <row r="313" spans="1:16" x14ac:dyDescent="0.3">
      <c r="A313" s="5"/>
      <c r="B313" s="338"/>
      <c r="C313" s="22"/>
      <c r="D313" s="72"/>
      <c r="P313" s="190"/>
    </row>
    <row r="314" spans="1:16" x14ac:dyDescent="0.3">
      <c r="A314" s="5"/>
      <c r="B314" s="338"/>
      <c r="C314" s="22"/>
      <c r="D314" s="72"/>
      <c r="P314" s="190"/>
    </row>
    <row r="315" spans="1:16" x14ac:dyDescent="0.3">
      <c r="A315" s="5"/>
      <c r="B315" s="338"/>
      <c r="C315" s="22"/>
      <c r="D315" s="72"/>
      <c r="P315" s="190"/>
    </row>
    <row r="316" spans="1:16" x14ac:dyDescent="0.3">
      <c r="A316" s="5"/>
      <c r="B316" s="338"/>
      <c r="C316" s="22"/>
      <c r="D316" s="72"/>
      <c r="P316" s="190"/>
    </row>
    <row r="317" spans="1:16" x14ac:dyDescent="0.3">
      <c r="A317" s="5"/>
      <c r="B317" s="338"/>
      <c r="C317" s="22"/>
      <c r="D317" s="72"/>
      <c r="P317" s="190"/>
    </row>
    <row r="318" spans="1:16" x14ac:dyDescent="0.3">
      <c r="A318" s="5"/>
      <c r="B318" s="338"/>
      <c r="C318" s="22"/>
      <c r="D318" s="72"/>
      <c r="P318" s="190"/>
    </row>
    <row r="319" spans="1:16" x14ac:dyDescent="0.3">
      <c r="A319" s="5"/>
      <c r="B319" s="338"/>
      <c r="C319" s="22"/>
      <c r="D319" s="72"/>
      <c r="P319" s="190"/>
    </row>
    <row r="320" spans="1:16" x14ac:dyDescent="0.3">
      <c r="A320" s="5"/>
      <c r="B320" s="338"/>
      <c r="C320" s="22"/>
      <c r="D320" s="72"/>
      <c r="P320" s="190"/>
    </row>
    <row r="321" spans="1:16" x14ac:dyDescent="0.3">
      <c r="A321" s="5"/>
      <c r="B321" s="338"/>
      <c r="C321" s="22"/>
      <c r="D321" s="72"/>
      <c r="P321" s="190"/>
    </row>
    <row r="322" spans="1:16" x14ac:dyDescent="0.3">
      <c r="A322" s="5"/>
      <c r="B322" s="338"/>
      <c r="C322" s="22"/>
      <c r="D322" s="72"/>
      <c r="P322" s="190"/>
    </row>
    <row r="323" spans="1:16" x14ac:dyDescent="0.3">
      <c r="A323" s="5"/>
      <c r="B323" s="338"/>
      <c r="C323" s="22"/>
      <c r="D323" s="72"/>
      <c r="P323" s="190"/>
    </row>
    <row r="324" spans="1:16" x14ac:dyDescent="0.3">
      <c r="A324" s="5"/>
      <c r="B324" s="338"/>
      <c r="C324" s="22"/>
      <c r="D324" s="72"/>
      <c r="P324" s="190"/>
    </row>
    <row r="325" spans="1:16" x14ac:dyDescent="0.3">
      <c r="A325" s="5"/>
      <c r="B325" s="338"/>
      <c r="C325" s="22"/>
      <c r="D325" s="72"/>
      <c r="P325" s="190"/>
    </row>
    <row r="326" spans="1:16" x14ac:dyDescent="0.3">
      <c r="A326" s="5"/>
      <c r="B326" s="338"/>
      <c r="C326" s="22"/>
      <c r="D326" s="72"/>
      <c r="P326" s="190"/>
    </row>
    <row r="327" spans="1:16" x14ac:dyDescent="0.3">
      <c r="A327" s="5"/>
      <c r="B327" s="338"/>
      <c r="C327" s="22"/>
      <c r="D327" s="72"/>
      <c r="P327" s="190"/>
    </row>
    <row r="328" spans="1:16" x14ac:dyDescent="0.3">
      <c r="A328" s="5"/>
      <c r="B328" s="338"/>
      <c r="C328" s="22"/>
      <c r="D328" s="72"/>
      <c r="P328" s="190"/>
    </row>
    <row r="329" spans="1:16" x14ac:dyDescent="0.3">
      <c r="A329" s="5"/>
      <c r="B329" s="338"/>
      <c r="C329" s="22"/>
      <c r="D329" s="72"/>
      <c r="P329" s="190"/>
    </row>
    <row r="330" spans="1:16" x14ac:dyDescent="0.3">
      <c r="A330" s="5"/>
      <c r="B330" s="338"/>
      <c r="C330" s="22"/>
      <c r="D330" s="72"/>
      <c r="P330" s="190"/>
    </row>
    <row r="331" spans="1:16" x14ac:dyDescent="0.3">
      <c r="A331" s="5"/>
      <c r="B331" s="338"/>
      <c r="C331" s="22"/>
      <c r="D331" s="72"/>
      <c r="P331" s="190"/>
    </row>
    <row r="332" spans="1:16" x14ac:dyDescent="0.3">
      <c r="A332" s="5"/>
      <c r="B332" s="338"/>
      <c r="C332" s="22"/>
      <c r="D332" s="72"/>
      <c r="P332" s="190"/>
    </row>
    <row r="333" spans="1:16" x14ac:dyDescent="0.3">
      <c r="A333" s="5"/>
      <c r="B333" s="338"/>
      <c r="C333" s="22"/>
      <c r="D333" s="72"/>
      <c r="P333" s="190"/>
    </row>
    <row r="334" spans="1:16" x14ac:dyDescent="0.3">
      <c r="A334" s="5"/>
      <c r="B334" s="338"/>
      <c r="C334" s="22"/>
      <c r="D334" s="72"/>
      <c r="P334" s="190"/>
    </row>
    <row r="335" spans="1:16" x14ac:dyDescent="0.3">
      <c r="A335" s="5"/>
      <c r="B335" s="338"/>
      <c r="C335" s="22"/>
      <c r="D335" s="72"/>
    </row>
    <row r="336" spans="1:16" x14ac:dyDescent="0.3">
      <c r="A336" s="5"/>
      <c r="B336" s="338"/>
      <c r="C336" s="22"/>
      <c r="D336" s="72"/>
      <c r="P336" s="190"/>
    </row>
    <row r="337" spans="1:4" x14ac:dyDescent="0.3">
      <c r="A337" s="5"/>
      <c r="B337" s="338"/>
      <c r="C337" s="22"/>
      <c r="D337" s="72"/>
    </row>
    <row r="338" spans="1:4" x14ac:dyDescent="0.3">
      <c r="A338" s="5"/>
      <c r="B338" s="338"/>
      <c r="C338" s="22"/>
      <c r="D338" s="72"/>
    </row>
    <row r="339" spans="1:4" x14ac:dyDescent="0.3">
      <c r="A339" s="5"/>
      <c r="B339" s="338"/>
      <c r="C339" s="22"/>
      <c r="D339" s="72"/>
    </row>
    <row r="340" spans="1:4" x14ac:dyDescent="0.3">
      <c r="A340" s="5"/>
      <c r="B340" s="338"/>
      <c r="C340" s="22"/>
      <c r="D340" s="72"/>
    </row>
    <row r="341" spans="1:4" x14ac:dyDescent="0.3">
      <c r="A341" s="5"/>
      <c r="B341" s="338"/>
      <c r="C341" s="22"/>
      <c r="D341" s="72"/>
    </row>
    <row r="342" spans="1:4" x14ac:dyDescent="0.3">
      <c r="A342" s="5"/>
      <c r="B342" s="338"/>
      <c r="C342" s="22"/>
      <c r="D342" s="72"/>
    </row>
    <row r="343" spans="1:4" x14ac:dyDescent="0.3">
      <c r="A343" s="5"/>
      <c r="B343" s="338"/>
      <c r="C343" s="22"/>
      <c r="D343" s="72"/>
    </row>
    <row r="344" spans="1:4" x14ac:dyDescent="0.3">
      <c r="A344" s="5"/>
      <c r="B344" s="338"/>
      <c r="C344" s="22"/>
      <c r="D344" s="72"/>
    </row>
    <row r="345" spans="1:4" x14ac:dyDescent="0.3">
      <c r="A345" s="5"/>
      <c r="B345" s="338"/>
      <c r="C345" s="22"/>
      <c r="D345" s="72"/>
    </row>
    <row r="346" spans="1:4" x14ac:dyDescent="0.3">
      <c r="A346" s="5"/>
      <c r="B346" s="338"/>
      <c r="C346" s="22"/>
      <c r="D346" s="72"/>
    </row>
    <row r="347" spans="1:4" x14ac:dyDescent="0.3">
      <c r="A347" s="5"/>
      <c r="B347" s="338"/>
      <c r="C347" s="22"/>
      <c r="D347" s="72"/>
    </row>
    <row r="348" spans="1:4" x14ac:dyDescent="0.3">
      <c r="A348" s="5"/>
      <c r="B348" s="338"/>
      <c r="C348" s="22"/>
      <c r="D348" s="72"/>
    </row>
    <row r="349" spans="1:4" x14ac:dyDescent="0.3">
      <c r="A349" s="5"/>
      <c r="B349" s="338"/>
      <c r="C349" s="22"/>
      <c r="D349" s="72"/>
    </row>
    <row r="350" spans="1:4" x14ac:dyDescent="0.3">
      <c r="A350" s="5"/>
      <c r="B350" s="338"/>
      <c r="C350" s="22"/>
      <c r="D350" s="72"/>
    </row>
    <row r="351" spans="1:4" x14ac:dyDescent="0.3">
      <c r="A351" s="5"/>
      <c r="B351" s="338"/>
      <c r="C351" s="22"/>
      <c r="D351" s="72"/>
    </row>
    <row r="352" spans="1:4" x14ac:dyDescent="0.3">
      <c r="A352" s="5"/>
      <c r="B352" s="338"/>
      <c r="C352" s="22"/>
      <c r="D352" s="72"/>
    </row>
    <row r="353" spans="1:4" x14ac:dyDescent="0.3">
      <c r="A353" s="5"/>
      <c r="B353" s="338"/>
      <c r="C353" s="22"/>
      <c r="D353" s="72"/>
    </row>
    <row r="354" spans="1:4" x14ac:dyDescent="0.3">
      <c r="A354" s="5"/>
      <c r="B354" s="338"/>
      <c r="C354" s="22"/>
      <c r="D354" s="72"/>
    </row>
    <row r="355" spans="1:4" x14ac:dyDescent="0.3">
      <c r="A355" s="5"/>
      <c r="B355" s="338"/>
      <c r="C355" s="22"/>
      <c r="D355" s="72"/>
    </row>
    <row r="356" spans="1:4" x14ac:dyDescent="0.3">
      <c r="A356" s="5"/>
      <c r="B356" s="338"/>
      <c r="C356" s="22"/>
      <c r="D356" s="72"/>
    </row>
    <row r="357" spans="1:4" x14ac:dyDescent="0.3">
      <c r="A357" s="5"/>
      <c r="B357" s="338"/>
      <c r="C357" s="22"/>
      <c r="D357" s="72"/>
    </row>
    <row r="358" spans="1:4" x14ac:dyDescent="0.3">
      <c r="A358" s="5"/>
      <c r="B358" s="338"/>
      <c r="C358" s="22"/>
      <c r="D358" s="72"/>
    </row>
    <row r="359" spans="1:4" x14ac:dyDescent="0.3">
      <c r="A359" s="5"/>
      <c r="B359" s="338"/>
      <c r="C359" s="22"/>
      <c r="D359" s="72"/>
    </row>
    <row r="360" spans="1:4" x14ac:dyDescent="0.3">
      <c r="A360" s="5"/>
      <c r="B360" s="338"/>
      <c r="C360" s="22"/>
      <c r="D360" s="72"/>
    </row>
    <row r="361" spans="1:4" x14ac:dyDescent="0.3">
      <c r="A361" s="5"/>
      <c r="B361" s="338"/>
      <c r="C361" s="22"/>
      <c r="D361" s="72"/>
    </row>
    <row r="362" spans="1:4" x14ac:dyDescent="0.3">
      <c r="A362" s="5"/>
      <c r="B362" s="338"/>
      <c r="C362" s="22"/>
      <c r="D362" s="72"/>
    </row>
    <row r="363" spans="1:4" x14ac:dyDescent="0.3">
      <c r="A363" s="5"/>
      <c r="B363" s="338"/>
      <c r="C363" s="22"/>
      <c r="D363" s="72"/>
    </row>
    <row r="364" spans="1:4" x14ac:dyDescent="0.3">
      <c r="A364" s="5"/>
      <c r="B364" s="338"/>
      <c r="C364" s="22"/>
      <c r="D364" s="72"/>
    </row>
    <row r="365" spans="1:4" x14ac:dyDescent="0.3">
      <c r="A365" s="5"/>
      <c r="B365" s="338"/>
      <c r="C365" s="22"/>
      <c r="D365" s="72"/>
    </row>
    <row r="366" spans="1:4" x14ac:dyDescent="0.3">
      <c r="A366" s="5"/>
      <c r="B366" s="338"/>
      <c r="C366" s="22"/>
      <c r="D366" s="72"/>
    </row>
    <row r="367" spans="1:4" x14ac:dyDescent="0.3">
      <c r="A367" s="5"/>
      <c r="B367" s="338"/>
      <c r="C367" s="22"/>
      <c r="D367" s="72"/>
    </row>
    <row r="368" spans="1:4" x14ac:dyDescent="0.3">
      <c r="A368" s="5"/>
      <c r="B368" s="338"/>
      <c r="C368" s="22"/>
      <c r="D368" s="72"/>
    </row>
    <row r="369" spans="4:4" x14ac:dyDescent="0.3">
      <c r="D369" s="72"/>
    </row>
    <row r="370" spans="4:4" x14ac:dyDescent="0.3">
      <c r="D370" s="72"/>
    </row>
    <row r="371" spans="4:4" x14ac:dyDescent="0.3">
      <c r="D371" s="72"/>
    </row>
    <row r="372" spans="4:4" x14ac:dyDescent="0.3">
      <c r="D372" s="72"/>
    </row>
    <row r="373" spans="4:4" x14ac:dyDescent="0.3">
      <c r="D373" s="72"/>
    </row>
    <row r="374" spans="4:4" x14ac:dyDescent="0.3">
      <c r="D374" s="72"/>
    </row>
    <row r="375" spans="4:4" x14ac:dyDescent="0.3">
      <c r="D375" s="72"/>
    </row>
    <row r="376" spans="4:4" x14ac:dyDescent="0.3">
      <c r="D376" s="72"/>
    </row>
    <row r="377" spans="4:4" x14ac:dyDescent="0.3">
      <c r="D377" s="72"/>
    </row>
    <row r="378" spans="4:4" x14ac:dyDescent="0.3">
      <c r="D378" s="72"/>
    </row>
    <row r="379" spans="4:4" x14ac:dyDescent="0.3">
      <c r="D379" s="72"/>
    </row>
    <row r="380" spans="4:4" x14ac:dyDescent="0.3">
      <c r="D380" s="72"/>
    </row>
    <row r="381" spans="4:4" x14ac:dyDescent="0.3">
      <c r="D381" s="72"/>
    </row>
    <row r="382" spans="4:4" x14ac:dyDescent="0.3">
      <c r="D382" s="72"/>
    </row>
    <row r="383" spans="4:4" x14ac:dyDescent="0.3">
      <c r="D383" s="72"/>
    </row>
    <row r="384" spans="4:4" x14ac:dyDescent="0.3">
      <c r="D384" s="72"/>
    </row>
    <row r="385" spans="4:4" x14ac:dyDescent="0.3">
      <c r="D385" s="72"/>
    </row>
    <row r="386" spans="4:4" x14ac:dyDescent="0.3">
      <c r="D386" s="72"/>
    </row>
    <row r="387" spans="4:4" x14ac:dyDescent="0.3">
      <c r="D387" s="72"/>
    </row>
    <row r="388" spans="4:4" x14ac:dyDescent="0.3">
      <c r="D388" s="72"/>
    </row>
    <row r="389" spans="4:4" x14ac:dyDescent="0.3">
      <c r="D389" s="72"/>
    </row>
    <row r="390" spans="4:4" x14ac:dyDescent="0.3">
      <c r="D390" s="72"/>
    </row>
    <row r="391" spans="4:4" x14ac:dyDescent="0.3">
      <c r="D391" s="72"/>
    </row>
    <row r="392" spans="4:4" x14ac:dyDescent="0.3">
      <c r="D392" s="72"/>
    </row>
    <row r="393" spans="4:4" x14ac:dyDescent="0.3">
      <c r="D393" s="72"/>
    </row>
    <row r="394" spans="4:4" x14ac:dyDescent="0.3">
      <c r="D394" s="72"/>
    </row>
    <row r="395" spans="4:4" x14ac:dyDescent="0.3">
      <c r="D395" s="72"/>
    </row>
    <row r="396" spans="4:4" x14ac:dyDescent="0.3">
      <c r="D396" s="72"/>
    </row>
    <row r="397" spans="4:4" x14ac:dyDescent="0.3">
      <c r="D397" s="72"/>
    </row>
    <row r="398" spans="4:4" x14ac:dyDescent="0.3">
      <c r="D398" s="72"/>
    </row>
    <row r="399" spans="4:4" x14ac:dyDescent="0.3">
      <c r="D399" s="72"/>
    </row>
    <row r="400" spans="4:4" x14ac:dyDescent="0.3">
      <c r="D400" s="72"/>
    </row>
    <row r="401" spans="4:4" x14ac:dyDescent="0.3">
      <c r="D401" s="72"/>
    </row>
    <row r="402" spans="4:4" x14ac:dyDescent="0.3">
      <c r="D402" s="72"/>
    </row>
    <row r="403" spans="4:4" x14ac:dyDescent="0.3">
      <c r="D403" s="72"/>
    </row>
    <row r="404" spans="4:4" x14ac:dyDescent="0.3">
      <c r="D404" s="72"/>
    </row>
    <row r="405" spans="4:4" x14ac:dyDescent="0.3">
      <c r="D405" s="72"/>
    </row>
    <row r="406" spans="4:4" x14ac:dyDescent="0.3">
      <c r="D406" s="72"/>
    </row>
    <row r="407" spans="4:4" x14ac:dyDescent="0.3">
      <c r="D407" s="72"/>
    </row>
    <row r="408" spans="4:4" x14ac:dyDescent="0.3">
      <c r="D408" s="72"/>
    </row>
    <row r="409" spans="4:4" x14ac:dyDescent="0.3">
      <c r="D409" s="72"/>
    </row>
    <row r="410" spans="4:4" x14ac:dyDescent="0.3">
      <c r="D410" s="72"/>
    </row>
    <row r="411" spans="4:4" x14ac:dyDescent="0.3">
      <c r="D411" s="72"/>
    </row>
    <row r="412" spans="4:4" x14ac:dyDescent="0.3">
      <c r="D412" s="72"/>
    </row>
    <row r="413" spans="4:4" x14ac:dyDescent="0.3">
      <c r="D413" s="72"/>
    </row>
    <row r="414" spans="4:4" x14ac:dyDescent="0.3">
      <c r="D414" s="72"/>
    </row>
    <row r="415" spans="4:4" x14ac:dyDescent="0.3">
      <c r="D415" s="72"/>
    </row>
    <row r="416" spans="4:4" x14ac:dyDescent="0.3">
      <c r="D416" s="72"/>
    </row>
    <row r="417" spans="4:4" x14ac:dyDescent="0.3">
      <c r="D417" s="72"/>
    </row>
    <row r="418" spans="4:4" x14ac:dyDescent="0.3">
      <c r="D418" s="72"/>
    </row>
    <row r="419" spans="4:4" x14ac:dyDescent="0.3">
      <c r="D419" s="72"/>
    </row>
    <row r="420" spans="4:4" x14ac:dyDescent="0.3">
      <c r="D420" s="72"/>
    </row>
    <row r="421" spans="4:4" x14ac:dyDescent="0.3">
      <c r="D421" s="72"/>
    </row>
    <row r="422" spans="4:4" x14ac:dyDescent="0.3">
      <c r="D422" s="72"/>
    </row>
    <row r="423" spans="4:4" x14ac:dyDescent="0.3">
      <c r="D423" s="72"/>
    </row>
    <row r="424" spans="4:4" x14ac:dyDescent="0.3">
      <c r="D424" s="72"/>
    </row>
    <row r="425" spans="4:4" x14ac:dyDescent="0.3">
      <c r="D425" s="72"/>
    </row>
    <row r="426" spans="4:4" x14ac:dyDescent="0.3">
      <c r="D426" s="72"/>
    </row>
    <row r="427" spans="4:4" x14ac:dyDescent="0.3">
      <c r="D427" s="72"/>
    </row>
    <row r="428" spans="4:4" x14ac:dyDescent="0.3">
      <c r="D428" s="72"/>
    </row>
    <row r="429" spans="4:4" x14ac:dyDescent="0.3">
      <c r="D429" s="72"/>
    </row>
    <row r="430" spans="4:4" x14ac:dyDescent="0.3">
      <c r="D430" s="72"/>
    </row>
    <row r="431" spans="4:4" x14ac:dyDescent="0.3">
      <c r="D431" s="72"/>
    </row>
    <row r="432" spans="4:4" x14ac:dyDescent="0.3">
      <c r="D432" s="72"/>
    </row>
    <row r="433" spans="4:4" x14ac:dyDescent="0.3">
      <c r="D433" s="72"/>
    </row>
    <row r="434" spans="4:4" x14ac:dyDescent="0.3">
      <c r="D434" s="72"/>
    </row>
    <row r="435" spans="4:4" x14ac:dyDescent="0.3">
      <c r="D435" s="72"/>
    </row>
    <row r="436" spans="4:4" x14ac:dyDescent="0.3">
      <c r="D436" s="72"/>
    </row>
    <row r="437" spans="4:4" x14ac:dyDescent="0.3">
      <c r="D437" s="72"/>
    </row>
    <row r="438" spans="4:4" x14ac:dyDescent="0.3">
      <c r="D438" s="72"/>
    </row>
    <row r="439" spans="4:4" x14ac:dyDescent="0.3">
      <c r="D439" s="72"/>
    </row>
    <row r="440" spans="4:4" x14ac:dyDescent="0.3">
      <c r="D440" s="72"/>
    </row>
    <row r="441" spans="4:4" x14ac:dyDescent="0.3">
      <c r="D441" s="72"/>
    </row>
    <row r="442" spans="4:4" x14ac:dyDescent="0.3">
      <c r="D442" s="72"/>
    </row>
    <row r="443" spans="4:4" x14ac:dyDescent="0.3">
      <c r="D443" s="72"/>
    </row>
    <row r="444" spans="4:4" x14ac:dyDescent="0.3">
      <c r="D444" s="72"/>
    </row>
    <row r="445" spans="4:4" x14ac:dyDescent="0.3">
      <c r="D445" s="72"/>
    </row>
    <row r="446" spans="4:4" x14ac:dyDescent="0.3">
      <c r="D446" s="72"/>
    </row>
    <row r="447" spans="4:4" x14ac:dyDescent="0.3">
      <c r="D447" s="72"/>
    </row>
    <row r="448" spans="4:4" x14ac:dyDescent="0.3">
      <c r="D448" s="72"/>
    </row>
    <row r="449" spans="4:4" x14ac:dyDescent="0.3">
      <c r="D449" s="72"/>
    </row>
    <row r="450" spans="4:4" x14ac:dyDescent="0.3">
      <c r="D450" s="72"/>
    </row>
    <row r="451" spans="4:4" x14ac:dyDescent="0.3">
      <c r="D451" s="72"/>
    </row>
    <row r="452" spans="4:4" x14ac:dyDescent="0.3">
      <c r="D452" s="72"/>
    </row>
    <row r="453" spans="4:4" x14ac:dyDescent="0.3">
      <c r="D453" s="72"/>
    </row>
    <row r="454" spans="4:4" x14ac:dyDescent="0.3">
      <c r="D454" s="72"/>
    </row>
    <row r="455" spans="4:4" x14ac:dyDescent="0.3">
      <c r="D455" s="72"/>
    </row>
    <row r="456" spans="4:4" x14ac:dyDescent="0.3">
      <c r="D456" s="72"/>
    </row>
    <row r="457" spans="4:4" x14ac:dyDescent="0.3">
      <c r="D457" s="72"/>
    </row>
    <row r="458" spans="4:4" x14ac:dyDescent="0.3">
      <c r="D458" s="72"/>
    </row>
    <row r="459" spans="4:4" x14ac:dyDescent="0.3">
      <c r="D459" s="72"/>
    </row>
    <row r="460" spans="4:4" x14ac:dyDescent="0.3">
      <c r="D460" s="72"/>
    </row>
    <row r="461" spans="4:4" x14ac:dyDescent="0.3">
      <c r="D461" s="72"/>
    </row>
    <row r="462" spans="4:4" x14ac:dyDescent="0.3">
      <c r="D462" s="72"/>
    </row>
    <row r="463" spans="4:4" x14ac:dyDescent="0.3">
      <c r="D463" s="72"/>
    </row>
    <row r="464" spans="4:4" x14ac:dyDescent="0.3">
      <c r="D464" s="72"/>
    </row>
    <row r="465" spans="4:4" x14ac:dyDescent="0.3">
      <c r="D465" s="72"/>
    </row>
    <row r="466" spans="4:4" x14ac:dyDescent="0.3">
      <c r="D466" s="72"/>
    </row>
    <row r="467" spans="4:4" x14ac:dyDescent="0.3">
      <c r="D467" s="72"/>
    </row>
    <row r="468" spans="4:4" x14ac:dyDescent="0.3">
      <c r="D468" s="72"/>
    </row>
    <row r="469" spans="4:4" x14ac:dyDescent="0.3">
      <c r="D469" s="72"/>
    </row>
    <row r="470" spans="4:4" x14ac:dyDescent="0.3">
      <c r="D470" s="72"/>
    </row>
    <row r="471" spans="4:4" x14ac:dyDescent="0.3">
      <c r="D471" s="72"/>
    </row>
    <row r="472" spans="4:4" x14ac:dyDescent="0.3">
      <c r="D472" s="72"/>
    </row>
    <row r="473" spans="4:4" x14ac:dyDescent="0.3">
      <c r="D473" s="72"/>
    </row>
    <row r="474" spans="4:4" x14ac:dyDescent="0.3">
      <c r="D474" s="72"/>
    </row>
    <row r="475" spans="4:4" x14ac:dyDescent="0.3">
      <c r="D475" s="72"/>
    </row>
    <row r="476" spans="4:4" x14ac:dyDescent="0.3">
      <c r="D476" s="72"/>
    </row>
    <row r="477" spans="4:4" x14ac:dyDescent="0.3">
      <c r="D477" s="72"/>
    </row>
    <row r="478" spans="4:4" x14ac:dyDescent="0.3">
      <c r="D478" s="72"/>
    </row>
    <row r="479" spans="4:4" x14ac:dyDescent="0.3">
      <c r="D479" s="72"/>
    </row>
    <row r="480" spans="4:4" x14ac:dyDescent="0.3">
      <c r="D480" s="72"/>
    </row>
    <row r="481" spans="4:4" x14ac:dyDescent="0.3">
      <c r="D481" s="72"/>
    </row>
    <row r="482" spans="4:4" x14ac:dyDescent="0.3">
      <c r="D482" s="72"/>
    </row>
    <row r="483" spans="4:4" x14ac:dyDescent="0.3">
      <c r="D483" s="72"/>
    </row>
    <row r="484" spans="4:4" x14ac:dyDescent="0.3">
      <c r="D484" s="72"/>
    </row>
    <row r="485" spans="4:4" x14ac:dyDescent="0.3">
      <c r="D485" s="72"/>
    </row>
    <row r="486" spans="4:4" x14ac:dyDescent="0.3">
      <c r="D486" s="72"/>
    </row>
    <row r="487" spans="4:4" x14ac:dyDescent="0.3">
      <c r="D487" s="72"/>
    </row>
    <row r="488" spans="4:4" x14ac:dyDescent="0.3">
      <c r="D488" s="72"/>
    </row>
    <row r="489" spans="4:4" x14ac:dyDescent="0.3">
      <c r="D489" s="72"/>
    </row>
    <row r="490" spans="4:4" x14ac:dyDescent="0.3">
      <c r="D490" s="72"/>
    </row>
    <row r="491" spans="4:4" x14ac:dyDescent="0.3">
      <c r="D491" s="72"/>
    </row>
    <row r="492" spans="4:4" x14ac:dyDescent="0.3">
      <c r="D492" s="72"/>
    </row>
    <row r="493" spans="4:4" x14ac:dyDescent="0.3">
      <c r="D493" s="72"/>
    </row>
    <row r="494" spans="4:4" x14ac:dyDescent="0.3">
      <c r="D494" s="72"/>
    </row>
    <row r="495" spans="4:4" x14ac:dyDescent="0.3">
      <c r="D495" s="72"/>
    </row>
    <row r="496" spans="4:4" x14ac:dyDescent="0.3">
      <c r="D496" s="72"/>
    </row>
    <row r="497" spans="4:4" x14ac:dyDescent="0.3">
      <c r="D497" s="72"/>
    </row>
    <row r="498" spans="4:4" x14ac:dyDescent="0.3">
      <c r="D498" s="72"/>
    </row>
    <row r="499" spans="4:4" x14ac:dyDescent="0.3">
      <c r="D499" s="72"/>
    </row>
    <row r="500" spans="4:4" x14ac:dyDescent="0.3">
      <c r="D500" s="72"/>
    </row>
    <row r="501" spans="4:4" x14ac:dyDescent="0.3">
      <c r="D501" s="72"/>
    </row>
    <row r="502" spans="4:4" x14ac:dyDescent="0.3">
      <c r="D502" s="72"/>
    </row>
    <row r="503" spans="4:4" x14ac:dyDescent="0.3">
      <c r="D503" s="72"/>
    </row>
    <row r="504" spans="4:4" x14ac:dyDescent="0.3">
      <c r="D504" s="72"/>
    </row>
    <row r="505" spans="4:4" x14ac:dyDescent="0.3">
      <c r="D505" s="72"/>
    </row>
    <row r="506" spans="4:4" x14ac:dyDescent="0.3">
      <c r="D506" s="72"/>
    </row>
    <row r="507" spans="4:4" x14ac:dyDescent="0.3">
      <c r="D507" s="72"/>
    </row>
    <row r="508" spans="4:4" x14ac:dyDescent="0.3">
      <c r="D508" s="72"/>
    </row>
    <row r="509" spans="4:4" x14ac:dyDescent="0.3">
      <c r="D509" s="72"/>
    </row>
    <row r="510" spans="4:4" x14ac:dyDescent="0.3">
      <c r="D510" s="72"/>
    </row>
    <row r="511" spans="4:4" x14ac:dyDescent="0.3">
      <c r="D511" s="72"/>
    </row>
    <row r="512" spans="4:4" x14ac:dyDescent="0.3">
      <c r="D512" s="72"/>
    </row>
    <row r="513" spans="4:4" x14ac:dyDescent="0.3">
      <c r="D513" s="72"/>
    </row>
    <row r="514" spans="4:4" x14ac:dyDescent="0.3">
      <c r="D514" s="72"/>
    </row>
    <row r="515" spans="4:4" x14ac:dyDescent="0.3">
      <c r="D515" s="72"/>
    </row>
    <row r="516" spans="4:4" x14ac:dyDescent="0.3">
      <c r="D516" s="72"/>
    </row>
    <row r="517" spans="4:4" x14ac:dyDescent="0.3">
      <c r="D517" s="72"/>
    </row>
    <row r="518" spans="4:4" x14ac:dyDescent="0.3">
      <c r="D518" s="72"/>
    </row>
    <row r="519" spans="4:4" x14ac:dyDescent="0.3">
      <c r="D519" s="72"/>
    </row>
    <row r="520" spans="4:4" x14ac:dyDescent="0.3">
      <c r="D520" s="72"/>
    </row>
    <row r="521" spans="4:4" x14ac:dyDescent="0.3">
      <c r="D521" s="72"/>
    </row>
    <row r="522" spans="4:4" x14ac:dyDescent="0.3">
      <c r="D522" s="72"/>
    </row>
    <row r="523" spans="4:4" x14ac:dyDescent="0.3">
      <c r="D523" s="72"/>
    </row>
    <row r="524" spans="4:4" x14ac:dyDescent="0.3">
      <c r="D524" s="72"/>
    </row>
    <row r="525" spans="4:4" x14ac:dyDescent="0.3">
      <c r="D525" s="72"/>
    </row>
    <row r="526" spans="4:4" x14ac:dyDescent="0.3">
      <c r="D526" s="72"/>
    </row>
    <row r="527" spans="4:4" x14ac:dyDescent="0.3">
      <c r="D527" s="72"/>
    </row>
    <row r="528" spans="4:4" x14ac:dyDescent="0.3">
      <c r="D528" s="72"/>
    </row>
    <row r="529" spans="4:4" x14ac:dyDescent="0.3">
      <c r="D529" s="72"/>
    </row>
    <row r="530" spans="4:4" x14ac:dyDescent="0.3">
      <c r="D530" s="72"/>
    </row>
    <row r="531" spans="4:4" x14ac:dyDescent="0.3">
      <c r="D531" s="72"/>
    </row>
    <row r="532" spans="4:4" x14ac:dyDescent="0.3">
      <c r="D532" s="72"/>
    </row>
    <row r="533" spans="4:4" x14ac:dyDescent="0.3">
      <c r="D533" s="72"/>
    </row>
    <row r="534" spans="4:4" x14ac:dyDescent="0.3">
      <c r="D534" s="72"/>
    </row>
    <row r="535" spans="4:4" x14ac:dyDescent="0.3">
      <c r="D535" s="72"/>
    </row>
    <row r="536" spans="4:4" x14ac:dyDescent="0.3">
      <c r="D536" s="72"/>
    </row>
    <row r="537" spans="4:4" x14ac:dyDescent="0.3">
      <c r="D537" s="72"/>
    </row>
    <row r="538" spans="4:4" x14ac:dyDescent="0.3">
      <c r="D538" s="72"/>
    </row>
    <row r="539" spans="4:4" x14ac:dyDescent="0.3">
      <c r="D539" s="72"/>
    </row>
    <row r="540" spans="4:4" x14ac:dyDescent="0.3">
      <c r="D540" s="72"/>
    </row>
    <row r="541" spans="4:4" x14ac:dyDescent="0.3">
      <c r="D541" s="72"/>
    </row>
    <row r="542" spans="4:4" x14ac:dyDescent="0.3">
      <c r="D542" s="72"/>
    </row>
    <row r="543" spans="4:4" x14ac:dyDescent="0.3">
      <c r="D543" s="72"/>
    </row>
    <row r="544" spans="4:4" x14ac:dyDescent="0.3">
      <c r="D544" s="72"/>
    </row>
    <row r="545" spans="4:4" x14ac:dyDescent="0.3">
      <c r="D545" s="72"/>
    </row>
    <row r="546" spans="4:4" x14ac:dyDescent="0.3">
      <c r="D546" s="72"/>
    </row>
    <row r="547" spans="4:4" x14ac:dyDescent="0.3">
      <c r="D547" s="72"/>
    </row>
    <row r="548" spans="4:4" x14ac:dyDescent="0.3">
      <c r="D548" s="72"/>
    </row>
    <row r="549" spans="4:4" x14ac:dyDescent="0.3">
      <c r="D549" s="72"/>
    </row>
    <row r="550" spans="4:4" x14ac:dyDescent="0.3">
      <c r="D550" s="72"/>
    </row>
    <row r="551" spans="4:4" x14ac:dyDescent="0.3">
      <c r="D551" s="72"/>
    </row>
    <row r="552" spans="4:4" x14ac:dyDescent="0.3">
      <c r="D552" s="72"/>
    </row>
    <row r="553" spans="4:4" x14ac:dyDescent="0.3">
      <c r="D553" s="72"/>
    </row>
    <row r="554" spans="4:4" x14ac:dyDescent="0.3">
      <c r="D554" s="72"/>
    </row>
    <row r="555" spans="4:4" x14ac:dyDescent="0.3">
      <c r="D555" s="72"/>
    </row>
    <row r="556" spans="4:4" x14ac:dyDescent="0.3">
      <c r="D556" s="72"/>
    </row>
    <row r="557" spans="4:4" x14ac:dyDescent="0.3">
      <c r="D557" s="72"/>
    </row>
    <row r="558" spans="4:4" x14ac:dyDescent="0.3">
      <c r="D558" s="72"/>
    </row>
    <row r="559" spans="4:4" x14ac:dyDescent="0.3">
      <c r="D559" s="72"/>
    </row>
    <row r="560" spans="4:4" x14ac:dyDescent="0.3">
      <c r="D560" s="72"/>
    </row>
    <row r="561" spans="4:4" x14ac:dyDescent="0.3">
      <c r="D561" s="72"/>
    </row>
    <row r="562" spans="4:4" x14ac:dyDescent="0.3">
      <c r="D562" s="72"/>
    </row>
    <row r="563" spans="4:4" x14ac:dyDescent="0.3">
      <c r="D563" s="72"/>
    </row>
    <row r="564" spans="4:4" x14ac:dyDescent="0.3">
      <c r="D564" s="72"/>
    </row>
    <row r="565" spans="4:4" x14ac:dyDescent="0.3">
      <c r="D565" s="72"/>
    </row>
    <row r="566" spans="4:4" x14ac:dyDescent="0.3">
      <c r="D566" s="72"/>
    </row>
    <row r="567" spans="4:4" x14ac:dyDescent="0.3">
      <c r="D567" s="72"/>
    </row>
    <row r="568" spans="4:4" x14ac:dyDescent="0.3">
      <c r="D568" s="72"/>
    </row>
    <row r="569" spans="4:4" x14ac:dyDescent="0.3">
      <c r="D569" s="72"/>
    </row>
    <row r="570" spans="4:4" x14ac:dyDescent="0.3">
      <c r="D570" s="72"/>
    </row>
    <row r="571" spans="4:4" x14ac:dyDescent="0.3">
      <c r="D571" s="72"/>
    </row>
    <row r="572" spans="4:4" x14ac:dyDescent="0.3">
      <c r="D572" s="72"/>
    </row>
    <row r="573" spans="4:4" x14ac:dyDescent="0.3">
      <c r="D573" s="72"/>
    </row>
    <row r="574" spans="4:4" x14ac:dyDescent="0.3">
      <c r="D574" s="72"/>
    </row>
    <row r="575" spans="4:4" x14ac:dyDescent="0.3">
      <c r="D575" s="72"/>
    </row>
    <row r="576" spans="4:4" x14ac:dyDescent="0.3">
      <c r="D576" s="72"/>
    </row>
    <row r="577" spans="4:4" x14ac:dyDescent="0.3">
      <c r="D577" s="72"/>
    </row>
    <row r="578" spans="4:4" x14ac:dyDescent="0.3">
      <c r="D578" s="72"/>
    </row>
    <row r="579" spans="4:4" x14ac:dyDescent="0.3">
      <c r="D579" s="72"/>
    </row>
    <row r="580" spans="4:4" x14ac:dyDescent="0.3">
      <c r="D580" s="72"/>
    </row>
    <row r="581" spans="4:4" x14ac:dyDescent="0.3">
      <c r="D581" s="72"/>
    </row>
    <row r="582" spans="4:4" x14ac:dyDescent="0.3">
      <c r="D582" s="72"/>
    </row>
    <row r="583" spans="4:4" x14ac:dyDescent="0.3">
      <c r="D583" s="72"/>
    </row>
    <row r="584" spans="4:4" x14ac:dyDescent="0.3">
      <c r="D584" s="72"/>
    </row>
    <row r="585" spans="4:4" x14ac:dyDescent="0.3">
      <c r="D585" s="72"/>
    </row>
    <row r="586" spans="4:4" x14ac:dyDescent="0.3">
      <c r="D586" s="72"/>
    </row>
    <row r="587" spans="4:4" x14ac:dyDescent="0.3">
      <c r="D587" s="72"/>
    </row>
    <row r="588" spans="4:4" x14ac:dyDescent="0.3">
      <c r="D588" s="72"/>
    </row>
    <row r="589" spans="4:4" x14ac:dyDescent="0.3">
      <c r="D589" s="72"/>
    </row>
    <row r="590" spans="4:4" x14ac:dyDescent="0.3">
      <c r="D590" s="72"/>
    </row>
    <row r="591" spans="4:4" x14ac:dyDescent="0.3">
      <c r="D591" s="72"/>
    </row>
    <row r="592" spans="4:4" x14ac:dyDescent="0.3">
      <c r="D592" s="72"/>
    </row>
    <row r="593" spans="4:4" x14ac:dyDescent="0.3">
      <c r="D593" s="72"/>
    </row>
    <row r="594" spans="4:4" x14ac:dyDescent="0.3">
      <c r="D594" s="72"/>
    </row>
    <row r="595" spans="4:4" x14ac:dyDescent="0.3">
      <c r="D595" s="72"/>
    </row>
    <row r="596" spans="4:4" x14ac:dyDescent="0.3">
      <c r="D596" s="72"/>
    </row>
    <row r="597" spans="4:4" x14ac:dyDescent="0.3">
      <c r="D597" s="72"/>
    </row>
    <row r="598" spans="4:4" x14ac:dyDescent="0.3">
      <c r="D598" s="72"/>
    </row>
    <row r="599" spans="4:4" x14ac:dyDescent="0.3">
      <c r="D599" s="72"/>
    </row>
    <row r="600" spans="4:4" x14ac:dyDescent="0.3">
      <c r="D600" s="72"/>
    </row>
    <row r="601" spans="4:4" x14ac:dyDescent="0.3">
      <c r="D601" s="72"/>
    </row>
    <row r="602" spans="4:4" x14ac:dyDescent="0.3">
      <c r="D602" s="72"/>
    </row>
    <row r="603" spans="4:4" x14ac:dyDescent="0.3">
      <c r="D603" s="72"/>
    </row>
    <row r="604" spans="4:4" x14ac:dyDescent="0.3">
      <c r="D604" s="72"/>
    </row>
    <row r="605" spans="4:4" x14ac:dyDescent="0.3">
      <c r="D605" s="72"/>
    </row>
    <row r="606" spans="4:4" x14ac:dyDescent="0.3">
      <c r="D606" s="72"/>
    </row>
    <row r="607" spans="4:4" x14ac:dyDescent="0.3">
      <c r="D607" s="72"/>
    </row>
    <row r="608" spans="4:4" x14ac:dyDescent="0.3">
      <c r="D608" s="72"/>
    </row>
    <row r="609" spans="4:4" x14ac:dyDescent="0.3">
      <c r="D609" s="72"/>
    </row>
    <row r="610" spans="4:4" x14ac:dyDescent="0.3">
      <c r="D610" s="72"/>
    </row>
    <row r="611" spans="4:4" x14ac:dyDescent="0.3">
      <c r="D611" s="72"/>
    </row>
    <row r="612" spans="4:4" x14ac:dyDescent="0.3">
      <c r="D612" s="72"/>
    </row>
    <row r="613" spans="4:4" x14ac:dyDescent="0.3">
      <c r="D613" s="72"/>
    </row>
    <row r="614" spans="4:4" x14ac:dyDescent="0.3">
      <c r="D614" s="72"/>
    </row>
    <row r="615" spans="4:4" x14ac:dyDescent="0.3">
      <c r="D615" s="72"/>
    </row>
    <row r="616" spans="4:4" x14ac:dyDescent="0.3">
      <c r="D616" s="72"/>
    </row>
    <row r="617" spans="4:4" x14ac:dyDescent="0.3">
      <c r="D617" s="72"/>
    </row>
    <row r="618" spans="4:4" x14ac:dyDescent="0.3">
      <c r="D618" s="72"/>
    </row>
    <row r="619" spans="4:4" x14ac:dyDescent="0.3">
      <c r="D619" s="72"/>
    </row>
    <row r="620" spans="4:4" x14ac:dyDescent="0.3">
      <c r="D620" s="72"/>
    </row>
    <row r="621" spans="4:4" x14ac:dyDescent="0.3">
      <c r="D621" s="72"/>
    </row>
    <row r="622" spans="4:4" x14ac:dyDescent="0.3">
      <c r="D622" s="72"/>
    </row>
    <row r="623" spans="4:4" x14ac:dyDescent="0.3">
      <c r="D623" s="72"/>
    </row>
    <row r="624" spans="4:4" x14ac:dyDescent="0.3">
      <c r="D624" s="72"/>
    </row>
    <row r="625" spans="4:4" x14ac:dyDescent="0.3">
      <c r="D625" s="72"/>
    </row>
    <row r="626" spans="4:4" x14ac:dyDescent="0.3">
      <c r="D626" s="72"/>
    </row>
    <row r="627" spans="4:4" x14ac:dyDescent="0.3">
      <c r="D627" s="72"/>
    </row>
    <row r="628" spans="4:4" x14ac:dyDescent="0.3">
      <c r="D628" s="72"/>
    </row>
    <row r="629" spans="4:4" x14ac:dyDescent="0.3">
      <c r="D629" s="72"/>
    </row>
    <row r="630" spans="4:4" x14ac:dyDescent="0.3">
      <c r="D630" s="72"/>
    </row>
    <row r="631" spans="4:4" x14ac:dyDescent="0.3">
      <c r="D631" s="72"/>
    </row>
    <row r="632" spans="4:4" x14ac:dyDescent="0.3">
      <c r="D632" s="72"/>
    </row>
    <row r="633" spans="4:4" x14ac:dyDescent="0.3">
      <c r="D633" s="72"/>
    </row>
    <row r="634" spans="4:4" x14ac:dyDescent="0.3">
      <c r="D634" s="72"/>
    </row>
    <row r="635" spans="4:4" x14ac:dyDescent="0.3">
      <c r="D635" s="72"/>
    </row>
    <row r="636" spans="4:4" x14ac:dyDescent="0.3">
      <c r="D636" s="72"/>
    </row>
    <row r="637" spans="4:4" x14ac:dyDescent="0.3">
      <c r="D637" s="72"/>
    </row>
    <row r="638" spans="4:4" x14ac:dyDescent="0.3">
      <c r="D638" s="72"/>
    </row>
    <row r="639" spans="4:4" x14ac:dyDescent="0.3">
      <c r="D639" s="72"/>
    </row>
    <row r="640" spans="4:4" x14ac:dyDescent="0.3">
      <c r="D640" s="72"/>
    </row>
    <row r="641" spans="4:4" x14ac:dyDescent="0.3">
      <c r="D641" s="72"/>
    </row>
    <row r="642" spans="4:4" x14ac:dyDescent="0.3">
      <c r="D642" s="72"/>
    </row>
    <row r="643" spans="4:4" x14ac:dyDescent="0.3">
      <c r="D643" s="72"/>
    </row>
    <row r="644" spans="4:4" x14ac:dyDescent="0.3">
      <c r="D644" s="72"/>
    </row>
    <row r="645" spans="4:4" x14ac:dyDescent="0.3">
      <c r="D645" s="72"/>
    </row>
    <row r="646" spans="4:4" x14ac:dyDescent="0.3">
      <c r="D646" s="72"/>
    </row>
    <row r="647" spans="4:4" x14ac:dyDescent="0.3">
      <c r="D647" s="72"/>
    </row>
    <row r="648" spans="4:4" x14ac:dyDescent="0.3">
      <c r="D648" s="72"/>
    </row>
    <row r="649" spans="4:4" x14ac:dyDescent="0.3">
      <c r="D649" s="72"/>
    </row>
    <row r="650" spans="4:4" x14ac:dyDescent="0.3">
      <c r="D650" s="72"/>
    </row>
    <row r="651" spans="4:4" x14ac:dyDescent="0.3">
      <c r="D651" s="72"/>
    </row>
    <row r="652" spans="4:4" x14ac:dyDescent="0.3">
      <c r="D652" s="72"/>
    </row>
    <row r="653" spans="4:4" x14ac:dyDescent="0.3">
      <c r="D653" s="72"/>
    </row>
    <row r="654" spans="4:4" x14ac:dyDescent="0.3">
      <c r="D654" s="72"/>
    </row>
    <row r="655" spans="4:4" x14ac:dyDescent="0.3">
      <c r="D655" s="72"/>
    </row>
    <row r="656" spans="4:4" x14ac:dyDescent="0.3">
      <c r="D656" s="72"/>
    </row>
    <row r="657" spans="4:4" x14ac:dyDescent="0.3">
      <c r="D657" s="72"/>
    </row>
    <row r="658" spans="4:4" x14ac:dyDescent="0.3">
      <c r="D658" s="72"/>
    </row>
    <row r="659" spans="4:4" x14ac:dyDescent="0.3">
      <c r="D659" s="72"/>
    </row>
    <row r="660" spans="4:4" x14ac:dyDescent="0.3">
      <c r="D660" s="72"/>
    </row>
    <row r="661" spans="4:4" x14ac:dyDescent="0.3">
      <c r="D661" s="72"/>
    </row>
    <row r="662" spans="4:4" x14ac:dyDescent="0.3">
      <c r="D662" s="72"/>
    </row>
    <row r="663" spans="4:4" x14ac:dyDescent="0.3">
      <c r="D663" s="72"/>
    </row>
    <row r="664" spans="4:4" x14ac:dyDescent="0.3">
      <c r="D664" s="72"/>
    </row>
    <row r="665" spans="4:4" x14ac:dyDescent="0.3">
      <c r="D665" s="72"/>
    </row>
    <row r="666" spans="4:4" x14ac:dyDescent="0.3">
      <c r="D666" s="72"/>
    </row>
    <row r="667" spans="4:4" x14ac:dyDescent="0.3">
      <c r="D667" s="72"/>
    </row>
    <row r="668" spans="4:4" x14ac:dyDescent="0.3">
      <c r="D668" s="72"/>
    </row>
    <row r="669" spans="4:4" x14ac:dyDescent="0.3">
      <c r="D669" s="72"/>
    </row>
    <row r="670" spans="4:4" x14ac:dyDescent="0.3">
      <c r="D670" s="72"/>
    </row>
  </sheetData>
  <sheetProtection formatCells="0" formatColumns="0" formatRows="0"/>
  <conditionalFormatting sqref="G33 G66:G72">
    <cfRule type="cellIs" dxfId="29" priority="99" stopIfTrue="1" operator="notEqual">
      <formula>0</formula>
    </cfRule>
  </conditionalFormatting>
  <conditionalFormatting sqref="G34">
    <cfRule type="cellIs" dxfId="28" priority="98" stopIfTrue="1" operator="notEqual">
      <formula>0</formula>
    </cfRule>
  </conditionalFormatting>
  <conditionalFormatting sqref="G50">
    <cfRule type="cellIs" dxfId="27" priority="97" stopIfTrue="1" operator="notEqual">
      <formula>0</formula>
    </cfRule>
  </conditionalFormatting>
  <conditionalFormatting sqref="G65">
    <cfRule type="cellIs" dxfId="26" priority="96" stopIfTrue="1" operator="notEqual">
      <formula>0</formula>
    </cfRule>
  </conditionalFormatting>
  <conditionalFormatting sqref="G92">
    <cfRule type="cellIs" dxfId="25" priority="94" stopIfTrue="1" operator="notEqual">
      <formula>0</formula>
    </cfRule>
  </conditionalFormatting>
  <conditionalFormatting sqref="G105">
    <cfRule type="cellIs" dxfId="24" priority="92" stopIfTrue="1" operator="notEqual">
      <formula>0</formula>
    </cfRule>
  </conditionalFormatting>
  <conditionalFormatting sqref="G106">
    <cfRule type="cellIs" dxfId="23" priority="91" stopIfTrue="1" operator="notEqual">
      <formula>0</formula>
    </cfRule>
  </conditionalFormatting>
  <conditionalFormatting sqref="H163:H165">
    <cfRule type="cellIs" priority="85" stopIfTrue="1" operator="equal">
      <formula>";;;"</formula>
    </cfRule>
  </conditionalFormatting>
  <conditionalFormatting sqref="H163">
    <cfRule type="cellIs" dxfId="22" priority="84" stopIfTrue="1" operator="equal">
      <formula>0</formula>
    </cfRule>
  </conditionalFormatting>
  <conditionalFormatting sqref="H164">
    <cfRule type="cellIs" dxfId="21" priority="83" stopIfTrue="1" operator="equal">
      <formula>0</formula>
    </cfRule>
  </conditionalFormatting>
  <conditionalFormatting sqref="H165">
    <cfRule type="cellIs" dxfId="20" priority="82" stopIfTrue="1" operator="equal">
      <formula>0</formula>
    </cfRule>
  </conditionalFormatting>
  <conditionalFormatting sqref="H165">
    <cfRule type="cellIs" dxfId="19" priority="81" stopIfTrue="1" operator="equal">
      <formula>0</formula>
    </cfRule>
  </conditionalFormatting>
  <conditionalFormatting sqref="H163">
    <cfRule type="cellIs" dxfId="18" priority="80" stopIfTrue="1" operator="equal">
      <formula>0</formula>
    </cfRule>
  </conditionalFormatting>
  <conditionalFormatting sqref="G21">
    <cfRule type="cellIs" dxfId="17" priority="79" stopIfTrue="1" operator="notEqual">
      <formula>0</formula>
    </cfRule>
  </conditionalFormatting>
  <conditionalFormatting sqref="G7">
    <cfRule type="containsText" dxfId="16" priority="77" stopIfTrue="1" operator="containsText" text="Included in error count">
      <formula>NOT(ISERROR(SEARCH("Included in error count",G7)))</formula>
    </cfRule>
    <cfRule type="cellIs" dxfId="15" priority="78" stopIfTrue="1" operator="equal">
      <formula>1</formula>
    </cfRule>
  </conditionalFormatting>
  <conditionalFormatting sqref="G41">
    <cfRule type="containsText" dxfId="14" priority="75" stopIfTrue="1" operator="containsText" text="Included in error count">
      <formula>NOT(ISERROR(SEARCH("Included in error count",G41)))</formula>
    </cfRule>
    <cfRule type="cellIs" dxfId="13" priority="76" stopIfTrue="1" operator="equal">
      <formula>1</formula>
    </cfRule>
  </conditionalFormatting>
  <conditionalFormatting sqref="G79:G80">
    <cfRule type="containsText" dxfId="12" priority="73" stopIfTrue="1" operator="containsText" text="Included in error count">
      <formula>NOT(ISERROR(SEARCH("Included in error count",G79)))</formula>
    </cfRule>
    <cfRule type="cellIs" dxfId="11" priority="74" stopIfTrue="1" operator="equal">
      <formula>1</formula>
    </cfRule>
  </conditionalFormatting>
  <conditionalFormatting sqref="G81">
    <cfRule type="containsText" dxfId="10" priority="71" stopIfTrue="1" operator="containsText" text="Included in error count">
      <formula>NOT(ISERROR(SEARCH("Included in error count",G81)))</formula>
    </cfRule>
    <cfRule type="cellIs" dxfId="9" priority="72" stopIfTrue="1" operator="equal">
      <formula>1</formula>
    </cfRule>
  </conditionalFormatting>
  <conditionalFormatting sqref="G90">
    <cfRule type="containsText" dxfId="8" priority="67" stopIfTrue="1" operator="containsText" text="Included in error count">
      <formula>NOT(ISERROR(SEARCH("Included in error count",G90)))</formula>
    </cfRule>
    <cfRule type="cellIs" dxfId="7" priority="68" stopIfTrue="1" operator="equal">
      <formula>1</formula>
    </cfRule>
  </conditionalFormatting>
  <conditionalFormatting sqref="G94">
    <cfRule type="containsText" dxfId="6" priority="63" stopIfTrue="1" operator="containsText" text="Included in error count">
      <formula>NOT(ISERROR(SEARCH("Included in error count",G94)))</formula>
    </cfRule>
    <cfRule type="cellIs" dxfId="5" priority="64" stopIfTrue="1" operator="equal">
      <formula>1</formula>
    </cfRule>
  </conditionalFormatting>
  <conditionalFormatting sqref="G163:G165">
    <cfRule type="cellIs" priority="6" stopIfTrue="1" operator="equal">
      <formula>";;;"</formula>
    </cfRule>
  </conditionalFormatting>
  <conditionalFormatting sqref="G163">
    <cfRule type="cellIs" dxfId="4" priority="5" stopIfTrue="1" operator="equal">
      <formula>0</formula>
    </cfRule>
  </conditionalFormatting>
  <conditionalFormatting sqref="G164">
    <cfRule type="cellIs" dxfId="3" priority="4" stopIfTrue="1" operator="equal">
      <formula>0</formula>
    </cfRule>
  </conditionalFormatting>
  <conditionalFormatting sqref="G165">
    <cfRule type="cellIs" dxfId="2" priority="3" stopIfTrue="1" operator="equal">
      <formula>0</formula>
    </cfRule>
  </conditionalFormatting>
  <conditionalFormatting sqref="G165">
    <cfRule type="cellIs" dxfId="1" priority="2" stopIfTrue="1" operator="equal">
      <formula>0</formula>
    </cfRule>
  </conditionalFormatting>
  <conditionalFormatting sqref="G163">
    <cfRule type="cellIs" dxfId="0" priority="1" stopIfTrue="1" operator="equal">
      <formula>0</formula>
    </cfRule>
  </conditionalFormatting>
  <pageMargins left="0.7" right="0.7" top="0.75" bottom="0.75" header="0.3" footer="0.3"/>
  <pageSetup scale="46" fitToHeight="0" orientation="landscape" r:id="rId1"/>
  <ignoredErrors>
    <ignoredError sqref="F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dimension ref="A1:CZ295"/>
  <sheetViews>
    <sheetView workbookViewId="0">
      <pane xSplit="3" ySplit="2" topLeftCell="D3" activePane="bottomRight" state="frozen"/>
      <selection pane="topRight" activeCell="D1" sqref="D1"/>
      <selection pane="bottomLeft" activeCell="A3" sqref="A3"/>
      <selection pane="bottomRight" activeCell="D9" sqref="D9"/>
    </sheetView>
  </sheetViews>
  <sheetFormatPr defaultRowHeight="14.4" x14ac:dyDescent="0.3"/>
  <cols>
    <col min="1" max="1" width="11" style="703" customWidth="1"/>
    <col min="2" max="2" width="72.6640625" customWidth="1"/>
    <col min="3" max="3" width="23.21875" customWidth="1"/>
    <col min="4" max="97" width="20.6640625" customWidth="1"/>
    <col min="98" max="103" width="20.77734375" customWidth="1"/>
  </cols>
  <sheetData>
    <row r="1" spans="1:103" x14ac:dyDescent="0.3">
      <c r="A1" t="s">
        <v>2091</v>
      </c>
      <c r="B1" t="s">
        <v>2092</v>
      </c>
      <c r="C1" t="s">
        <v>300</v>
      </c>
      <c r="D1" t="s">
        <v>816</v>
      </c>
      <c r="E1" t="s">
        <v>817</v>
      </c>
      <c r="F1" t="s">
        <v>818</v>
      </c>
      <c r="G1" t="s">
        <v>391</v>
      </c>
      <c r="H1" t="s">
        <v>819</v>
      </c>
      <c r="I1" t="s">
        <v>820</v>
      </c>
      <c r="J1" t="s">
        <v>821</v>
      </c>
      <c r="K1" t="s">
        <v>392</v>
      </c>
      <c r="L1" t="s">
        <v>822</v>
      </c>
      <c r="M1" t="s">
        <v>823</v>
      </c>
      <c r="N1" t="s">
        <v>824</v>
      </c>
      <c r="O1" t="s">
        <v>825</v>
      </c>
      <c r="P1" t="s">
        <v>826</v>
      </c>
      <c r="Q1" t="s">
        <v>827</v>
      </c>
      <c r="R1" t="s">
        <v>828</v>
      </c>
      <c r="S1" t="s">
        <v>829</v>
      </c>
      <c r="T1" t="s">
        <v>568</v>
      </c>
      <c r="U1" t="s">
        <v>830</v>
      </c>
      <c r="V1" t="s">
        <v>831</v>
      </c>
      <c r="W1" t="s">
        <v>569</v>
      </c>
      <c r="X1" t="s">
        <v>832</v>
      </c>
      <c r="Y1" t="s">
        <v>833</v>
      </c>
      <c r="Z1" t="s">
        <v>834</v>
      </c>
      <c r="AA1" t="s">
        <v>570</v>
      </c>
      <c r="AB1" t="s">
        <v>835</v>
      </c>
      <c r="AC1" t="s">
        <v>836</v>
      </c>
      <c r="AD1" t="s">
        <v>837</v>
      </c>
      <c r="AE1" t="s">
        <v>838</v>
      </c>
      <c r="AF1" t="s">
        <v>839</v>
      </c>
      <c r="AG1" t="s">
        <v>571</v>
      </c>
      <c r="AH1" t="s">
        <v>840</v>
      </c>
      <c r="AI1" t="s">
        <v>841</v>
      </c>
      <c r="AJ1" t="s">
        <v>393</v>
      </c>
      <c r="AK1" t="s">
        <v>842</v>
      </c>
      <c r="AL1" t="s">
        <v>843</v>
      </c>
      <c r="AM1" t="s">
        <v>844</v>
      </c>
      <c r="AN1" t="s">
        <v>845</v>
      </c>
      <c r="AO1" t="s">
        <v>572</v>
      </c>
      <c r="AP1" t="s">
        <v>846</v>
      </c>
      <c r="AQ1" t="s">
        <v>847</v>
      </c>
      <c r="AR1" t="s">
        <v>848</v>
      </c>
      <c r="AS1" t="s">
        <v>849</v>
      </c>
      <c r="AT1" t="s">
        <v>850</v>
      </c>
      <c r="AU1" t="s">
        <v>851</v>
      </c>
      <c r="AV1" t="s">
        <v>852</v>
      </c>
      <c r="AW1" t="s">
        <v>853</v>
      </c>
      <c r="AX1" t="s">
        <v>854</v>
      </c>
      <c r="AY1" t="s">
        <v>394</v>
      </c>
      <c r="AZ1" t="s">
        <v>855</v>
      </c>
      <c r="BA1" t="s">
        <v>856</v>
      </c>
      <c r="BB1" t="s">
        <v>857</v>
      </c>
      <c r="BC1" t="s">
        <v>858</v>
      </c>
      <c r="BD1" t="s">
        <v>859</v>
      </c>
      <c r="BE1" t="s">
        <v>860</v>
      </c>
      <c r="BF1" t="s">
        <v>861</v>
      </c>
      <c r="BG1" t="s">
        <v>862</v>
      </c>
      <c r="BH1" t="s">
        <v>395</v>
      </c>
      <c r="BI1" t="s">
        <v>573</v>
      </c>
      <c r="BJ1" t="s">
        <v>863</v>
      </c>
      <c r="BK1" t="s">
        <v>864</v>
      </c>
      <c r="BL1" t="s">
        <v>865</v>
      </c>
      <c r="BM1" t="s">
        <v>866</v>
      </c>
      <c r="BN1" t="s">
        <v>867</v>
      </c>
      <c r="BO1" t="s">
        <v>868</v>
      </c>
      <c r="BP1" t="s">
        <v>869</v>
      </c>
      <c r="BQ1" t="s">
        <v>396</v>
      </c>
      <c r="BR1" t="s">
        <v>870</v>
      </c>
      <c r="BS1" t="s">
        <v>397</v>
      </c>
      <c r="BT1" t="s">
        <v>871</v>
      </c>
      <c r="BU1" t="s">
        <v>872</v>
      </c>
      <c r="BV1" t="s">
        <v>398</v>
      </c>
      <c r="BW1" t="s">
        <v>873</v>
      </c>
      <c r="BX1" t="s">
        <v>574</v>
      </c>
      <c r="BY1" t="s">
        <v>874</v>
      </c>
      <c r="BZ1" t="s">
        <v>875</v>
      </c>
      <c r="CA1" t="s">
        <v>876</v>
      </c>
      <c r="CB1" t="s">
        <v>877</v>
      </c>
      <c r="CC1" t="s">
        <v>878</v>
      </c>
      <c r="CD1" t="s">
        <v>879</v>
      </c>
      <c r="CE1" t="s">
        <v>880</v>
      </c>
      <c r="CF1" t="s">
        <v>881</v>
      </c>
      <c r="CG1" t="s">
        <v>882</v>
      </c>
      <c r="CH1" t="s">
        <v>399</v>
      </c>
      <c r="CI1" t="s">
        <v>883</v>
      </c>
      <c r="CJ1" t="s">
        <v>884</v>
      </c>
      <c r="CK1" t="s">
        <v>885</v>
      </c>
      <c r="CL1" t="s">
        <v>886</v>
      </c>
      <c r="CM1" t="s">
        <v>887</v>
      </c>
      <c r="CN1" t="s">
        <v>400</v>
      </c>
      <c r="CO1" t="s">
        <v>888</v>
      </c>
      <c r="CP1" t="s">
        <v>889</v>
      </c>
      <c r="CQ1" t="s">
        <v>890</v>
      </c>
      <c r="CR1" t="s">
        <v>891</v>
      </c>
      <c r="CS1" t="s">
        <v>892</v>
      </c>
      <c r="CT1" t="s">
        <v>893</v>
      </c>
      <c r="CU1" t="s">
        <v>894</v>
      </c>
      <c r="CV1" t="s">
        <v>895</v>
      </c>
      <c r="CW1" t="s">
        <v>896</v>
      </c>
      <c r="CX1" t="s">
        <v>897</v>
      </c>
      <c r="CY1" t="s">
        <v>898</v>
      </c>
    </row>
    <row r="2" spans="1:103" x14ac:dyDescent="0.3">
      <c r="A2" t="s">
        <v>602</v>
      </c>
      <c r="B2" t="s">
        <v>37</v>
      </c>
      <c r="C2" t="s">
        <v>11</v>
      </c>
      <c r="D2" s="687">
        <v>5100</v>
      </c>
      <c r="E2" s="687">
        <v>5101</v>
      </c>
      <c r="F2" s="687">
        <v>5102</v>
      </c>
      <c r="G2" s="687">
        <v>5103</v>
      </c>
      <c r="H2" s="687">
        <v>5104</v>
      </c>
      <c r="I2" s="687">
        <v>5105</v>
      </c>
      <c r="J2" s="687">
        <v>5106</v>
      </c>
      <c r="K2" s="687">
        <v>5107</v>
      </c>
      <c r="L2" s="687">
        <v>5108</v>
      </c>
      <c r="M2" s="687">
        <v>5109</v>
      </c>
      <c r="N2" s="687">
        <v>5110</v>
      </c>
      <c r="O2" s="687">
        <v>5111</v>
      </c>
      <c r="P2" s="687">
        <v>5112</v>
      </c>
      <c r="Q2" s="687">
        <v>5113</v>
      </c>
      <c r="R2" s="687">
        <v>5114</v>
      </c>
      <c r="S2" s="687">
        <v>5115</v>
      </c>
      <c r="T2" s="687">
        <v>5116</v>
      </c>
      <c r="U2" s="687">
        <v>5117</v>
      </c>
      <c r="V2" s="687">
        <v>5118</v>
      </c>
      <c r="W2" s="687">
        <v>5119</v>
      </c>
      <c r="X2" s="687">
        <v>5120</v>
      </c>
      <c r="Y2" s="687">
        <v>5121</v>
      </c>
      <c r="Z2" s="687">
        <v>5122</v>
      </c>
      <c r="AA2" s="687">
        <v>5123</v>
      </c>
      <c r="AB2" s="687">
        <v>5124</v>
      </c>
      <c r="AC2" s="687">
        <v>5125</v>
      </c>
      <c r="AD2" s="687">
        <v>5126</v>
      </c>
      <c r="AE2" s="687">
        <v>5127</v>
      </c>
      <c r="AF2" s="687">
        <v>5128</v>
      </c>
      <c r="AG2" s="687">
        <v>5129</v>
      </c>
      <c r="AH2" s="687">
        <v>5130</v>
      </c>
      <c r="AI2" s="687">
        <v>5131</v>
      </c>
      <c r="AJ2" s="687">
        <v>5132</v>
      </c>
      <c r="AK2" s="687">
        <v>5133</v>
      </c>
      <c r="AL2" s="687">
        <v>5134</v>
      </c>
      <c r="AM2" s="687">
        <v>5135</v>
      </c>
      <c r="AN2" s="687">
        <v>5136</v>
      </c>
      <c r="AO2" s="687">
        <v>5137</v>
      </c>
      <c r="AP2" s="687">
        <v>5138</v>
      </c>
      <c r="AQ2" s="687">
        <v>5139</v>
      </c>
      <c r="AR2" s="687">
        <v>5140</v>
      </c>
      <c r="AS2" s="687">
        <v>5141</v>
      </c>
      <c r="AT2" s="687">
        <v>5142</v>
      </c>
      <c r="AU2" s="687">
        <v>5143</v>
      </c>
      <c r="AV2" s="687">
        <v>5144</v>
      </c>
      <c r="AW2" s="687">
        <v>5145</v>
      </c>
      <c r="AX2" s="687">
        <v>5146</v>
      </c>
      <c r="AY2" s="687">
        <v>5147</v>
      </c>
      <c r="AZ2" s="687">
        <v>5148</v>
      </c>
      <c r="BA2" s="687">
        <v>5149</v>
      </c>
      <c r="BB2" s="687">
        <v>5150</v>
      </c>
      <c r="BC2" s="687">
        <v>5151</v>
      </c>
      <c r="BD2" s="687">
        <v>5152</v>
      </c>
      <c r="BE2" s="687">
        <v>5153</v>
      </c>
      <c r="BF2" s="687">
        <v>5154</v>
      </c>
      <c r="BG2" s="687">
        <v>5155</v>
      </c>
      <c r="BH2" s="687">
        <v>5156</v>
      </c>
      <c r="BI2" s="687">
        <v>5157</v>
      </c>
      <c r="BJ2" s="687">
        <v>5158</v>
      </c>
      <c r="BK2" s="687">
        <v>5159</v>
      </c>
      <c r="BL2" s="687">
        <v>5160</v>
      </c>
      <c r="BM2" s="687">
        <v>5161</v>
      </c>
      <c r="BN2" s="687">
        <v>5162</v>
      </c>
      <c r="BO2" s="687">
        <v>5163</v>
      </c>
      <c r="BP2" s="687">
        <v>5164</v>
      </c>
      <c r="BQ2" s="687">
        <v>5165</v>
      </c>
      <c r="BR2" s="687">
        <v>5166</v>
      </c>
      <c r="BS2" s="687">
        <v>5167</v>
      </c>
      <c r="BT2" s="687">
        <v>5168</v>
      </c>
      <c r="BU2" s="687">
        <v>5169</v>
      </c>
      <c r="BV2" s="687">
        <v>5170</v>
      </c>
      <c r="BW2" s="687">
        <v>5171</v>
      </c>
      <c r="BX2" s="687">
        <v>5172</v>
      </c>
      <c r="BY2" s="687">
        <v>5173</v>
      </c>
      <c r="BZ2" s="687">
        <v>5174</v>
      </c>
      <c r="CA2" s="687">
        <v>5175</v>
      </c>
      <c r="CB2" s="687">
        <v>5176</v>
      </c>
      <c r="CC2" s="687">
        <v>5177</v>
      </c>
      <c r="CD2" s="687">
        <v>5178</v>
      </c>
      <c r="CE2" s="687">
        <v>5179</v>
      </c>
      <c r="CF2" s="687">
        <v>5180</v>
      </c>
      <c r="CG2" s="687">
        <v>5181</v>
      </c>
      <c r="CH2" s="687">
        <v>5182</v>
      </c>
      <c r="CI2" s="687">
        <v>5183</v>
      </c>
      <c r="CJ2" s="687">
        <v>5184</v>
      </c>
      <c r="CK2" s="687">
        <v>5185</v>
      </c>
      <c r="CL2" s="687">
        <v>5186</v>
      </c>
      <c r="CM2" s="687">
        <v>5187</v>
      </c>
      <c r="CN2" s="687">
        <v>5188</v>
      </c>
      <c r="CO2" s="687">
        <v>5189</v>
      </c>
      <c r="CP2" s="687">
        <v>5190</v>
      </c>
      <c r="CQ2" s="687">
        <v>5191</v>
      </c>
      <c r="CR2" s="687">
        <v>5192</v>
      </c>
      <c r="CS2" s="687">
        <v>5193</v>
      </c>
      <c r="CT2" s="687">
        <v>5194</v>
      </c>
      <c r="CU2" s="687">
        <v>5195</v>
      </c>
      <c r="CV2" s="687">
        <v>5196</v>
      </c>
      <c r="CW2" s="687">
        <v>5197</v>
      </c>
      <c r="CX2" s="687">
        <v>5198</v>
      </c>
      <c r="CY2" s="687">
        <v>5199</v>
      </c>
    </row>
    <row r="3" spans="1:103" x14ac:dyDescent="0.3">
      <c r="A3">
        <v>4</v>
      </c>
      <c r="B3" t="s">
        <v>99</v>
      </c>
      <c r="D3">
        <v>3458339</v>
      </c>
      <c r="E3">
        <v>1629278</v>
      </c>
      <c r="F3">
        <v>657761</v>
      </c>
      <c r="G3">
        <v>1592680</v>
      </c>
      <c r="H3">
        <v>973901</v>
      </c>
      <c r="I3">
        <v>773746</v>
      </c>
      <c r="J3">
        <v>3557172</v>
      </c>
      <c r="K3">
        <v>976107</v>
      </c>
      <c r="L3">
        <v>3730158</v>
      </c>
      <c r="M3">
        <v>9674396</v>
      </c>
      <c r="N3">
        <v>18716767</v>
      </c>
      <c r="O3">
        <v>2716409</v>
      </c>
      <c r="P3">
        <v>12895503</v>
      </c>
      <c r="Q3">
        <v>1817942</v>
      </c>
      <c r="R3">
        <v>195657</v>
      </c>
      <c r="S3">
        <v>4164419</v>
      </c>
      <c r="U3">
        <v>8360686</v>
      </c>
      <c r="V3">
        <v>4779373</v>
      </c>
      <c r="X3">
        <v>460489</v>
      </c>
      <c r="Y3">
        <v>691122</v>
      </c>
      <c r="Z3">
        <v>5613031</v>
      </c>
      <c r="AA3">
        <v>3580845</v>
      </c>
      <c r="AB3">
        <v>5611036</v>
      </c>
      <c r="AC3">
        <v>15396710</v>
      </c>
      <c r="AD3">
        <v>3363493</v>
      </c>
      <c r="AE3">
        <v>3236458</v>
      </c>
      <c r="AF3">
        <v>4992235</v>
      </c>
      <c r="AG3">
        <v>2949128</v>
      </c>
      <c r="AH3">
        <v>1830395</v>
      </c>
      <c r="AI3">
        <v>22029592</v>
      </c>
      <c r="AJ3">
        <v>3207278</v>
      </c>
      <c r="AK3">
        <v>15311406</v>
      </c>
      <c r="AL3">
        <v>4006000</v>
      </c>
      <c r="AM3">
        <v>47199207</v>
      </c>
      <c r="AN3">
        <v>566404</v>
      </c>
      <c r="AP3">
        <v>1969546</v>
      </c>
      <c r="AQ3">
        <v>839653</v>
      </c>
      <c r="AR3">
        <v>20996081</v>
      </c>
      <c r="AS3">
        <v>1004753</v>
      </c>
      <c r="AT3">
        <v>11129419</v>
      </c>
      <c r="AU3">
        <v>6375783</v>
      </c>
      <c r="AV3">
        <v>10878104</v>
      </c>
      <c r="AW3">
        <v>1693182</v>
      </c>
      <c r="AX3">
        <v>2016640</v>
      </c>
      <c r="AY3">
        <v>746028</v>
      </c>
      <c r="AZ3">
        <v>9244339</v>
      </c>
      <c r="BA3">
        <v>5131812</v>
      </c>
      <c r="BB3">
        <v>6581055</v>
      </c>
      <c r="BC3">
        <v>1206972</v>
      </c>
      <c r="BD3">
        <v>2192686</v>
      </c>
      <c r="BE3">
        <v>2841413</v>
      </c>
      <c r="BF3">
        <v>6971667</v>
      </c>
      <c r="BG3">
        <v>3079325</v>
      </c>
      <c r="BH3">
        <v>3465353</v>
      </c>
      <c r="BI3">
        <v>580945</v>
      </c>
      <c r="BJ3">
        <v>1081850</v>
      </c>
      <c r="BK3">
        <v>112370613</v>
      </c>
      <c r="BL3">
        <v>2511714</v>
      </c>
      <c r="BM3">
        <v>641168</v>
      </c>
      <c r="BN3">
        <v>2781906</v>
      </c>
      <c r="BO3">
        <v>4763237</v>
      </c>
      <c r="BP3">
        <v>18645829</v>
      </c>
      <c r="BQ3">
        <v>1355413</v>
      </c>
      <c r="BR3">
        <v>13700781</v>
      </c>
      <c r="BS3">
        <v>7283688</v>
      </c>
      <c r="BT3">
        <v>927693</v>
      </c>
      <c r="BU3">
        <v>3127126</v>
      </c>
      <c r="BV3">
        <v>3155943</v>
      </c>
      <c r="BW3">
        <v>107127</v>
      </c>
      <c r="BX3">
        <v>1425977</v>
      </c>
      <c r="BY3">
        <v>4892516</v>
      </c>
      <c r="BZ3">
        <v>1225906</v>
      </c>
      <c r="CA3">
        <v>4734851</v>
      </c>
      <c r="CB3">
        <v>1653314</v>
      </c>
      <c r="CC3">
        <v>482386</v>
      </c>
      <c r="CD3">
        <v>5122800</v>
      </c>
      <c r="CE3">
        <v>12612389</v>
      </c>
      <c r="CF3">
        <v>4377891</v>
      </c>
      <c r="CG3">
        <v>6448363</v>
      </c>
      <c r="CH3">
        <v>2295937</v>
      </c>
      <c r="CI3">
        <v>3363233</v>
      </c>
      <c r="CJ3">
        <v>3447556</v>
      </c>
      <c r="CK3">
        <v>2520176</v>
      </c>
      <c r="CL3">
        <v>931971</v>
      </c>
      <c r="CM3">
        <v>2566469</v>
      </c>
      <c r="CN3">
        <v>305394</v>
      </c>
      <c r="CO3">
        <v>8273294</v>
      </c>
      <c r="CP3">
        <v>2788946</v>
      </c>
      <c r="CQ3">
        <v>54969376</v>
      </c>
      <c r="CR3">
        <v>904334</v>
      </c>
      <c r="CS3">
        <v>514457</v>
      </c>
      <c r="CT3">
        <v>2981401</v>
      </c>
      <c r="CU3">
        <v>2792397</v>
      </c>
      <c r="CV3">
        <v>2569255</v>
      </c>
      <c r="CW3">
        <v>2578687</v>
      </c>
      <c r="CX3">
        <v>1251430</v>
      </c>
      <c r="CY3">
        <v>1740627</v>
      </c>
    </row>
    <row r="4" spans="1:103" x14ac:dyDescent="0.3">
      <c r="A4">
        <v>5</v>
      </c>
      <c r="B4" t="s">
        <v>100</v>
      </c>
      <c r="D4">
        <v>0</v>
      </c>
      <c r="E4">
        <v>40243</v>
      </c>
      <c r="F4">
        <v>72984</v>
      </c>
      <c r="G4">
        <v>0</v>
      </c>
      <c r="H4">
        <v>131948</v>
      </c>
      <c r="I4">
        <v>0</v>
      </c>
      <c r="J4">
        <v>27433</v>
      </c>
      <c r="K4">
        <v>52832</v>
      </c>
      <c r="L4">
        <v>147062</v>
      </c>
      <c r="M4">
        <v>329764</v>
      </c>
      <c r="N4">
        <v>1982439</v>
      </c>
      <c r="O4">
        <v>70708</v>
      </c>
      <c r="P4">
        <v>734440</v>
      </c>
      <c r="Q4">
        <v>62533</v>
      </c>
      <c r="R4">
        <v>93108</v>
      </c>
      <c r="S4">
        <v>0</v>
      </c>
      <c r="U4">
        <v>560984</v>
      </c>
      <c r="V4">
        <v>384581</v>
      </c>
      <c r="X4">
        <v>124850</v>
      </c>
      <c r="Y4">
        <v>1407336</v>
      </c>
      <c r="Z4">
        <v>248002</v>
      </c>
      <c r="AA4">
        <v>5053</v>
      </c>
      <c r="AB4">
        <v>246569</v>
      </c>
      <c r="AC4">
        <v>718165</v>
      </c>
      <c r="AD4">
        <v>78599</v>
      </c>
      <c r="AE4">
        <v>302418</v>
      </c>
      <c r="AF4">
        <v>0</v>
      </c>
      <c r="AG4">
        <v>76971</v>
      </c>
      <c r="AH4">
        <v>218817</v>
      </c>
      <c r="AI4">
        <v>0</v>
      </c>
      <c r="AJ4">
        <v>122622</v>
      </c>
      <c r="AK4">
        <v>0</v>
      </c>
      <c r="AL4">
        <v>129365</v>
      </c>
      <c r="AM4">
        <v>1119085</v>
      </c>
      <c r="AN4">
        <v>39579</v>
      </c>
      <c r="AP4">
        <v>107238</v>
      </c>
      <c r="AQ4">
        <v>0</v>
      </c>
      <c r="AR4">
        <v>1155944</v>
      </c>
      <c r="AS4">
        <v>366007</v>
      </c>
      <c r="AT4">
        <v>1620</v>
      </c>
      <c r="AU4">
        <v>821309</v>
      </c>
      <c r="AV4">
        <v>215779</v>
      </c>
      <c r="AW4">
        <v>84823</v>
      </c>
      <c r="AX4">
        <v>146398</v>
      </c>
      <c r="AY4">
        <v>10456</v>
      </c>
      <c r="AZ4">
        <v>365899</v>
      </c>
      <c r="BA4">
        <v>90574</v>
      </c>
      <c r="BB4">
        <v>213447</v>
      </c>
      <c r="BC4">
        <v>0</v>
      </c>
      <c r="BD4">
        <v>205541</v>
      </c>
      <c r="BE4">
        <v>142848</v>
      </c>
      <c r="BF4">
        <v>420703</v>
      </c>
      <c r="BG4">
        <v>50773</v>
      </c>
      <c r="BH4">
        <v>0</v>
      </c>
      <c r="BI4">
        <v>274985</v>
      </c>
      <c r="BJ4">
        <v>25530</v>
      </c>
      <c r="BK4">
        <v>845497</v>
      </c>
      <c r="BL4">
        <v>38351</v>
      </c>
      <c r="BM4">
        <v>204799</v>
      </c>
      <c r="BN4">
        <v>74447</v>
      </c>
      <c r="BO4">
        <v>148410</v>
      </c>
      <c r="BP4">
        <v>2202543</v>
      </c>
      <c r="BQ4">
        <v>156238</v>
      </c>
      <c r="BR4">
        <v>287875</v>
      </c>
      <c r="BS4">
        <v>686294</v>
      </c>
      <c r="BT4">
        <v>150443</v>
      </c>
      <c r="BU4">
        <v>111950</v>
      </c>
      <c r="BV4">
        <v>5970</v>
      </c>
      <c r="BW4">
        <v>123379</v>
      </c>
      <c r="BX4">
        <v>135789</v>
      </c>
      <c r="BY4">
        <v>309265</v>
      </c>
      <c r="BZ4">
        <v>135469</v>
      </c>
      <c r="CA4">
        <v>1357567</v>
      </c>
      <c r="CB4">
        <v>81008</v>
      </c>
      <c r="CC4">
        <v>0</v>
      </c>
      <c r="CD4">
        <v>65638</v>
      </c>
      <c r="CE4">
        <v>368723</v>
      </c>
      <c r="CF4">
        <v>144549</v>
      </c>
      <c r="CG4">
        <v>85043</v>
      </c>
      <c r="CH4">
        <v>63522</v>
      </c>
      <c r="CI4">
        <v>0</v>
      </c>
      <c r="CJ4">
        <v>93675</v>
      </c>
      <c r="CK4">
        <v>95143</v>
      </c>
      <c r="CL4">
        <v>49575</v>
      </c>
      <c r="CM4">
        <v>37925</v>
      </c>
      <c r="CN4">
        <v>135109</v>
      </c>
      <c r="CO4">
        <v>68443</v>
      </c>
      <c r="CP4">
        <v>100507</v>
      </c>
      <c r="CQ4">
        <v>2395365</v>
      </c>
      <c r="CR4">
        <v>169986</v>
      </c>
      <c r="CS4">
        <v>80774</v>
      </c>
      <c r="CT4">
        <v>4778</v>
      </c>
      <c r="CU4">
        <v>149368</v>
      </c>
      <c r="CV4">
        <v>64910</v>
      </c>
      <c r="CW4">
        <v>589441</v>
      </c>
      <c r="CX4">
        <v>0</v>
      </c>
      <c r="CY4">
        <v>69484</v>
      </c>
    </row>
    <row r="5" spans="1:103" x14ac:dyDescent="0.3">
      <c r="A5">
        <v>6</v>
      </c>
      <c r="B5" t="s">
        <v>208</v>
      </c>
      <c r="D5">
        <v>2428966</v>
      </c>
      <c r="E5">
        <v>0</v>
      </c>
      <c r="F5">
        <v>0</v>
      </c>
      <c r="G5">
        <v>0</v>
      </c>
      <c r="H5">
        <v>0</v>
      </c>
      <c r="I5">
        <v>0</v>
      </c>
      <c r="J5">
        <v>400911</v>
      </c>
      <c r="K5">
        <v>0</v>
      </c>
      <c r="L5">
        <v>0</v>
      </c>
      <c r="M5">
        <v>0</v>
      </c>
      <c r="N5">
        <v>2519557</v>
      </c>
      <c r="O5">
        <v>940567</v>
      </c>
      <c r="P5">
        <v>6534872</v>
      </c>
      <c r="Q5">
        <v>0</v>
      </c>
      <c r="R5">
        <v>0</v>
      </c>
      <c r="S5">
        <v>0</v>
      </c>
      <c r="U5">
        <v>5422310</v>
      </c>
      <c r="V5">
        <v>0</v>
      </c>
      <c r="X5">
        <v>0</v>
      </c>
      <c r="Y5">
        <v>0</v>
      </c>
      <c r="Z5">
        <v>0</v>
      </c>
      <c r="AA5">
        <v>0</v>
      </c>
      <c r="AB5">
        <v>0</v>
      </c>
      <c r="AC5">
        <v>0</v>
      </c>
      <c r="AD5">
        <v>0</v>
      </c>
      <c r="AE5">
        <v>3569561</v>
      </c>
      <c r="AF5">
        <v>0</v>
      </c>
      <c r="AG5">
        <v>601018</v>
      </c>
      <c r="AH5">
        <v>3249652</v>
      </c>
      <c r="AI5">
        <v>22133806</v>
      </c>
      <c r="AJ5">
        <v>152676</v>
      </c>
      <c r="AK5">
        <v>4229094</v>
      </c>
      <c r="AL5">
        <v>0</v>
      </c>
      <c r="AM5">
        <v>126542</v>
      </c>
      <c r="AN5">
        <v>0</v>
      </c>
      <c r="AP5">
        <v>0</v>
      </c>
      <c r="AQ5">
        <v>0</v>
      </c>
      <c r="AR5">
        <v>7450726</v>
      </c>
      <c r="AS5">
        <v>0</v>
      </c>
      <c r="AT5">
        <v>0</v>
      </c>
      <c r="AU5">
        <v>0</v>
      </c>
      <c r="AV5">
        <v>0</v>
      </c>
      <c r="AW5">
        <v>0</v>
      </c>
      <c r="AX5">
        <v>0</v>
      </c>
      <c r="AY5">
        <v>0</v>
      </c>
      <c r="AZ5">
        <v>42496100</v>
      </c>
      <c r="BA5">
        <v>0</v>
      </c>
      <c r="BB5">
        <v>4388908</v>
      </c>
      <c r="BC5">
        <v>0</v>
      </c>
      <c r="BD5">
        <v>320147</v>
      </c>
      <c r="BE5">
        <v>0</v>
      </c>
      <c r="BF5">
        <v>2192326</v>
      </c>
      <c r="BG5">
        <v>0</v>
      </c>
      <c r="BH5">
        <v>0</v>
      </c>
      <c r="BI5">
        <v>0</v>
      </c>
      <c r="BJ5">
        <v>0</v>
      </c>
      <c r="BK5">
        <v>73392925</v>
      </c>
      <c r="BL5">
        <v>0</v>
      </c>
      <c r="BM5">
        <v>0</v>
      </c>
      <c r="BN5">
        <v>1508965</v>
      </c>
      <c r="BO5">
        <v>1328093</v>
      </c>
      <c r="BP5">
        <v>11124900</v>
      </c>
      <c r="BQ5">
        <v>0</v>
      </c>
      <c r="BR5">
        <v>3816506</v>
      </c>
      <c r="BS5">
        <v>1171551</v>
      </c>
      <c r="BT5">
        <v>0</v>
      </c>
      <c r="BU5">
        <v>451630</v>
      </c>
      <c r="BV5">
        <v>869047</v>
      </c>
      <c r="BW5">
        <v>0</v>
      </c>
      <c r="BX5">
        <v>1575560</v>
      </c>
      <c r="BY5">
        <v>0</v>
      </c>
      <c r="BZ5">
        <v>589601</v>
      </c>
      <c r="CA5">
        <v>11198116</v>
      </c>
      <c r="CB5">
        <v>0</v>
      </c>
      <c r="CC5">
        <v>0</v>
      </c>
      <c r="CD5">
        <v>0</v>
      </c>
      <c r="CE5">
        <v>3065630</v>
      </c>
      <c r="CF5">
        <v>339099</v>
      </c>
      <c r="CG5">
        <v>0</v>
      </c>
      <c r="CH5">
        <v>0</v>
      </c>
      <c r="CI5">
        <v>0</v>
      </c>
      <c r="CJ5">
        <v>0</v>
      </c>
      <c r="CK5">
        <v>0</v>
      </c>
      <c r="CL5">
        <v>0</v>
      </c>
      <c r="CM5">
        <v>0</v>
      </c>
      <c r="CN5">
        <v>0</v>
      </c>
      <c r="CO5">
        <v>3737420</v>
      </c>
      <c r="CP5">
        <v>0</v>
      </c>
      <c r="CQ5">
        <v>15996389</v>
      </c>
      <c r="CR5">
        <v>0</v>
      </c>
      <c r="CS5">
        <v>0</v>
      </c>
      <c r="CT5">
        <v>8667147</v>
      </c>
      <c r="CU5">
        <v>0</v>
      </c>
      <c r="CV5">
        <v>0</v>
      </c>
      <c r="CW5">
        <v>0</v>
      </c>
      <c r="CX5">
        <v>0</v>
      </c>
      <c r="CY5">
        <v>0</v>
      </c>
    </row>
    <row r="6" spans="1:103" x14ac:dyDescent="0.3">
      <c r="A6">
        <v>7</v>
      </c>
      <c r="B6" t="s">
        <v>170</v>
      </c>
      <c r="D6">
        <v>92768</v>
      </c>
      <c r="E6">
        <v>12933</v>
      </c>
      <c r="F6">
        <v>0</v>
      </c>
      <c r="G6">
        <v>11404</v>
      </c>
      <c r="H6">
        <v>0</v>
      </c>
      <c r="I6">
        <v>142620</v>
      </c>
      <c r="J6">
        <v>3279</v>
      </c>
      <c r="K6">
        <v>142</v>
      </c>
      <c r="L6">
        <v>131367</v>
      </c>
      <c r="M6">
        <v>694358</v>
      </c>
      <c r="N6">
        <v>1135050</v>
      </c>
      <c r="O6">
        <v>0</v>
      </c>
      <c r="P6">
        <v>649087</v>
      </c>
      <c r="Q6">
        <v>108661</v>
      </c>
      <c r="R6">
        <v>0</v>
      </c>
      <c r="S6">
        <v>0</v>
      </c>
      <c r="U6">
        <v>2546793</v>
      </c>
      <c r="V6">
        <v>59057</v>
      </c>
      <c r="X6">
        <v>0</v>
      </c>
      <c r="Y6">
        <v>56115</v>
      </c>
      <c r="Z6">
        <v>642618</v>
      </c>
      <c r="AA6">
        <v>274171</v>
      </c>
      <c r="AB6">
        <v>30574</v>
      </c>
      <c r="AC6">
        <v>218818</v>
      </c>
      <c r="AD6">
        <v>21511</v>
      </c>
      <c r="AE6">
        <v>13382</v>
      </c>
      <c r="AF6">
        <v>204042</v>
      </c>
      <c r="AG6">
        <v>14921</v>
      </c>
      <c r="AH6">
        <v>250296</v>
      </c>
      <c r="AI6">
        <v>2461304</v>
      </c>
      <c r="AJ6">
        <v>825</v>
      </c>
      <c r="AK6">
        <v>122250</v>
      </c>
      <c r="AL6">
        <v>31631</v>
      </c>
      <c r="AM6">
        <v>498069</v>
      </c>
      <c r="AN6">
        <v>3793</v>
      </c>
      <c r="AP6">
        <v>56415</v>
      </c>
      <c r="AQ6">
        <v>5873</v>
      </c>
      <c r="AR6">
        <v>708760</v>
      </c>
      <c r="AS6">
        <v>0</v>
      </c>
      <c r="AT6">
        <v>2356195</v>
      </c>
      <c r="AU6">
        <v>239934</v>
      </c>
      <c r="AV6">
        <v>1117485</v>
      </c>
      <c r="AW6">
        <v>1196</v>
      </c>
      <c r="AX6">
        <v>1300848</v>
      </c>
      <c r="AY6">
        <v>56307</v>
      </c>
      <c r="AZ6">
        <v>625192</v>
      </c>
      <c r="BA6">
        <v>0</v>
      </c>
      <c r="BB6">
        <v>3919</v>
      </c>
      <c r="BC6">
        <v>25138</v>
      </c>
      <c r="BD6">
        <v>1623</v>
      </c>
      <c r="BE6">
        <v>0</v>
      </c>
      <c r="BF6">
        <v>304367</v>
      </c>
      <c r="BG6">
        <v>419062</v>
      </c>
      <c r="BH6">
        <v>86186</v>
      </c>
      <c r="BI6">
        <v>2174873</v>
      </c>
      <c r="BJ6">
        <v>97769</v>
      </c>
      <c r="BK6">
        <v>0</v>
      </c>
      <c r="BL6">
        <v>86947</v>
      </c>
      <c r="BM6">
        <v>532208</v>
      </c>
      <c r="BN6">
        <v>101200</v>
      </c>
      <c r="BO6">
        <v>26214</v>
      </c>
      <c r="BP6">
        <v>119825</v>
      </c>
      <c r="BQ6">
        <v>0</v>
      </c>
      <c r="BR6">
        <v>1941675</v>
      </c>
      <c r="BS6">
        <v>46621</v>
      </c>
      <c r="BT6">
        <v>160</v>
      </c>
      <c r="BU6">
        <v>5834</v>
      </c>
      <c r="BV6">
        <v>435282</v>
      </c>
      <c r="BW6">
        <v>0</v>
      </c>
      <c r="BX6">
        <v>133559</v>
      </c>
      <c r="BY6">
        <v>532923</v>
      </c>
      <c r="BZ6">
        <v>674497</v>
      </c>
      <c r="CA6">
        <v>21159</v>
      </c>
      <c r="CB6">
        <v>520982</v>
      </c>
      <c r="CC6">
        <v>1127</v>
      </c>
      <c r="CD6">
        <v>349584</v>
      </c>
      <c r="CE6">
        <v>96320</v>
      </c>
      <c r="CF6">
        <v>792974</v>
      </c>
      <c r="CG6">
        <v>13607</v>
      </c>
      <c r="CH6">
        <v>296490</v>
      </c>
      <c r="CI6">
        <v>12591</v>
      </c>
      <c r="CJ6">
        <v>74413</v>
      </c>
      <c r="CK6">
        <v>2615656</v>
      </c>
      <c r="CL6">
        <v>168348</v>
      </c>
      <c r="CM6">
        <v>3940988</v>
      </c>
      <c r="CN6">
        <v>0</v>
      </c>
      <c r="CO6">
        <v>61142</v>
      </c>
      <c r="CP6">
        <v>0</v>
      </c>
      <c r="CQ6">
        <v>1171948</v>
      </c>
      <c r="CR6">
        <v>9790</v>
      </c>
      <c r="CS6">
        <v>108674</v>
      </c>
      <c r="CT6">
        <v>57612</v>
      </c>
      <c r="CU6">
        <v>0</v>
      </c>
      <c r="CV6">
        <v>231</v>
      </c>
      <c r="CW6">
        <v>307</v>
      </c>
      <c r="CX6">
        <v>2592</v>
      </c>
      <c r="CY6">
        <v>0</v>
      </c>
    </row>
    <row r="7" spans="1:103" x14ac:dyDescent="0.3">
      <c r="A7">
        <v>9</v>
      </c>
      <c r="B7" t="s">
        <v>171</v>
      </c>
      <c r="D7">
        <v>91422308</v>
      </c>
      <c r="E7">
        <v>25006616</v>
      </c>
      <c r="F7">
        <v>12939320</v>
      </c>
      <c r="G7">
        <v>29060507</v>
      </c>
      <c r="H7">
        <v>21430945</v>
      </c>
      <c r="I7">
        <v>35319719</v>
      </c>
      <c r="J7">
        <v>39965545</v>
      </c>
      <c r="K7">
        <v>5340561</v>
      </c>
      <c r="L7">
        <v>46212724</v>
      </c>
      <c r="M7">
        <v>150439596</v>
      </c>
      <c r="N7">
        <v>126960767</v>
      </c>
      <c r="O7">
        <v>39798252</v>
      </c>
      <c r="P7">
        <v>199011542</v>
      </c>
      <c r="Q7">
        <v>24488307</v>
      </c>
      <c r="R7">
        <v>20627912</v>
      </c>
      <c r="S7">
        <v>92319462</v>
      </c>
      <c r="U7">
        <v>142333214</v>
      </c>
      <c r="V7">
        <v>69408704</v>
      </c>
      <c r="X7">
        <v>15112683</v>
      </c>
      <c r="Y7">
        <v>11741486</v>
      </c>
      <c r="Z7">
        <v>61116538</v>
      </c>
      <c r="AA7">
        <v>35442765</v>
      </c>
      <c r="AB7">
        <v>65129097</v>
      </c>
      <c r="AC7">
        <v>330596561</v>
      </c>
      <c r="AD7">
        <v>39640077</v>
      </c>
      <c r="AE7">
        <v>112508253</v>
      </c>
      <c r="AF7">
        <v>160018680</v>
      </c>
      <c r="AG7">
        <v>24944036</v>
      </c>
      <c r="AH7">
        <v>45291055</v>
      </c>
      <c r="AI7">
        <v>287122391</v>
      </c>
      <c r="AJ7">
        <v>34010478</v>
      </c>
      <c r="AK7">
        <v>219192876</v>
      </c>
      <c r="AL7">
        <v>66707346</v>
      </c>
      <c r="AM7">
        <v>124024744</v>
      </c>
      <c r="AN7">
        <v>7896168</v>
      </c>
      <c r="AP7">
        <v>49134592</v>
      </c>
      <c r="AQ7">
        <v>17194657</v>
      </c>
      <c r="AR7">
        <v>291736707</v>
      </c>
      <c r="AS7">
        <v>57776280</v>
      </c>
      <c r="AT7">
        <v>125116051</v>
      </c>
      <c r="AU7">
        <v>55069383</v>
      </c>
      <c r="AV7">
        <v>93037484</v>
      </c>
      <c r="AW7">
        <v>16738195</v>
      </c>
      <c r="AX7">
        <v>59847218</v>
      </c>
      <c r="AY7">
        <v>7287300</v>
      </c>
      <c r="AZ7">
        <v>206040448</v>
      </c>
      <c r="BA7">
        <v>49994142</v>
      </c>
      <c r="BB7">
        <v>241676492</v>
      </c>
      <c r="BC7">
        <v>16059221</v>
      </c>
      <c r="BD7">
        <v>42438201</v>
      </c>
      <c r="BE7">
        <v>50177719</v>
      </c>
      <c r="BF7">
        <v>71705403</v>
      </c>
      <c r="BG7">
        <v>51703201</v>
      </c>
      <c r="BH7">
        <v>22884942</v>
      </c>
      <c r="BI7">
        <v>19456612</v>
      </c>
      <c r="BJ7">
        <v>23693291</v>
      </c>
      <c r="BK7">
        <v>707198985</v>
      </c>
      <c r="BL7">
        <v>12791594</v>
      </c>
      <c r="BM7">
        <v>43295367</v>
      </c>
      <c r="BN7">
        <v>66250534</v>
      </c>
      <c r="BO7">
        <v>53777110</v>
      </c>
      <c r="BP7">
        <v>480007349</v>
      </c>
      <c r="BQ7">
        <v>28500184</v>
      </c>
      <c r="BR7">
        <v>191569571</v>
      </c>
      <c r="BS7">
        <v>80408265</v>
      </c>
      <c r="BT7">
        <v>13720950</v>
      </c>
      <c r="BU7">
        <v>52458657</v>
      </c>
      <c r="BV7">
        <v>74604215</v>
      </c>
      <c r="BW7">
        <v>10156953</v>
      </c>
      <c r="BX7">
        <v>43473088</v>
      </c>
      <c r="BY7">
        <v>85453410</v>
      </c>
      <c r="BZ7">
        <v>15347669</v>
      </c>
      <c r="CA7">
        <v>83981576</v>
      </c>
      <c r="CB7">
        <v>24687798</v>
      </c>
      <c r="CC7">
        <v>75003006</v>
      </c>
      <c r="CD7">
        <v>70474690</v>
      </c>
      <c r="CE7">
        <v>128488175</v>
      </c>
      <c r="CF7">
        <v>54673121</v>
      </c>
      <c r="CG7">
        <v>47819916</v>
      </c>
      <c r="CH7">
        <v>16078261</v>
      </c>
      <c r="CI7">
        <v>58160781</v>
      </c>
      <c r="CJ7">
        <v>25650066</v>
      </c>
      <c r="CK7">
        <v>70494270</v>
      </c>
      <c r="CL7">
        <v>11166727</v>
      </c>
      <c r="CM7">
        <v>42980033</v>
      </c>
      <c r="CN7">
        <v>2415694</v>
      </c>
      <c r="CO7">
        <v>167680564</v>
      </c>
      <c r="CP7">
        <v>29788273</v>
      </c>
      <c r="CQ7">
        <v>591686223</v>
      </c>
      <c r="CR7">
        <v>29051127</v>
      </c>
      <c r="CS7">
        <v>13571403</v>
      </c>
      <c r="CT7">
        <v>65187285</v>
      </c>
      <c r="CU7">
        <v>73179231</v>
      </c>
      <c r="CV7">
        <v>46080127</v>
      </c>
      <c r="CW7">
        <v>58135115</v>
      </c>
      <c r="CX7">
        <v>22855747</v>
      </c>
      <c r="CY7">
        <v>10080410</v>
      </c>
    </row>
    <row r="8" spans="1:103" x14ac:dyDescent="0.3">
      <c r="A8">
        <v>16</v>
      </c>
      <c r="B8" t="s">
        <v>173</v>
      </c>
      <c r="D8">
        <v>204028407</v>
      </c>
      <c r="E8">
        <v>49720066</v>
      </c>
      <c r="F8">
        <v>20837001</v>
      </c>
      <c r="G8">
        <v>35542565</v>
      </c>
      <c r="H8">
        <v>43876627</v>
      </c>
      <c r="I8">
        <v>39527148</v>
      </c>
      <c r="J8">
        <v>72179234</v>
      </c>
      <c r="K8">
        <v>26227364</v>
      </c>
      <c r="L8">
        <v>56500992</v>
      </c>
      <c r="M8">
        <v>275690643</v>
      </c>
      <c r="N8">
        <v>385900676</v>
      </c>
      <c r="O8">
        <v>96999026</v>
      </c>
      <c r="P8">
        <v>377792570</v>
      </c>
      <c r="Q8">
        <v>89021008</v>
      </c>
      <c r="R8">
        <v>19105391</v>
      </c>
      <c r="S8">
        <v>112178984</v>
      </c>
      <c r="U8">
        <v>228455380</v>
      </c>
      <c r="V8">
        <v>151990188</v>
      </c>
      <c r="X8">
        <v>23333174</v>
      </c>
      <c r="Y8">
        <v>24918886</v>
      </c>
      <c r="Z8">
        <v>150193918</v>
      </c>
      <c r="AA8">
        <v>76622279</v>
      </c>
      <c r="AB8">
        <v>138147580</v>
      </c>
      <c r="AC8">
        <v>392483933</v>
      </c>
      <c r="AD8">
        <v>61844010</v>
      </c>
      <c r="AE8">
        <v>137819616</v>
      </c>
      <c r="AF8">
        <v>197234869</v>
      </c>
      <c r="AG8">
        <v>78667512</v>
      </c>
      <c r="AH8">
        <v>69259007</v>
      </c>
      <c r="AI8">
        <v>607790960</v>
      </c>
      <c r="AJ8">
        <v>66617705</v>
      </c>
      <c r="AK8">
        <v>517122825</v>
      </c>
      <c r="AL8">
        <v>113167339</v>
      </c>
      <c r="AM8">
        <v>314263790</v>
      </c>
      <c r="AN8">
        <v>15087314</v>
      </c>
      <c r="AP8">
        <v>77523234</v>
      </c>
      <c r="AQ8">
        <v>24964759</v>
      </c>
      <c r="AR8">
        <v>802897508</v>
      </c>
      <c r="AS8">
        <v>69624046</v>
      </c>
      <c r="AT8">
        <v>181437876</v>
      </c>
      <c r="AU8">
        <v>99534582</v>
      </c>
      <c r="AV8">
        <v>186745823</v>
      </c>
      <c r="AW8">
        <v>27740268</v>
      </c>
      <c r="AX8">
        <v>68684154</v>
      </c>
      <c r="AY8">
        <v>14926372</v>
      </c>
      <c r="AZ8">
        <v>279935731</v>
      </c>
      <c r="BA8">
        <v>92191710</v>
      </c>
      <c r="BB8">
        <v>339871207</v>
      </c>
      <c r="BC8">
        <v>20839960</v>
      </c>
      <c r="BD8">
        <v>91054025</v>
      </c>
      <c r="BE8">
        <v>73327764</v>
      </c>
      <c r="BF8">
        <v>147102540</v>
      </c>
      <c r="BG8">
        <v>66188368</v>
      </c>
      <c r="BH8">
        <v>36567052</v>
      </c>
      <c r="BI8">
        <v>35071516</v>
      </c>
      <c r="BJ8">
        <v>58258846</v>
      </c>
      <c r="BK8">
        <v>1608332292</v>
      </c>
      <c r="BL8">
        <v>24801140</v>
      </c>
      <c r="BM8">
        <v>44222055</v>
      </c>
      <c r="BN8">
        <v>142027806</v>
      </c>
      <c r="BO8">
        <v>111850488</v>
      </c>
      <c r="BP8">
        <v>365585208</v>
      </c>
      <c r="BQ8">
        <v>38759488</v>
      </c>
      <c r="BR8">
        <v>293393703</v>
      </c>
      <c r="BS8">
        <v>269240284</v>
      </c>
      <c r="BT8">
        <v>23595610</v>
      </c>
      <c r="BU8">
        <v>67065506</v>
      </c>
      <c r="BV8">
        <v>99680035</v>
      </c>
      <c r="BW8">
        <v>19254135</v>
      </c>
      <c r="BX8">
        <v>72700254</v>
      </c>
      <c r="BY8">
        <v>186343125</v>
      </c>
      <c r="BZ8">
        <v>33524078</v>
      </c>
      <c r="CA8">
        <v>167578873</v>
      </c>
      <c r="CB8">
        <v>62711451</v>
      </c>
      <c r="CC8">
        <v>160629352</v>
      </c>
      <c r="CD8">
        <v>111054327</v>
      </c>
      <c r="CE8">
        <v>187847429</v>
      </c>
      <c r="CF8">
        <v>80156546</v>
      </c>
      <c r="CG8">
        <v>90488241</v>
      </c>
      <c r="CH8">
        <v>52818969</v>
      </c>
      <c r="CI8">
        <v>85553735</v>
      </c>
      <c r="CJ8">
        <v>60446612</v>
      </c>
      <c r="CK8">
        <v>95595817</v>
      </c>
      <c r="CL8">
        <v>26314665</v>
      </c>
      <c r="CM8">
        <v>71907386</v>
      </c>
      <c r="CN8">
        <v>7844818</v>
      </c>
      <c r="CO8">
        <v>371195204</v>
      </c>
      <c r="CP8">
        <v>54203756</v>
      </c>
      <c r="CQ8">
        <v>1738498873</v>
      </c>
      <c r="CR8">
        <v>36995244</v>
      </c>
      <c r="CS8">
        <v>16190090</v>
      </c>
      <c r="CT8">
        <v>85588932</v>
      </c>
      <c r="CU8">
        <v>150912306</v>
      </c>
      <c r="CV8">
        <v>93499238</v>
      </c>
      <c r="CW8">
        <v>115098373</v>
      </c>
      <c r="CX8">
        <v>45647479</v>
      </c>
      <c r="CY8">
        <v>30661419</v>
      </c>
    </row>
    <row r="9" spans="1:103" x14ac:dyDescent="0.3">
      <c r="A9">
        <v>17</v>
      </c>
      <c r="B9" t="s">
        <v>176</v>
      </c>
      <c r="D9">
        <v>1459068</v>
      </c>
      <c r="E9">
        <v>903847</v>
      </c>
      <c r="F9">
        <v>1222353</v>
      </c>
      <c r="G9">
        <v>4748349</v>
      </c>
      <c r="H9">
        <v>5094605</v>
      </c>
      <c r="I9">
        <v>0</v>
      </c>
      <c r="J9">
        <v>0</v>
      </c>
      <c r="K9">
        <v>0</v>
      </c>
      <c r="L9">
        <v>2637370</v>
      </c>
      <c r="M9">
        <v>5490344</v>
      </c>
      <c r="N9">
        <v>8435519</v>
      </c>
      <c r="O9">
        <v>20134781</v>
      </c>
      <c r="P9">
        <v>2325174</v>
      </c>
      <c r="Q9">
        <v>670000</v>
      </c>
      <c r="R9">
        <v>0</v>
      </c>
      <c r="S9">
        <v>13792200</v>
      </c>
      <c r="U9">
        <v>3734183</v>
      </c>
      <c r="V9">
        <v>26810668</v>
      </c>
      <c r="X9">
        <v>427828</v>
      </c>
      <c r="Y9">
        <v>1165745</v>
      </c>
      <c r="Z9">
        <v>2413056</v>
      </c>
      <c r="AA9">
        <v>700527</v>
      </c>
      <c r="AB9">
        <v>13290843</v>
      </c>
      <c r="AC9">
        <v>61143723</v>
      </c>
      <c r="AD9">
        <v>9999002</v>
      </c>
      <c r="AE9">
        <v>1311071</v>
      </c>
      <c r="AF9">
        <v>35502928</v>
      </c>
      <c r="AG9">
        <v>2786886</v>
      </c>
      <c r="AH9">
        <v>10165072</v>
      </c>
      <c r="AI9">
        <v>2237975</v>
      </c>
      <c r="AJ9">
        <v>5926708</v>
      </c>
      <c r="AK9">
        <v>14001791</v>
      </c>
      <c r="AL9">
        <v>8779126</v>
      </c>
      <c r="AM9">
        <v>5316913</v>
      </c>
      <c r="AN9">
        <v>1388880</v>
      </c>
      <c r="AP9">
        <v>9387820</v>
      </c>
      <c r="AQ9">
        <v>0</v>
      </c>
      <c r="AR9">
        <v>0</v>
      </c>
      <c r="AS9">
        <v>8044856</v>
      </c>
      <c r="AT9">
        <v>1657410</v>
      </c>
      <c r="AU9">
        <v>5114051</v>
      </c>
      <c r="AV9">
        <v>3313287</v>
      </c>
      <c r="AW9">
        <v>2211267</v>
      </c>
      <c r="AX9">
        <v>10000000</v>
      </c>
      <c r="AY9">
        <v>60000</v>
      </c>
      <c r="AZ9">
        <v>297999</v>
      </c>
      <c r="BA9">
        <v>8532935</v>
      </c>
      <c r="BB9">
        <v>30354</v>
      </c>
      <c r="BC9">
        <v>378467</v>
      </c>
      <c r="BD9">
        <v>353698</v>
      </c>
      <c r="BE9">
        <v>2225000</v>
      </c>
      <c r="BF9">
        <v>10800000</v>
      </c>
      <c r="BG9">
        <v>1987478</v>
      </c>
      <c r="BH9">
        <v>2063252</v>
      </c>
      <c r="BI9">
        <v>0</v>
      </c>
      <c r="BJ9">
        <v>2778367</v>
      </c>
      <c r="BK9">
        <v>3651179</v>
      </c>
      <c r="BL9">
        <v>1227415</v>
      </c>
      <c r="BM9">
        <v>24298</v>
      </c>
      <c r="BN9">
        <v>6300792</v>
      </c>
      <c r="BO9">
        <v>321544</v>
      </c>
      <c r="BP9">
        <v>4536366</v>
      </c>
      <c r="BQ9">
        <v>0</v>
      </c>
      <c r="BR9">
        <v>2814328</v>
      </c>
      <c r="BS9">
        <v>77255</v>
      </c>
      <c r="BT9">
        <v>2621876</v>
      </c>
      <c r="BU9">
        <v>6702802</v>
      </c>
      <c r="BV9">
        <v>1566149</v>
      </c>
      <c r="BW9">
        <v>1937515</v>
      </c>
      <c r="BX9">
        <v>4920470</v>
      </c>
      <c r="BY9">
        <v>3570000</v>
      </c>
      <c r="BZ9">
        <v>150095</v>
      </c>
      <c r="CA9">
        <v>13116948</v>
      </c>
      <c r="CB9">
        <v>0</v>
      </c>
      <c r="CC9">
        <v>1479514</v>
      </c>
      <c r="CD9">
        <v>10415687</v>
      </c>
      <c r="CE9">
        <v>8063729</v>
      </c>
      <c r="CF9">
        <v>812364</v>
      </c>
      <c r="CG9">
        <v>3595939</v>
      </c>
      <c r="CH9">
        <v>352</v>
      </c>
      <c r="CI9">
        <v>440899</v>
      </c>
      <c r="CJ9">
        <v>6581306</v>
      </c>
      <c r="CK9">
        <v>9698844</v>
      </c>
      <c r="CL9">
        <v>560536</v>
      </c>
      <c r="CM9">
        <v>3516127</v>
      </c>
      <c r="CN9">
        <v>190222</v>
      </c>
      <c r="CO9">
        <v>17786479</v>
      </c>
      <c r="CP9">
        <v>2432198</v>
      </c>
      <c r="CQ9">
        <v>2335944</v>
      </c>
      <c r="CR9">
        <v>3949176</v>
      </c>
      <c r="CS9">
        <v>572391</v>
      </c>
      <c r="CT9">
        <v>9203557</v>
      </c>
      <c r="CU9">
        <v>9802616</v>
      </c>
      <c r="CV9">
        <v>0</v>
      </c>
      <c r="CW9">
        <v>2055714</v>
      </c>
      <c r="CX9">
        <v>40243</v>
      </c>
      <c r="CY9">
        <v>0</v>
      </c>
    </row>
    <row r="10" spans="1:103" x14ac:dyDescent="0.3">
      <c r="A10">
        <v>20</v>
      </c>
      <c r="B10" t="s">
        <v>177</v>
      </c>
      <c r="D10">
        <v>3882299</v>
      </c>
      <c r="E10">
        <v>4064321</v>
      </c>
      <c r="F10">
        <v>1180784</v>
      </c>
      <c r="G10">
        <v>5730843</v>
      </c>
      <c r="H10">
        <v>4953418</v>
      </c>
      <c r="I10">
        <v>1044037</v>
      </c>
      <c r="J10">
        <v>8374885</v>
      </c>
      <c r="K10">
        <v>0</v>
      </c>
      <c r="L10">
        <v>499566</v>
      </c>
      <c r="M10">
        <v>30249282</v>
      </c>
      <c r="N10">
        <v>15658543</v>
      </c>
      <c r="O10">
        <v>21818070</v>
      </c>
      <c r="P10">
        <v>38018274</v>
      </c>
      <c r="Q10">
        <v>1397919</v>
      </c>
      <c r="R10">
        <v>1069750</v>
      </c>
      <c r="S10">
        <v>13893115</v>
      </c>
      <c r="U10">
        <v>14305547</v>
      </c>
      <c r="V10">
        <v>27873985</v>
      </c>
      <c r="X10">
        <v>4270720</v>
      </c>
      <c r="Y10">
        <v>360790</v>
      </c>
      <c r="Z10">
        <v>7890531</v>
      </c>
      <c r="AA10">
        <v>5054334</v>
      </c>
      <c r="AB10">
        <v>14059930</v>
      </c>
      <c r="AC10">
        <v>49249864</v>
      </c>
      <c r="AD10">
        <v>5193170</v>
      </c>
      <c r="AE10">
        <v>7304543</v>
      </c>
      <c r="AF10">
        <v>28255148</v>
      </c>
      <c r="AG10">
        <v>3370804</v>
      </c>
      <c r="AH10">
        <v>2548941</v>
      </c>
      <c r="AI10">
        <v>126803065</v>
      </c>
      <c r="AJ10">
        <v>1358766</v>
      </c>
      <c r="AK10">
        <v>24545158</v>
      </c>
      <c r="AL10">
        <v>9551330</v>
      </c>
      <c r="AM10">
        <v>19156575</v>
      </c>
      <c r="AN10">
        <v>1002680</v>
      </c>
      <c r="AP10">
        <v>11792250</v>
      </c>
      <c r="AQ10">
        <v>561797</v>
      </c>
      <c r="AR10">
        <v>11888980</v>
      </c>
      <c r="AS10">
        <v>5609648</v>
      </c>
      <c r="AT10">
        <v>9436358</v>
      </c>
      <c r="AU10">
        <v>5606909</v>
      </c>
      <c r="AV10">
        <v>15688464</v>
      </c>
      <c r="AW10">
        <v>52689</v>
      </c>
      <c r="AX10">
        <v>7970585</v>
      </c>
      <c r="AY10">
        <v>200116</v>
      </c>
      <c r="AZ10">
        <v>14865769</v>
      </c>
      <c r="BA10">
        <v>9600062</v>
      </c>
      <c r="BB10">
        <v>14422015</v>
      </c>
      <c r="BC10">
        <v>0</v>
      </c>
      <c r="BD10">
        <v>5757487</v>
      </c>
      <c r="BE10">
        <v>1889198</v>
      </c>
      <c r="BF10">
        <v>14120298</v>
      </c>
      <c r="BG10">
        <v>3043948</v>
      </c>
      <c r="BH10">
        <v>673242</v>
      </c>
      <c r="BI10">
        <v>949268</v>
      </c>
      <c r="BJ10">
        <v>1731078</v>
      </c>
      <c r="BK10">
        <v>52640995</v>
      </c>
      <c r="BL10">
        <v>144297</v>
      </c>
      <c r="BM10">
        <v>4248774</v>
      </c>
      <c r="BN10">
        <v>14966159</v>
      </c>
      <c r="BO10">
        <v>8998538</v>
      </c>
      <c r="BP10">
        <v>25453335</v>
      </c>
      <c r="BQ10">
        <v>1309040</v>
      </c>
      <c r="BR10">
        <v>1021976</v>
      </c>
      <c r="BS10">
        <v>57975537</v>
      </c>
      <c r="BT10">
        <v>0</v>
      </c>
      <c r="BU10">
        <v>1189514</v>
      </c>
      <c r="BV10">
        <v>15256066</v>
      </c>
      <c r="BW10">
        <v>0</v>
      </c>
      <c r="BX10">
        <v>13340209</v>
      </c>
      <c r="BY10">
        <v>8024482</v>
      </c>
      <c r="BZ10">
        <v>784664</v>
      </c>
      <c r="CA10">
        <v>11482803</v>
      </c>
      <c r="CB10">
        <v>0</v>
      </c>
      <c r="CC10">
        <v>0</v>
      </c>
      <c r="CD10">
        <v>14120603</v>
      </c>
      <c r="CE10">
        <v>1506675</v>
      </c>
      <c r="CF10">
        <v>487949</v>
      </c>
      <c r="CG10">
        <v>0</v>
      </c>
      <c r="CH10">
        <v>456731</v>
      </c>
      <c r="CI10">
        <v>2121368</v>
      </c>
      <c r="CJ10">
        <v>852641</v>
      </c>
      <c r="CK10">
        <v>329388</v>
      </c>
      <c r="CL10">
        <v>47346</v>
      </c>
      <c r="CM10">
        <v>9504891</v>
      </c>
      <c r="CN10">
        <v>21900</v>
      </c>
      <c r="CO10">
        <v>37618267</v>
      </c>
      <c r="CP10">
        <v>2295387</v>
      </c>
      <c r="CQ10">
        <v>489544710</v>
      </c>
      <c r="CR10">
        <v>569889</v>
      </c>
      <c r="CS10">
        <v>1205082</v>
      </c>
      <c r="CT10">
        <v>17472571</v>
      </c>
      <c r="CU10">
        <v>23707611</v>
      </c>
      <c r="CV10">
        <v>1000000</v>
      </c>
      <c r="CW10">
        <v>10172807</v>
      </c>
      <c r="CX10">
        <v>6118753</v>
      </c>
      <c r="CY10">
        <v>1944402</v>
      </c>
    </row>
    <row r="11" spans="1:103" x14ac:dyDescent="0.3">
      <c r="A11">
        <v>22</v>
      </c>
      <c r="B11" t="s">
        <v>179</v>
      </c>
      <c r="D11">
        <v>0</v>
      </c>
      <c r="E11">
        <v>0</v>
      </c>
      <c r="F11">
        <v>4879</v>
      </c>
      <c r="G11">
        <v>0</v>
      </c>
      <c r="H11">
        <v>0</v>
      </c>
      <c r="I11">
        <v>0</v>
      </c>
      <c r="J11">
        <v>0</v>
      </c>
      <c r="K11">
        <v>505134</v>
      </c>
      <c r="L11">
        <v>0</v>
      </c>
      <c r="M11">
        <v>3629862</v>
      </c>
      <c r="N11">
        <v>32955</v>
      </c>
      <c r="O11">
        <v>31229</v>
      </c>
      <c r="P11">
        <v>0</v>
      </c>
      <c r="Q11">
        <v>92093</v>
      </c>
      <c r="R11">
        <v>0</v>
      </c>
      <c r="S11">
        <v>0</v>
      </c>
      <c r="U11">
        <v>60577</v>
      </c>
      <c r="V11">
        <v>0</v>
      </c>
      <c r="X11">
        <v>0</v>
      </c>
      <c r="Y11">
        <v>122929</v>
      </c>
      <c r="Z11">
        <v>0</v>
      </c>
      <c r="AA11">
        <v>67546</v>
      </c>
      <c r="AB11">
        <v>0</v>
      </c>
      <c r="AC11">
        <v>347624</v>
      </c>
      <c r="AD11">
        <v>0</v>
      </c>
      <c r="AE11">
        <v>129496</v>
      </c>
      <c r="AF11">
        <v>0</v>
      </c>
      <c r="AG11">
        <v>35608</v>
      </c>
      <c r="AH11">
        <v>0</v>
      </c>
      <c r="AI11">
        <v>13195884</v>
      </c>
      <c r="AJ11">
        <v>125</v>
      </c>
      <c r="AK11">
        <v>0</v>
      </c>
      <c r="AL11">
        <v>0</v>
      </c>
      <c r="AM11">
        <v>0</v>
      </c>
      <c r="AN11">
        <v>1750</v>
      </c>
      <c r="AP11">
        <v>0</v>
      </c>
      <c r="AQ11">
        <v>0</v>
      </c>
      <c r="AR11">
        <v>1872870</v>
      </c>
      <c r="AS11">
        <v>66300</v>
      </c>
      <c r="AT11">
        <v>0</v>
      </c>
      <c r="AU11">
        <v>1825864</v>
      </c>
      <c r="AV11">
        <v>1182467</v>
      </c>
      <c r="AW11">
        <v>0</v>
      </c>
      <c r="AX11">
        <v>0</v>
      </c>
      <c r="AY11">
        <v>0</v>
      </c>
      <c r="AZ11">
        <v>0</v>
      </c>
      <c r="BA11">
        <v>117650</v>
      </c>
      <c r="BB11">
        <v>0</v>
      </c>
      <c r="BC11">
        <v>0</v>
      </c>
      <c r="BD11">
        <v>0</v>
      </c>
      <c r="BE11">
        <v>0</v>
      </c>
      <c r="BF11">
        <v>0</v>
      </c>
      <c r="BG11">
        <v>0</v>
      </c>
      <c r="BH11">
        <v>0</v>
      </c>
      <c r="BI11">
        <v>0</v>
      </c>
      <c r="BJ11">
        <v>0</v>
      </c>
      <c r="BK11">
        <v>82676</v>
      </c>
      <c r="BL11">
        <v>29225</v>
      </c>
      <c r="BM11">
        <v>0</v>
      </c>
      <c r="BN11">
        <v>87700</v>
      </c>
      <c r="BO11">
        <v>0</v>
      </c>
      <c r="BP11">
        <v>3766328</v>
      </c>
      <c r="BQ11">
        <v>44517</v>
      </c>
      <c r="BR11">
        <v>0</v>
      </c>
      <c r="BS11">
        <v>159858</v>
      </c>
      <c r="BT11">
        <v>42406</v>
      </c>
      <c r="BU11">
        <v>247726</v>
      </c>
      <c r="BV11">
        <v>810739</v>
      </c>
      <c r="BW11">
        <v>0</v>
      </c>
      <c r="BX11">
        <v>40096</v>
      </c>
      <c r="BY11">
        <v>0</v>
      </c>
      <c r="BZ11">
        <v>0</v>
      </c>
      <c r="CA11">
        <v>0</v>
      </c>
      <c r="CB11">
        <v>0</v>
      </c>
      <c r="CC11">
        <v>0</v>
      </c>
      <c r="CD11">
        <v>0</v>
      </c>
      <c r="CE11">
        <v>3052965</v>
      </c>
      <c r="CF11">
        <v>174597</v>
      </c>
      <c r="CG11">
        <v>0</v>
      </c>
      <c r="CH11">
        <v>0</v>
      </c>
      <c r="CI11">
        <v>0</v>
      </c>
      <c r="CJ11">
        <v>0</v>
      </c>
      <c r="CK11">
        <v>1818509</v>
      </c>
      <c r="CL11">
        <v>187271</v>
      </c>
      <c r="CM11">
        <v>173762</v>
      </c>
      <c r="CN11">
        <v>33027</v>
      </c>
      <c r="CO11">
        <v>0</v>
      </c>
      <c r="CP11">
        <v>-106431</v>
      </c>
      <c r="CQ11">
        <v>334846</v>
      </c>
      <c r="CR11">
        <v>0</v>
      </c>
      <c r="CS11">
        <v>0</v>
      </c>
      <c r="CT11">
        <v>11068</v>
      </c>
      <c r="CU11">
        <v>33339</v>
      </c>
      <c r="CV11">
        <v>70388</v>
      </c>
      <c r="CW11">
        <v>105296</v>
      </c>
      <c r="CX11">
        <v>0</v>
      </c>
      <c r="CY11">
        <v>668607</v>
      </c>
    </row>
    <row r="12" spans="1:103" x14ac:dyDescent="0.3">
      <c r="A12">
        <v>23</v>
      </c>
      <c r="B12" t="s">
        <v>182</v>
      </c>
      <c r="D12">
        <v>6647904</v>
      </c>
      <c r="E12">
        <v>908016</v>
      </c>
      <c r="F12">
        <v>3871394</v>
      </c>
      <c r="G12">
        <v>796785</v>
      </c>
      <c r="H12">
        <v>4902000</v>
      </c>
      <c r="I12">
        <v>5337803</v>
      </c>
      <c r="J12">
        <v>249317</v>
      </c>
      <c r="K12">
        <v>-522411</v>
      </c>
      <c r="L12">
        <v>6270453</v>
      </c>
      <c r="M12">
        <v>10769233</v>
      </c>
      <c r="N12">
        <v>2646713</v>
      </c>
      <c r="O12">
        <v>-709775</v>
      </c>
      <c r="P12">
        <v>21257857</v>
      </c>
      <c r="Q12">
        <v>-807520</v>
      </c>
      <c r="R12">
        <v>4861425</v>
      </c>
      <c r="S12">
        <v>13338599</v>
      </c>
      <c r="U12">
        <v>11105031</v>
      </c>
      <c r="V12">
        <v>12683758</v>
      </c>
      <c r="X12">
        <v>2182873</v>
      </c>
      <c r="Y12">
        <v>2232100</v>
      </c>
      <c r="Z12">
        <v>8700871</v>
      </c>
      <c r="AA12">
        <v>4987180</v>
      </c>
      <c r="AB12">
        <v>5525062</v>
      </c>
      <c r="AC12">
        <v>50221018</v>
      </c>
      <c r="AD12">
        <v>6866570</v>
      </c>
      <c r="AE12">
        <v>13435597</v>
      </c>
      <c r="AF12">
        <v>50694245</v>
      </c>
      <c r="AG12">
        <v>4670264</v>
      </c>
      <c r="AH12">
        <v>14466881</v>
      </c>
      <c r="AI12">
        <v>-18688550</v>
      </c>
      <c r="AJ12">
        <v>1184283</v>
      </c>
      <c r="AK12">
        <v>9050054</v>
      </c>
      <c r="AL12">
        <v>14283620</v>
      </c>
      <c r="AM12">
        <v>12957275</v>
      </c>
      <c r="AN12">
        <v>-469404</v>
      </c>
      <c r="AP12">
        <v>-1520684</v>
      </c>
      <c r="AQ12">
        <v>432242</v>
      </c>
      <c r="AR12">
        <v>77603582</v>
      </c>
      <c r="AS12">
        <v>6444765</v>
      </c>
      <c r="AT12">
        <v>21919586</v>
      </c>
      <c r="AU12">
        <v>10194721</v>
      </c>
      <c r="AV12">
        <v>7137849</v>
      </c>
      <c r="AW12">
        <v>1191900</v>
      </c>
      <c r="AX12">
        <v>15433473</v>
      </c>
      <c r="AY12">
        <v>-1741662</v>
      </c>
      <c r="AZ12">
        <v>33921946</v>
      </c>
      <c r="BA12">
        <v>11687105</v>
      </c>
      <c r="BB12">
        <v>29156289</v>
      </c>
      <c r="BC12">
        <v>2942065</v>
      </c>
      <c r="BD12">
        <v>5850400</v>
      </c>
      <c r="BE12">
        <v>9568974</v>
      </c>
      <c r="BF12">
        <v>15027403</v>
      </c>
      <c r="BG12">
        <v>7657842</v>
      </c>
      <c r="BH12">
        <v>5506214</v>
      </c>
      <c r="BI12">
        <v>2901508</v>
      </c>
      <c r="BJ12">
        <v>5123763</v>
      </c>
      <c r="BK12">
        <v>43121484</v>
      </c>
      <c r="BL12">
        <v>4172091</v>
      </c>
      <c r="BM12">
        <v>8504310</v>
      </c>
      <c r="BN12">
        <v>2122775</v>
      </c>
      <c r="BO12">
        <v>-2699804</v>
      </c>
      <c r="BP12">
        <v>-807062</v>
      </c>
      <c r="BQ12">
        <v>1836952</v>
      </c>
      <c r="BR12">
        <v>45915134</v>
      </c>
      <c r="BS12">
        <v>-938127</v>
      </c>
      <c r="BT12">
        <v>1991864</v>
      </c>
      <c r="BU12">
        <v>16046693</v>
      </c>
      <c r="BV12">
        <v>6168116</v>
      </c>
      <c r="BW12">
        <v>1841529</v>
      </c>
      <c r="BX12">
        <v>9481599</v>
      </c>
      <c r="BY12">
        <v>17036467</v>
      </c>
      <c r="BZ12">
        <v>-127108</v>
      </c>
      <c r="CA12">
        <v>16608550</v>
      </c>
      <c r="CB12">
        <v>3508752</v>
      </c>
      <c r="CC12">
        <v>9164005</v>
      </c>
      <c r="CD12">
        <v>4678465</v>
      </c>
      <c r="CE12">
        <v>38836465</v>
      </c>
      <c r="CF12">
        <v>6787793</v>
      </c>
      <c r="CG12">
        <v>7575320</v>
      </c>
      <c r="CH12">
        <v>-1299946</v>
      </c>
      <c r="CI12">
        <v>8410841</v>
      </c>
      <c r="CJ12">
        <v>4103740</v>
      </c>
      <c r="CK12">
        <v>5777485</v>
      </c>
      <c r="CL12">
        <v>-1240263</v>
      </c>
      <c r="CM12">
        <v>5738202</v>
      </c>
      <c r="CN12">
        <v>384156</v>
      </c>
      <c r="CO12">
        <v>32609185</v>
      </c>
      <c r="CP12">
        <v>2356683</v>
      </c>
      <c r="CQ12">
        <v>28312161</v>
      </c>
      <c r="CR12">
        <v>6103643</v>
      </c>
      <c r="CS12">
        <v>1478042</v>
      </c>
      <c r="CT12">
        <v>13495025</v>
      </c>
      <c r="CU12">
        <v>2993250</v>
      </c>
      <c r="CV12">
        <v>112515</v>
      </c>
      <c r="CW12">
        <v>-5875933</v>
      </c>
      <c r="CX12">
        <v>-3306910</v>
      </c>
      <c r="CY12">
        <v>-2509184</v>
      </c>
    </row>
    <row r="13" spans="1:103" x14ac:dyDescent="0.3">
      <c r="A13">
        <v>44</v>
      </c>
      <c r="B13" t="s">
        <v>603</v>
      </c>
      <c r="D13">
        <v>0</v>
      </c>
      <c r="E13">
        <v>9033984</v>
      </c>
      <c r="F13">
        <v>0</v>
      </c>
      <c r="G13">
        <v>9213509</v>
      </c>
      <c r="H13">
        <v>0</v>
      </c>
      <c r="I13">
        <v>0</v>
      </c>
      <c r="J13">
        <v>13578025</v>
      </c>
      <c r="K13">
        <v>2266064</v>
      </c>
      <c r="L13">
        <v>3545533</v>
      </c>
      <c r="M13">
        <v>135844797</v>
      </c>
      <c r="N13">
        <v>0</v>
      </c>
      <c r="O13">
        <v>1014932</v>
      </c>
      <c r="P13">
        <v>0</v>
      </c>
      <c r="Q13">
        <v>8622742</v>
      </c>
      <c r="R13">
        <v>3699988</v>
      </c>
      <c r="S13">
        <v>2752077</v>
      </c>
      <c r="U13">
        <v>0</v>
      </c>
      <c r="V13">
        <v>28197879</v>
      </c>
      <c r="X13">
        <v>3721403</v>
      </c>
      <c r="Y13">
        <v>478324</v>
      </c>
      <c r="Z13">
        <v>0</v>
      </c>
      <c r="AA13">
        <v>6700550</v>
      </c>
      <c r="AB13">
        <v>13747903</v>
      </c>
      <c r="AC13">
        <v>2047414</v>
      </c>
      <c r="AD13">
        <v>27647678</v>
      </c>
      <c r="AE13">
        <v>8077342</v>
      </c>
      <c r="AF13">
        <v>1877508</v>
      </c>
      <c r="AG13">
        <v>16546907</v>
      </c>
      <c r="AH13">
        <v>12845368</v>
      </c>
      <c r="AI13">
        <v>47168861</v>
      </c>
      <c r="AJ13">
        <v>3016546</v>
      </c>
      <c r="AK13">
        <v>0</v>
      </c>
      <c r="AL13">
        <v>30716122</v>
      </c>
      <c r="AM13">
        <v>0</v>
      </c>
      <c r="AN13">
        <v>2959249</v>
      </c>
      <c r="AP13">
        <v>0</v>
      </c>
      <c r="AQ13">
        <v>2967265</v>
      </c>
      <c r="AR13">
        <v>0</v>
      </c>
      <c r="AS13">
        <v>5900209</v>
      </c>
      <c r="AT13">
        <v>98991240</v>
      </c>
      <c r="AU13">
        <v>0</v>
      </c>
      <c r="AV13">
        <v>740715</v>
      </c>
      <c r="AW13">
        <v>5414422</v>
      </c>
      <c r="AX13">
        <v>7115963</v>
      </c>
      <c r="AY13">
        <v>1137403</v>
      </c>
      <c r="AZ13">
        <v>0</v>
      </c>
      <c r="BA13">
        <v>0</v>
      </c>
      <c r="BB13">
        <v>76939597</v>
      </c>
      <c r="BC13">
        <v>5483261</v>
      </c>
      <c r="BD13">
        <v>0</v>
      </c>
      <c r="BE13">
        <v>0</v>
      </c>
      <c r="BF13">
        <v>41859559</v>
      </c>
      <c r="BG13">
        <v>0</v>
      </c>
      <c r="BH13">
        <v>0</v>
      </c>
      <c r="BI13">
        <v>314400</v>
      </c>
      <c r="BJ13">
        <v>275329</v>
      </c>
      <c r="BK13">
        <v>0</v>
      </c>
      <c r="BL13">
        <v>0</v>
      </c>
      <c r="BM13">
        <v>10801071</v>
      </c>
      <c r="BN13">
        <v>23046459</v>
      </c>
      <c r="BO13">
        <v>3665042</v>
      </c>
      <c r="BP13">
        <v>0</v>
      </c>
      <c r="BQ13">
        <v>2554118</v>
      </c>
      <c r="BR13">
        <v>0</v>
      </c>
      <c r="BS13">
        <v>0</v>
      </c>
      <c r="BT13">
        <v>3537602</v>
      </c>
      <c r="BU13">
        <v>11026512</v>
      </c>
      <c r="BV13">
        <v>14422683</v>
      </c>
      <c r="BW13">
        <v>2072140</v>
      </c>
      <c r="BX13">
        <v>0</v>
      </c>
      <c r="BY13">
        <v>0</v>
      </c>
      <c r="BZ13">
        <v>431277</v>
      </c>
      <c r="CA13">
        <v>0</v>
      </c>
      <c r="CB13">
        <v>14623752</v>
      </c>
      <c r="CC13">
        <v>18235656</v>
      </c>
      <c r="CD13">
        <v>7159411</v>
      </c>
      <c r="CE13">
        <v>766377</v>
      </c>
      <c r="CF13">
        <v>0</v>
      </c>
      <c r="CG13">
        <v>11835000</v>
      </c>
      <c r="CH13">
        <v>4032752</v>
      </c>
      <c r="CI13">
        <v>3925715</v>
      </c>
      <c r="CJ13">
        <v>724843</v>
      </c>
      <c r="CK13">
        <v>544186</v>
      </c>
      <c r="CL13">
        <v>0</v>
      </c>
      <c r="CM13">
        <v>0</v>
      </c>
      <c r="CN13">
        <v>2444083</v>
      </c>
      <c r="CO13">
        <v>170780501</v>
      </c>
      <c r="CP13">
        <v>1593134</v>
      </c>
      <c r="CQ13">
        <v>0</v>
      </c>
      <c r="CR13">
        <v>8834540</v>
      </c>
      <c r="CS13">
        <v>1909255</v>
      </c>
      <c r="CT13">
        <v>0</v>
      </c>
      <c r="CU13">
        <v>741342</v>
      </c>
      <c r="CV13">
        <v>0</v>
      </c>
      <c r="CW13">
        <v>6004001</v>
      </c>
      <c r="CX13">
        <v>469580</v>
      </c>
      <c r="CY13">
        <v>22027</v>
      </c>
    </row>
    <row r="14" spans="1:103" x14ac:dyDescent="0.3">
      <c r="A14">
        <v>45</v>
      </c>
      <c r="B14" t="s">
        <v>604</v>
      </c>
      <c r="D14">
        <v>0</v>
      </c>
      <c r="E14">
        <v>965147</v>
      </c>
      <c r="F14">
        <v>0</v>
      </c>
      <c r="G14">
        <v>562894</v>
      </c>
      <c r="H14">
        <v>0</v>
      </c>
      <c r="I14">
        <v>0</v>
      </c>
      <c r="J14">
        <v>2672276</v>
      </c>
      <c r="K14">
        <v>786431</v>
      </c>
      <c r="L14">
        <v>120811</v>
      </c>
      <c r="M14">
        <v>27834455</v>
      </c>
      <c r="N14">
        <v>0</v>
      </c>
      <c r="O14">
        <v>117423</v>
      </c>
      <c r="P14">
        <v>0</v>
      </c>
      <c r="Q14">
        <v>270039</v>
      </c>
      <c r="R14">
        <v>247439</v>
      </c>
      <c r="S14">
        <v>812929</v>
      </c>
      <c r="U14">
        <v>0</v>
      </c>
      <c r="V14">
        <v>574025</v>
      </c>
      <c r="X14">
        <v>38032</v>
      </c>
      <c r="Y14">
        <v>127664</v>
      </c>
      <c r="Z14">
        <v>0</v>
      </c>
      <c r="AA14">
        <v>1457294</v>
      </c>
      <c r="AB14">
        <v>1394683</v>
      </c>
      <c r="AC14">
        <v>217150</v>
      </c>
      <c r="AD14">
        <v>2574446</v>
      </c>
      <c r="AE14">
        <v>2361841</v>
      </c>
      <c r="AF14">
        <v>739678</v>
      </c>
      <c r="AG14">
        <v>1887054</v>
      </c>
      <c r="AH14">
        <v>896351</v>
      </c>
      <c r="AI14">
        <v>957398</v>
      </c>
      <c r="AJ14">
        <v>742239</v>
      </c>
      <c r="AK14">
        <v>0</v>
      </c>
      <c r="AL14">
        <v>3968074</v>
      </c>
      <c r="AM14">
        <v>0</v>
      </c>
      <c r="AN14">
        <v>96529</v>
      </c>
      <c r="AP14">
        <v>0</v>
      </c>
      <c r="AQ14">
        <v>887136</v>
      </c>
      <c r="AR14">
        <v>0</v>
      </c>
      <c r="AS14">
        <v>2027349</v>
      </c>
      <c r="AT14">
        <v>7108343</v>
      </c>
      <c r="AU14">
        <v>0</v>
      </c>
      <c r="AV14">
        <v>2337</v>
      </c>
      <c r="AW14">
        <v>1907035</v>
      </c>
      <c r="AX14">
        <v>1935224</v>
      </c>
      <c r="AY14">
        <v>457656</v>
      </c>
      <c r="AZ14">
        <v>0</v>
      </c>
      <c r="BA14">
        <v>0</v>
      </c>
      <c r="BB14">
        <v>17223894</v>
      </c>
      <c r="BC14">
        <v>288759</v>
      </c>
      <c r="BD14">
        <v>0</v>
      </c>
      <c r="BE14">
        <v>0</v>
      </c>
      <c r="BF14">
        <v>4374523</v>
      </c>
      <c r="BG14">
        <v>0</v>
      </c>
      <c r="BH14">
        <v>0</v>
      </c>
      <c r="BI14">
        <v>2076980</v>
      </c>
      <c r="BJ14">
        <v>8675</v>
      </c>
      <c r="BK14">
        <v>0</v>
      </c>
      <c r="BL14">
        <v>0</v>
      </c>
      <c r="BM14">
        <v>1144424</v>
      </c>
      <c r="BN14">
        <v>4505072</v>
      </c>
      <c r="BO14">
        <v>1524084</v>
      </c>
      <c r="BP14">
        <v>0</v>
      </c>
      <c r="BQ14">
        <v>831047</v>
      </c>
      <c r="BR14">
        <v>0</v>
      </c>
      <c r="BS14">
        <v>0</v>
      </c>
      <c r="BT14">
        <v>343982</v>
      </c>
      <c r="BU14">
        <v>1554089</v>
      </c>
      <c r="BV14">
        <v>4009119</v>
      </c>
      <c r="BW14">
        <v>181131</v>
      </c>
      <c r="BX14">
        <v>0</v>
      </c>
      <c r="BY14">
        <v>0</v>
      </c>
      <c r="BZ14">
        <v>222257</v>
      </c>
      <c r="CA14">
        <v>0</v>
      </c>
      <c r="CB14">
        <v>994917</v>
      </c>
      <c r="CC14">
        <v>2763787</v>
      </c>
      <c r="CD14">
        <v>772352</v>
      </c>
      <c r="CE14">
        <v>93968</v>
      </c>
      <c r="CF14">
        <v>0</v>
      </c>
      <c r="CG14">
        <v>1428646</v>
      </c>
      <c r="CH14">
        <v>669534</v>
      </c>
      <c r="CI14">
        <v>1580180</v>
      </c>
      <c r="CJ14">
        <v>5997</v>
      </c>
      <c r="CK14">
        <v>1950724</v>
      </c>
      <c r="CL14">
        <v>0</v>
      </c>
      <c r="CM14">
        <v>0</v>
      </c>
      <c r="CN14">
        <v>186509</v>
      </c>
      <c r="CO14">
        <v>38030389</v>
      </c>
      <c r="CP14">
        <v>380294</v>
      </c>
      <c r="CQ14">
        <v>0</v>
      </c>
      <c r="CR14">
        <v>1245435</v>
      </c>
      <c r="CS14">
        <v>592105</v>
      </c>
      <c r="CT14">
        <v>0</v>
      </c>
      <c r="CU14">
        <v>505690</v>
      </c>
      <c r="CV14">
        <v>0</v>
      </c>
      <c r="CW14">
        <v>426402</v>
      </c>
      <c r="CX14">
        <v>247042</v>
      </c>
      <c r="CY14">
        <v>606470</v>
      </c>
    </row>
    <row r="15" spans="1:103" x14ac:dyDescent="0.3">
      <c r="A15">
        <v>49</v>
      </c>
      <c r="B15" t="s">
        <v>192</v>
      </c>
      <c r="D15">
        <v>0</v>
      </c>
      <c r="E15">
        <v>1137793</v>
      </c>
      <c r="F15">
        <v>0</v>
      </c>
      <c r="G15">
        <v>1538728</v>
      </c>
      <c r="H15">
        <v>0</v>
      </c>
      <c r="I15">
        <v>0</v>
      </c>
      <c r="J15">
        <v>2262176</v>
      </c>
      <c r="K15">
        <v>895819</v>
      </c>
      <c r="L15">
        <v>1398898</v>
      </c>
      <c r="M15">
        <v>15394517</v>
      </c>
      <c r="N15">
        <v>0</v>
      </c>
      <c r="O15">
        <v>860358</v>
      </c>
      <c r="P15">
        <v>0</v>
      </c>
      <c r="Q15">
        <v>374223</v>
      </c>
      <c r="R15">
        <v>655957</v>
      </c>
      <c r="S15">
        <v>351980</v>
      </c>
      <c r="U15">
        <v>0</v>
      </c>
      <c r="V15">
        <v>1351305</v>
      </c>
      <c r="X15">
        <v>353417</v>
      </c>
      <c r="Y15">
        <v>364161</v>
      </c>
      <c r="Z15">
        <v>0</v>
      </c>
      <c r="AA15">
        <v>1458578</v>
      </c>
      <c r="AB15">
        <v>1719584</v>
      </c>
      <c r="AC15">
        <v>419962</v>
      </c>
      <c r="AD15">
        <v>3633228</v>
      </c>
      <c r="AE15">
        <v>3812367</v>
      </c>
      <c r="AF15">
        <v>378864</v>
      </c>
      <c r="AG15">
        <v>1196831</v>
      </c>
      <c r="AH15">
        <v>1282842</v>
      </c>
      <c r="AI15">
        <v>4985236</v>
      </c>
      <c r="AJ15">
        <v>1509059</v>
      </c>
      <c r="AK15">
        <v>0</v>
      </c>
      <c r="AL15">
        <v>1793608</v>
      </c>
      <c r="AM15">
        <v>0</v>
      </c>
      <c r="AN15">
        <v>297510</v>
      </c>
      <c r="AP15">
        <v>0</v>
      </c>
      <c r="AQ15">
        <v>1261963</v>
      </c>
      <c r="AR15">
        <v>0</v>
      </c>
      <c r="AS15">
        <v>1788797</v>
      </c>
      <c r="AT15">
        <v>19354075</v>
      </c>
      <c r="AU15">
        <v>0</v>
      </c>
      <c r="AV15">
        <v>10863</v>
      </c>
      <c r="AW15">
        <v>457979</v>
      </c>
      <c r="AX15">
        <v>2034164</v>
      </c>
      <c r="AY15">
        <v>438164</v>
      </c>
      <c r="AZ15">
        <v>0</v>
      </c>
      <c r="BA15">
        <v>0</v>
      </c>
      <c r="BB15">
        <v>9186353</v>
      </c>
      <c r="BC15">
        <v>636954</v>
      </c>
      <c r="BD15">
        <v>0</v>
      </c>
      <c r="BE15">
        <v>0</v>
      </c>
      <c r="BF15">
        <v>3640309</v>
      </c>
      <c r="BG15">
        <v>0</v>
      </c>
      <c r="BH15">
        <v>0</v>
      </c>
      <c r="BI15">
        <v>388459</v>
      </c>
      <c r="BJ15">
        <v>147716</v>
      </c>
      <c r="BK15">
        <v>0</v>
      </c>
      <c r="BL15">
        <v>0</v>
      </c>
      <c r="BM15">
        <v>1162666</v>
      </c>
      <c r="BN15">
        <v>5467655</v>
      </c>
      <c r="BO15">
        <v>886266</v>
      </c>
      <c r="BP15">
        <v>0</v>
      </c>
      <c r="BQ15">
        <v>828823</v>
      </c>
      <c r="BR15">
        <v>0</v>
      </c>
      <c r="BS15">
        <v>0</v>
      </c>
      <c r="BT15">
        <v>804338</v>
      </c>
      <c r="BU15">
        <v>1252766</v>
      </c>
      <c r="BV15">
        <v>3669098</v>
      </c>
      <c r="BW15">
        <v>424723</v>
      </c>
      <c r="BX15">
        <v>0</v>
      </c>
      <c r="BY15">
        <v>0</v>
      </c>
      <c r="BZ15">
        <v>240592</v>
      </c>
      <c r="CA15">
        <v>0</v>
      </c>
      <c r="CB15">
        <v>2753055</v>
      </c>
      <c r="CC15">
        <v>5026374</v>
      </c>
      <c r="CD15">
        <v>863226</v>
      </c>
      <c r="CE15">
        <v>98930</v>
      </c>
      <c r="CF15">
        <v>0</v>
      </c>
      <c r="CG15">
        <v>999985</v>
      </c>
      <c r="CH15">
        <v>331636</v>
      </c>
      <c r="CI15">
        <v>1515670</v>
      </c>
      <c r="CJ15">
        <v>232625</v>
      </c>
      <c r="CK15">
        <v>320483</v>
      </c>
      <c r="CL15">
        <v>0</v>
      </c>
      <c r="CM15">
        <v>0</v>
      </c>
      <c r="CN15">
        <v>512563</v>
      </c>
      <c r="CO15">
        <v>20160602</v>
      </c>
      <c r="CP15">
        <v>416719</v>
      </c>
      <c r="CQ15">
        <v>0</v>
      </c>
      <c r="CR15">
        <v>1443123</v>
      </c>
      <c r="CS15">
        <v>259189</v>
      </c>
      <c r="CT15">
        <v>0</v>
      </c>
      <c r="CU15">
        <v>165775</v>
      </c>
      <c r="CV15">
        <v>0</v>
      </c>
      <c r="CW15">
        <v>653370</v>
      </c>
      <c r="CX15">
        <v>402016</v>
      </c>
      <c r="CY15">
        <v>0</v>
      </c>
    </row>
    <row r="16" spans="1:103" x14ac:dyDescent="0.3">
      <c r="A16">
        <v>50</v>
      </c>
      <c r="B16" t="s">
        <v>85</v>
      </c>
      <c r="D16">
        <v>0</v>
      </c>
      <c r="E16">
        <v>522758</v>
      </c>
      <c r="F16">
        <v>0</v>
      </c>
      <c r="G16">
        <v>-761671</v>
      </c>
      <c r="H16">
        <v>0</v>
      </c>
      <c r="I16">
        <v>0</v>
      </c>
      <c r="J16">
        <v>933893</v>
      </c>
      <c r="K16">
        <v>-156498</v>
      </c>
      <c r="L16">
        <v>-168278</v>
      </c>
      <c r="M16">
        <v>60382114</v>
      </c>
      <c r="N16">
        <v>0</v>
      </c>
      <c r="O16">
        <v>-472063</v>
      </c>
      <c r="P16">
        <v>0</v>
      </c>
      <c r="Q16">
        <v>-625970</v>
      </c>
      <c r="R16">
        <v>14803</v>
      </c>
      <c r="S16">
        <v>-85786</v>
      </c>
      <c r="U16">
        <v>0</v>
      </c>
      <c r="V16">
        <v>681944</v>
      </c>
      <c r="X16">
        <v>65089</v>
      </c>
      <c r="Y16">
        <v>-270864</v>
      </c>
      <c r="Z16">
        <v>0</v>
      </c>
      <c r="AA16">
        <v>817801</v>
      </c>
      <c r="AB16">
        <v>3990983</v>
      </c>
      <c r="AC16">
        <v>523682</v>
      </c>
      <c r="AD16">
        <v>6798235</v>
      </c>
      <c r="AE16">
        <v>2408856</v>
      </c>
      <c r="AF16">
        <v>5672286</v>
      </c>
      <c r="AG16">
        <v>5826460</v>
      </c>
      <c r="AH16">
        <v>1049988</v>
      </c>
      <c r="AI16">
        <v>9379843</v>
      </c>
      <c r="AJ16">
        <v>841051</v>
      </c>
      <c r="AK16">
        <v>0</v>
      </c>
      <c r="AL16">
        <v>5965665</v>
      </c>
      <c r="AM16">
        <v>0</v>
      </c>
      <c r="AN16">
        <v>-130550</v>
      </c>
      <c r="AP16">
        <v>0</v>
      </c>
      <c r="AQ16">
        <v>412038</v>
      </c>
      <c r="AR16">
        <v>0</v>
      </c>
      <c r="AS16">
        <v>-450980</v>
      </c>
      <c r="AT16">
        <v>10888911</v>
      </c>
      <c r="AU16">
        <v>0</v>
      </c>
      <c r="AV16">
        <v>1201</v>
      </c>
      <c r="AW16">
        <v>31626</v>
      </c>
      <c r="AX16">
        <v>-3359400</v>
      </c>
      <c r="AY16">
        <v>409274</v>
      </c>
      <c r="AZ16">
        <v>0</v>
      </c>
      <c r="BA16">
        <v>0</v>
      </c>
      <c r="BB16">
        <v>25446995</v>
      </c>
      <c r="BC16">
        <v>759392</v>
      </c>
      <c r="BD16">
        <v>-326749</v>
      </c>
      <c r="BE16">
        <v>0</v>
      </c>
      <c r="BF16">
        <v>4406287</v>
      </c>
      <c r="BG16">
        <v>0</v>
      </c>
      <c r="BH16">
        <v>0</v>
      </c>
      <c r="BI16">
        <v>-105090</v>
      </c>
      <c r="BJ16">
        <v>41321</v>
      </c>
      <c r="BK16">
        <v>0</v>
      </c>
      <c r="BL16">
        <v>0</v>
      </c>
      <c r="BM16">
        <v>564171</v>
      </c>
      <c r="BN16">
        <v>5397777</v>
      </c>
      <c r="BO16">
        <v>401474</v>
      </c>
      <c r="BP16">
        <v>0</v>
      </c>
      <c r="BQ16">
        <v>593738</v>
      </c>
      <c r="BR16">
        <v>0</v>
      </c>
      <c r="BS16">
        <v>0</v>
      </c>
      <c r="BT16">
        <v>-650043</v>
      </c>
      <c r="BU16">
        <v>3454061</v>
      </c>
      <c r="BV16">
        <v>329943</v>
      </c>
      <c r="BW16">
        <v>134257</v>
      </c>
      <c r="BX16">
        <v>0</v>
      </c>
      <c r="BY16">
        <v>0</v>
      </c>
      <c r="BZ16">
        <v>-228243</v>
      </c>
      <c r="CA16">
        <v>0</v>
      </c>
      <c r="CB16">
        <v>-558938</v>
      </c>
      <c r="CC16">
        <v>7731317</v>
      </c>
      <c r="CD16">
        <v>6697019</v>
      </c>
      <c r="CE16">
        <v>-189374</v>
      </c>
      <c r="CF16">
        <v>0</v>
      </c>
      <c r="CG16">
        <v>2665584</v>
      </c>
      <c r="CH16">
        <v>1359310</v>
      </c>
      <c r="CI16">
        <v>93385</v>
      </c>
      <c r="CJ16">
        <v>29618</v>
      </c>
      <c r="CK16">
        <v>-242375</v>
      </c>
      <c r="CL16">
        <v>0</v>
      </c>
      <c r="CM16">
        <v>0</v>
      </c>
      <c r="CN16">
        <v>63746</v>
      </c>
      <c r="CO16">
        <v>29684541</v>
      </c>
      <c r="CP16">
        <v>-34375</v>
      </c>
      <c r="CQ16">
        <v>0</v>
      </c>
      <c r="CR16">
        <v>579822</v>
      </c>
      <c r="CS16">
        <v>272282</v>
      </c>
      <c r="CT16">
        <v>0</v>
      </c>
      <c r="CU16">
        <v>-96794</v>
      </c>
      <c r="CV16">
        <v>0</v>
      </c>
      <c r="CW16">
        <v>1062077</v>
      </c>
      <c r="CX16">
        <v>-379421</v>
      </c>
      <c r="CY16">
        <v>50000</v>
      </c>
    </row>
    <row r="17" spans="1:103" x14ac:dyDescent="0.3">
      <c r="A17">
        <v>51</v>
      </c>
      <c r="B17" t="s">
        <v>200</v>
      </c>
      <c r="D17">
        <v>0</v>
      </c>
      <c r="E17">
        <v>1688012</v>
      </c>
      <c r="F17">
        <v>0</v>
      </c>
      <c r="G17">
        <v>-2095361</v>
      </c>
      <c r="H17">
        <v>0</v>
      </c>
      <c r="I17">
        <v>0</v>
      </c>
      <c r="J17">
        <v>3966134</v>
      </c>
      <c r="K17">
        <v>1329411</v>
      </c>
      <c r="L17">
        <v>1548242</v>
      </c>
      <c r="M17">
        <v>63695753</v>
      </c>
      <c r="N17">
        <v>0</v>
      </c>
      <c r="O17">
        <v>174873</v>
      </c>
      <c r="P17">
        <v>0</v>
      </c>
      <c r="Q17">
        <v>419645</v>
      </c>
      <c r="R17">
        <v>657074</v>
      </c>
      <c r="S17">
        <v>226410</v>
      </c>
      <c r="U17">
        <v>0</v>
      </c>
      <c r="V17">
        <v>1782765</v>
      </c>
      <c r="X17">
        <v>541892</v>
      </c>
      <c r="Y17">
        <v>86794</v>
      </c>
      <c r="Z17">
        <v>0</v>
      </c>
      <c r="AA17">
        <v>3158202</v>
      </c>
      <c r="AB17">
        <v>1126010</v>
      </c>
      <c r="AC17">
        <v>253697</v>
      </c>
      <c r="AD17">
        <v>6374170</v>
      </c>
      <c r="AE17">
        <v>4043989</v>
      </c>
      <c r="AF17">
        <v>255617</v>
      </c>
      <c r="AG17">
        <v>-2019870</v>
      </c>
      <c r="AH17">
        <v>2343046</v>
      </c>
      <c r="AI17">
        <v>16318204</v>
      </c>
      <c r="AJ17">
        <v>1526530</v>
      </c>
      <c r="AK17">
        <v>0</v>
      </c>
      <c r="AL17">
        <v>7824406</v>
      </c>
      <c r="AM17">
        <v>0</v>
      </c>
      <c r="AN17">
        <v>-29002</v>
      </c>
      <c r="AP17">
        <v>0</v>
      </c>
      <c r="AQ17">
        <v>313225</v>
      </c>
      <c r="AR17">
        <v>0</v>
      </c>
      <c r="AS17">
        <v>1750250</v>
      </c>
      <c r="AT17">
        <v>19732717</v>
      </c>
      <c r="AU17">
        <v>0</v>
      </c>
      <c r="AV17">
        <v>-6909</v>
      </c>
      <c r="AW17">
        <v>524291</v>
      </c>
      <c r="AX17">
        <v>167796</v>
      </c>
      <c r="AY17">
        <v>461169</v>
      </c>
      <c r="AZ17">
        <v>0</v>
      </c>
      <c r="BA17">
        <v>0</v>
      </c>
      <c r="BB17">
        <v>22254706</v>
      </c>
      <c r="BC17">
        <v>588954</v>
      </c>
      <c r="BD17">
        <v>0</v>
      </c>
      <c r="BE17">
        <v>0</v>
      </c>
      <c r="BF17">
        <v>3269697</v>
      </c>
      <c r="BG17">
        <v>0</v>
      </c>
      <c r="BH17">
        <v>0</v>
      </c>
      <c r="BI17">
        <v>646492</v>
      </c>
      <c r="BJ17">
        <v>66030</v>
      </c>
      <c r="BK17">
        <v>0</v>
      </c>
      <c r="BL17">
        <v>0</v>
      </c>
      <c r="BM17">
        <v>1875351</v>
      </c>
      <c r="BN17">
        <v>8604695</v>
      </c>
      <c r="BO17">
        <v>0</v>
      </c>
      <c r="BP17">
        <v>0</v>
      </c>
      <c r="BQ17">
        <v>1689219</v>
      </c>
      <c r="BR17">
        <v>0</v>
      </c>
      <c r="BS17">
        <v>0</v>
      </c>
      <c r="BT17">
        <v>258210</v>
      </c>
      <c r="BU17">
        <v>2299263</v>
      </c>
      <c r="BV17">
        <v>5515239</v>
      </c>
      <c r="BW17">
        <v>591373</v>
      </c>
      <c r="BX17">
        <v>0</v>
      </c>
      <c r="BY17">
        <v>0</v>
      </c>
      <c r="BZ17">
        <v>-66496</v>
      </c>
      <c r="CA17">
        <v>0</v>
      </c>
      <c r="CB17">
        <v>2130430</v>
      </c>
      <c r="CC17">
        <v>13119721</v>
      </c>
      <c r="CD17">
        <v>94231</v>
      </c>
      <c r="CE17">
        <v>-136516</v>
      </c>
      <c r="CF17">
        <v>0</v>
      </c>
      <c r="CG17">
        <v>1718183</v>
      </c>
      <c r="CH17">
        <v>753275</v>
      </c>
      <c r="CI17">
        <v>1487548</v>
      </c>
      <c r="CJ17">
        <v>-17584</v>
      </c>
      <c r="CK17">
        <v>132449</v>
      </c>
      <c r="CL17">
        <v>0</v>
      </c>
      <c r="CM17">
        <v>0</v>
      </c>
      <c r="CN17">
        <v>555912</v>
      </c>
      <c r="CO17">
        <v>26293625</v>
      </c>
      <c r="CP17">
        <v>547684</v>
      </c>
      <c r="CQ17">
        <v>0</v>
      </c>
      <c r="CR17">
        <v>871089</v>
      </c>
      <c r="CS17">
        <v>576145</v>
      </c>
      <c r="CT17">
        <v>0</v>
      </c>
      <c r="CU17">
        <v>-96916</v>
      </c>
      <c r="CV17">
        <v>0</v>
      </c>
      <c r="CW17">
        <v>1785813</v>
      </c>
      <c r="CX17">
        <v>41086</v>
      </c>
      <c r="CY17">
        <v>0</v>
      </c>
    </row>
    <row r="18" spans="1:103" x14ac:dyDescent="0.3">
      <c r="A18">
        <v>61</v>
      </c>
      <c r="B18" t="s">
        <v>211</v>
      </c>
      <c r="D18">
        <v>99.1</v>
      </c>
      <c r="E18">
        <v>97.7</v>
      </c>
      <c r="F18">
        <v>98.15</v>
      </c>
      <c r="G18">
        <v>94.51</v>
      </c>
      <c r="H18">
        <v>97.5</v>
      </c>
      <c r="I18">
        <v>98.61</v>
      </c>
      <c r="J18">
        <v>98.75</v>
      </c>
      <c r="K18">
        <v>97.69</v>
      </c>
      <c r="L18">
        <v>97.21</v>
      </c>
      <c r="M18">
        <v>99.3</v>
      </c>
      <c r="N18">
        <v>99.77</v>
      </c>
      <c r="O18">
        <v>98.8</v>
      </c>
      <c r="P18">
        <v>99.33</v>
      </c>
      <c r="Q18">
        <v>97.82</v>
      </c>
      <c r="R18">
        <v>98.2</v>
      </c>
      <c r="S18">
        <v>98.03</v>
      </c>
      <c r="U18">
        <v>98.96</v>
      </c>
      <c r="V18">
        <v>99.29</v>
      </c>
      <c r="X18">
        <v>97.92</v>
      </c>
      <c r="Y18">
        <v>98.9</v>
      </c>
      <c r="Z18">
        <v>98.28</v>
      </c>
      <c r="AA18">
        <v>96.7</v>
      </c>
      <c r="AB18">
        <v>99.14</v>
      </c>
      <c r="AC18">
        <v>99.44</v>
      </c>
      <c r="AD18">
        <v>99.27</v>
      </c>
      <c r="AE18">
        <v>99.68</v>
      </c>
      <c r="AF18">
        <v>98.1</v>
      </c>
      <c r="AG18">
        <v>99.23</v>
      </c>
      <c r="AH18">
        <v>97.2</v>
      </c>
      <c r="AI18">
        <v>99.52</v>
      </c>
      <c r="AJ18">
        <v>95.95</v>
      </c>
      <c r="AK18">
        <v>99.37</v>
      </c>
      <c r="AL18">
        <v>98.69</v>
      </c>
      <c r="AM18">
        <v>99.15</v>
      </c>
      <c r="AN18">
        <v>97.06</v>
      </c>
      <c r="AP18">
        <v>98.99</v>
      </c>
      <c r="AQ18">
        <v>99.35</v>
      </c>
      <c r="AR18">
        <v>99.42</v>
      </c>
      <c r="AS18">
        <v>98.51</v>
      </c>
      <c r="AT18">
        <v>99.43</v>
      </c>
      <c r="AU18">
        <v>98.43</v>
      </c>
      <c r="AV18">
        <v>99.27</v>
      </c>
      <c r="AW18">
        <v>96.16</v>
      </c>
      <c r="AX18">
        <v>97.21</v>
      </c>
      <c r="AY18">
        <v>95.76</v>
      </c>
      <c r="AZ18">
        <v>99.41</v>
      </c>
      <c r="BA18">
        <v>99.26</v>
      </c>
      <c r="BB18">
        <v>99.94</v>
      </c>
      <c r="BC18">
        <v>96.28</v>
      </c>
      <c r="BD18">
        <v>99.28</v>
      </c>
      <c r="BE18">
        <v>98.38</v>
      </c>
      <c r="BF18">
        <v>99.49</v>
      </c>
      <c r="BG18">
        <v>98.81</v>
      </c>
      <c r="BH18">
        <v>97.37</v>
      </c>
      <c r="BI18">
        <v>94.8</v>
      </c>
      <c r="BJ18">
        <v>99.67</v>
      </c>
      <c r="BK18">
        <v>99.54</v>
      </c>
      <c r="BL18">
        <v>97.32</v>
      </c>
      <c r="BM18">
        <v>96.78</v>
      </c>
      <c r="BN18">
        <v>99.5</v>
      </c>
      <c r="BO18">
        <v>99.23</v>
      </c>
      <c r="BP18">
        <v>99.57</v>
      </c>
      <c r="BQ18">
        <v>96.58</v>
      </c>
      <c r="BR18">
        <v>98.28</v>
      </c>
      <c r="BS18">
        <v>99.36</v>
      </c>
      <c r="BT18">
        <v>97.07</v>
      </c>
      <c r="BU18">
        <v>97.31</v>
      </c>
      <c r="BV18">
        <v>96.83</v>
      </c>
      <c r="BW18">
        <v>97.7</v>
      </c>
      <c r="BX18">
        <v>99.47</v>
      </c>
      <c r="BY18">
        <v>99.34</v>
      </c>
      <c r="BZ18">
        <v>98.83</v>
      </c>
      <c r="CA18">
        <v>99.35</v>
      </c>
      <c r="CB18">
        <v>97.92</v>
      </c>
      <c r="CC18">
        <v>94.29</v>
      </c>
      <c r="CD18">
        <v>98.68</v>
      </c>
      <c r="CE18">
        <v>98.32</v>
      </c>
      <c r="CF18">
        <v>98.83</v>
      </c>
      <c r="CG18">
        <v>97.68</v>
      </c>
      <c r="CH18">
        <v>97.37</v>
      </c>
      <c r="CI18">
        <v>98.37</v>
      </c>
      <c r="CJ18">
        <v>98.14</v>
      </c>
      <c r="CK18">
        <v>99.05</v>
      </c>
      <c r="CL18">
        <v>96.23</v>
      </c>
      <c r="CM18">
        <v>99.79</v>
      </c>
      <c r="CN18">
        <v>97.47</v>
      </c>
      <c r="CO18">
        <v>100</v>
      </c>
      <c r="CP18">
        <v>97.62</v>
      </c>
      <c r="CQ18">
        <v>99.93</v>
      </c>
      <c r="CR18">
        <v>97.97</v>
      </c>
      <c r="CS18">
        <v>80.150000000000006</v>
      </c>
      <c r="CT18">
        <v>98.95</v>
      </c>
      <c r="CU18">
        <v>98.68</v>
      </c>
      <c r="CV18">
        <v>97.35</v>
      </c>
      <c r="CW18">
        <v>98.64</v>
      </c>
      <c r="CX18">
        <v>98.11</v>
      </c>
      <c r="CY18">
        <v>98.62</v>
      </c>
    </row>
    <row r="19" spans="1:103" x14ac:dyDescent="0.3">
      <c r="A19">
        <v>80</v>
      </c>
      <c r="B19" t="s">
        <v>185</v>
      </c>
      <c r="D19">
        <v>0</v>
      </c>
      <c r="E19">
        <v>8508996</v>
      </c>
      <c r="F19">
        <v>0</v>
      </c>
      <c r="G19">
        <v>7845158</v>
      </c>
      <c r="H19">
        <v>0</v>
      </c>
      <c r="I19">
        <v>0</v>
      </c>
      <c r="J19">
        <v>12408293</v>
      </c>
      <c r="K19">
        <v>1904706</v>
      </c>
      <c r="L19">
        <v>3015774</v>
      </c>
      <c r="M19">
        <v>124241266</v>
      </c>
      <c r="N19">
        <v>0</v>
      </c>
      <c r="O19">
        <v>794059</v>
      </c>
      <c r="P19">
        <v>0</v>
      </c>
      <c r="Q19">
        <v>7503287</v>
      </c>
      <c r="R19">
        <v>3506293</v>
      </c>
      <c r="S19">
        <v>2645491</v>
      </c>
      <c r="U19">
        <v>0</v>
      </c>
      <c r="V19">
        <v>28012307</v>
      </c>
      <c r="X19">
        <v>3413784</v>
      </c>
      <c r="Y19">
        <v>385218</v>
      </c>
      <c r="Z19">
        <v>0</v>
      </c>
      <c r="AA19">
        <v>5511948</v>
      </c>
      <c r="AB19">
        <v>12896847</v>
      </c>
      <c r="AC19">
        <v>2066042</v>
      </c>
      <c r="AD19">
        <v>25534958</v>
      </c>
      <c r="AE19">
        <v>2676172</v>
      </c>
      <c r="AF19">
        <v>1788889</v>
      </c>
      <c r="AG19">
        <v>10623361</v>
      </c>
      <c r="AH19">
        <v>12301658</v>
      </c>
      <c r="AI19">
        <v>46646721</v>
      </c>
      <c r="AJ19">
        <v>2149421</v>
      </c>
      <c r="AK19">
        <v>0</v>
      </c>
      <c r="AL19">
        <v>28125481</v>
      </c>
      <c r="AM19">
        <v>0</v>
      </c>
      <c r="AN19">
        <v>2642761</v>
      </c>
      <c r="AP19">
        <v>0</v>
      </c>
      <c r="AQ19">
        <v>2388451</v>
      </c>
      <c r="AR19">
        <v>0</v>
      </c>
      <c r="AS19">
        <v>4972771</v>
      </c>
      <c r="AT19">
        <v>91260141</v>
      </c>
      <c r="AU19">
        <v>0</v>
      </c>
      <c r="AV19">
        <v>736965</v>
      </c>
      <c r="AW19">
        <v>3813316</v>
      </c>
      <c r="AX19">
        <v>5960651</v>
      </c>
      <c r="AY19">
        <v>688449</v>
      </c>
      <c r="AZ19">
        <v>0</v>
      </c>
      <c r="BA19">
        <v>0</v>
      </c>
      <c r="BB19">
        <v>64690024</v>
      </c>
      <c r="BC19">
        <v>5222714</v>
      </c>
      <c r="BD19">
        <v>0</v>
      </c>
      <c r="BE19">
        <v>0</v>
      </c>
      <c r="BF19">
        <v>40025410</v>
      </c>
      <c r="BG19">
        <v>0</v>
      </c>
      <c r="BH19">
        <v>0</v>
      </c>
      <c r="BI19">
        <v>21547</v>
      </c>
      <c r="BJ19">
        <v>259708</v>
      </c>
      <c r="BK19">
        <v>0</v>
      </c>
      <c r="BL19">
        <v>0</v>
      </c>
      <c r="BM19">
        <v>8660140</v>
      </c>
      <c r="BN19">
        <v>29051022</v>
      </c>
      <c r="BO19">
        <v>1587148</v>
      </c>
      <c r="BP19">
        <v>0</v>
      </c>
      <c r="BQ19">
        <v>1917006</v>
      </c>
      <c r="BR19">
        <v>0</v>
      </c>
      <c r="BS19">
        <v>0</v>
      </c>
      <c r="BT19">
        <v>3049366</v>
      </c>
      <c r="BU19">
        <v>10013848</v>
      </c>
      <c r="BV19">
        <v>13057043</v>
      </c>
      <c r="BW19">
        <v>1797309</v>
      </c>
      <c r="BX19">
        <v>0</v>
      </c>
      <c r="BY19">
        <v>0</v>
      </c>
      <c r="BZ19">
        <v>220940</v>
      </c>
      <c r="CA19">
        <v>0</v>
      </c>
      <c r="CB19">
        <v>13238397</v>
      </c>
      <c r="CC19">
        <v>18193888</v>
      </c>
      <c r="CD19">
        <v>6605061</v>
      </c>
      <c r="CE19">
        <v>672055</v>
      </c>
      <c r="CF19">
        <v>0</v>
      </c>
      <c r="CG19">
        <v>9718760</v>
      </c>
      <c r="CH19">
        <v>3753550</v>
      </c>
      <c r="CI19">
        <v>2852850</v>
      </c>
      <c r="CJ19">
        <v>717267</v>
      </c>
      <c r="CK19">
        <v>506706</v>
      </c>
      <c r="CL19">
        <v>0</v>
      </c>
      <c r="CM19">
        <v>0</v>
      </c>
      <c r="CN19">
        <v>2153758</v>
      </c>
      <c r="CO19">
        <v>153985748</v>
      </c>
      <c r="CP19">
        <v>1246993</v>
      </c>
      <c r="CQ19">
        <v>0</v>
      </c>
      <c r="CR19">
        <v>8043814</v>
      </c>
      <c r="CS19">
        <v>1692395</v>
      </c>
      <c r="CT19">
        <v>0</v>
      </c>
      <c r="CU19">
        <v>667371</v>
      </c>
      <c r="CV19">
        <v>0</v>
      </c>
      <c r="CW19">
        <v>5292233</v>
      </c>
      <c r="CX19">
        <v>402680</v>
      </c>
      <c r="CY19">
        <v>0</v>
      </c>
    </row>
    <row r="20" spans="1:103" x14ac:dyDescent="0.3">
      <c r="A20">
        <v>81</v>
      </c>
      <c r="B20" t="s">
        <v>186</v>
      </c>
      <c r="D20">
        <v>0</v>
      </c>
      <c r="E20">
        <v>489682</v>
      </c>
      <c r="F20">
        <v>0</v>
      </c>
      <c r="G20">
        <v>711713</v>
      </c>
      <c r="H20">
        <v>0</v>
      </c>
      <c r="I20">
        <v>0</v>
      </c>
      <c r="J20">
        <v>1169732</v>
      </c>
      <c r="K20">
        <v>361358</v>
      </c>
      <c r="L20">
        <v>529759</v>
      </c>
      <c r="M20">
        <v>7708851</v>
      </c>
      <c r="N20">
        <v>0</v>
      </c>
      <c r="O20">
        <v>114276</v>
      </c>
      <c r="P20">
        <v>0</v>
      </c>
      <c r="Q20">
        <v>805107</v>
      </c>
      <c r="R20">
        <v>193695</v>
      </c>
      <c r="S20">
        <v>106586</v>
      </c>
      <c r="U20">
        <v>0</v>
      </c>
      <c r="V20">
        <v>3600545</v>
      </c>
      <c r="X20">
        <v>194245</v>
      </c>
      <c r="Y20">
        <v>93106</v>
      </c>
      <c r="Z20">
        <v>0</v>
      </c>
      <c r="AA20">
        <v>1182216</v>
      </c>
      <c r="AB20">
        <v>734170</v>
      </c>
      <c r="AC20">
        <v>171163</v>
      </c>
      <c r="AD20">
        <v>2044443</v>
      </c>
      <c r="AE20">
        <v>4183509</v>
      </c>
      <c r="AF20">
        <v>88619</v>
      </c>
      <c r="AG20">
        <v>1506188</v>
      </c>
      <c r="AH20">
        <v>502473</v>
      </c>
      <c r="AI20">
        <v>130127</v>
      </c>
      <c r="AJ20">
        <v>867125</v>
      </c>
      <c r="AK20">
        <v>0</v>
      </c>
      <c r="AL20">
        <v>2590641</v>
      </c>
      <c r="AM20">
        <v>0</v>
      </c>
      <c r="AN20">
        <v>271566</v>
      </c>
      <c r="AP20">
        <v>0</v>
      </c>
      <c r="AQ20">
        <v>400873</v>
      </c>
      <c r="AR20">
        <v>0</v>
      </c>
      <c r="AS20">
        <v>828003</v>
      </c>
      <c r="AT20">
        <v>6833349</v>
      </c>
      <c r="AU20">
        <v>0</v>
      </c>
      <c r="AV20">
        <v>3750</v>
      </c>
      <c r="AW20">
        <v>158916</v>
      </c>
      <c r="AX20">
        <v>849979</v>
      </c>
      <c r="AY20">
        <v>220705</v>
      </c>
      <c r="AZ20">
        <v>0</v>
      </c>
      <c r="BA20">
        <v>0</v>
      </c>
      <c r="BB20">
        <v>7033412</v>
      </c>
      <c r="BC20">
        <v>206791</v>
      </c>
      <c r="BD20">
        <v>0</v>
      </c>
      <c r="BE20">
        <v>0</v>
      </c>
      <c r="BF20">
        <v>1427381</v>
      </c>
      <c r="BG20">
        <v>0</v>
      </c>
      <c r="BH20">
        <v>0</v>
      </c>
      <c r="BI20">
        <v>210859</v>
      </c>
      <c r="BJ20">
        <v>15621</v>
      </c>
      <c r="BK20">
        <v>0</v>
      </c>
      <c r="BL20">
        <v>0</v>
      </c>
      <c r="BM20">
        <v>822281</v>
      </c>
      <c r="BN20">
        <v>2142672</v>
      </c>
      <c r="BO20">
        <v>474155</v>
      </c>
      <c r="BP20">
        <v>0</v>
      </c>
      <c r="BQ20">
        <v>637112</v>
      </c>
      <c r="BR20">
        <v>0</v>
      </c>
      <c r="BS20">
        <v>0</v>
      </c>
      <c r="BT20">
        <v>331171</v>
      </c>
      <c r="BU20">
        <v>660292</v>
      </c>
      <c r="BV20">
        <v>1365640</v>
      </c>
      <c r="BW20">
        <v>123210</v>
      </c>
      <c r="BX20">
        <v>0</v>
      </c>
      <c r="BY20">
        <v>0</v>
      </c>
      <c r="BZ20">
        <v>210337</v>
      </c>
      <c r="CA20">
        <v>0</v>
      </c>
      <c r="CB20">
        <v>880234</v>
      </c>
      <c r="CC20">
        <v>41768</v>
      </c>
      <c r="CD20">
        <v>554350</v>
      </c>
      <c r="CE20">
        <v>0</v>
      </c>
      <c r="CF20">
        <v>0</v>
      </c>
      <c r="CG20">
        <v>1746702</v>
      </c>
      <c r="CH20">
        <v>115927</v>
      </c>
      <c r="CI20">
        <v>976350</v>
      </c>
      <c r="CJ20">
        <v>4685</v>
      </c>
      <c r="CK20">
        <v>25836</v>
      </c>
      <c r="CL20">
        <v>0</v>
      </c>
      <c r="CM20">
        <v>0</v>
      </c>
      <c r="CN20">
        <v>220363</v>
      </c>
      <c r="CO20">
        <v>15528798</v>
      </c>
      <c r="CP20">
        <v>296464</v>
      </c>
      <c r="CQ20">
        <v>0</v>
      </c>
      <c r="CR20">
        <v>790726</v>
      </c>
      <c r="CS20">
        <v>175472</v>
      </c>
      <c r="CT20">
        <v>0</v>
      </c>
      <c r="CU20">
        <v>72100</v>
      </c>
      <c r="CV20">
        <v>0</v>
      </c>
      <c r="CW20">
        <v>448046</v>
      </c>
      <c r="CX20">
        <v>45434</v>
      </c>
      <c r="CY20">
        <v>0</v>
      </c>
    </row>
    <row r="21" spans="1:103" x14ac:dyDescent="0.3">
      <c r="A21">
        <v>82</v>
      </c>
      <c r="B21" t="s">
        <v>260</v>
      </c>
      <c r="D21">
        <v>0</v>
      </c>
      <c r="E21">
        <v>11277188</v>
      </c>
      <c r="F21">
        <v>0</v>
      </c>
      <c r="G21">
        <v>705044</v>
      </c>
      <c r="H21">
        <v>0</v>
      </c>
      <c r="I21">
        <v>0</v>
      </c>
      <c r="J21">
        <v>32935549</v>
      </c>
      <c r="K21">
        <v>11732920</v>
      </c>
      <c r="L21">
        <v>19583021</v>
      </c>
      <c r="M21">
        <v>304868028</v>
      </c>
      <c r="N21">
        <v>0</v>
      </c>
      <c r="O21">
        <v>1047774</v>
      </c>
      <c r="P21">
        <v>0</v>
      </c>
      <c r="Q21">
        <v>0</v>
      </c>
      <c r="R21">
        <v>3242123</v>
      </c>
      <c r="S21">
        <v>928000</v>
      </c>
      <c r="U21">
        <v>0</v>
      </c>
      <c r="V21">
        <v>9463770</v>
      </c>
      <c r="X21">
        <v>0</v>
      </c>
      <c r="Y21">
        <v>688204</v>
      </c>
      <c r="Z21">
        <v>0</v>
      </c>
      <c r="AA21">
        <v>16740718</v>
      </c>
      <c r="AB21">
        <v>11485525</v>
      </c>
      <c r="AC21">
        <v>11008028</v>
      </c>
      <c r="AD21">
        <v>12051227</v>
      </c>
      <c r="AE21">
        <v>21308912</v>
      </c>
      <c r="AF21">
        <v>4473587</v>
      </c>
      <c r="AG21">
        <v>13795374</v>
      </c>
      <c r="AH21">
        <v>12993670</v>
      </c>
      <c r="AI21">
        <v>10230271</v>
      </c>
      <c r="AJ21">
        <v>16940921</v>
      </c>
      <c r="AK21">
        <v>0</v>
      </c>
      <c r="AL21">
        <v>18424933</v>
      </c>
      <c r="AM21">
        <v>0</v>
      </c>
      <c r="AN21">
        <v>0</v>
      </c>
      <c r="AP21">
        <v>0</v>
      </c>
      <c r="AQ21">
        <v>15457167</v>
      </c>
      <c r="AR21">
        <v>0</v>
      </c>
      <c r="AS21">
        <v>15626462</v>
      </c>
      <c r="AT21">
        <v>38040776</v>
      </c>
      <c r="AU21">
        <v>0</v>
      </c>
      <c r="AV21">
        <v>0</v>
      </c>
      <c r="AW21">
        <v>5460189</v>
      </c>
      <c r="AX21">
        <v>20426699</v>
      </c>
      <c r="AY21">
        <v>1875623</v>
      </c>
      <c r="AZ21">
        <v>0</v>
      </c>
      <c r="BA21">
        <v>0</v>
      </c>
      <c r="BB21">
        <v>257294339</v>
      </c>
      <c r="BC21">
        <v>8599043</v>
      </c>
      <c r="BD21">
        <v>0</v>
      </c>
      <c r="BE21">
        <v>0</v>
      </c>
      <c r="BF21">
        <v>63127119</v>
      </c>
      <c r="BG21">
        <v>0</v>
      </c>
      <c r="BH21">
        <v>0</v>
      </c>
      <c r="BI21">
        <v>11455075</v>
      </c>
      <c r="BJ21">
        <v>0</v>
      </c>
      <c r="BK21">
        <v>0</v>
      </c>
      <c r="BL21">
        <v>0</v>
      </c>
      <c r="BM21">
        <v>8237793</v>
      </c>
      <c r="BN21">
        <v>43723119</v>
      </c>
      <c r="BO21">
        <v>17125289</v>
      </c>
      <c r="BP21">
        <v>0</v>
      </c>
      <c r="BQ21">
        <v>8491775</v>
      </c>
      <c r="BR21">
        <v>0</v>
      </c>
      <c r="BS21">
        <v>0</v>
      </c>
      <c r="BT21">
        <v>2493458</v>
      </c>
      <c r="BU21">
        <v>6612772</v>
      </c>
      <c r="BV21">
        <v>62850287</v>
      </c>
      <c r="BW21">
        <v>1069910</v>
      </c>
      <c r="BX21">
        <v>0</v>
      </c>
      <c r="BY21">
        <v>0</v>
      </c>
      <c r="BZ21">
        <v>0</v>
      </c>
      <c r="CA21">
        <v>5200544</v>
      </c>
      <c r="CB21">
        <v>10134668</v>
      </c>
      <c r="CC21">
        <v>6298344</v>
      </c>
      <c r="CD21">
        <v>93360</v>
      </c>
      <c r="CE21">
        <v>0</v>
      </c>
      <c r="CF21">
        <v>0</v>
      </c>
      <c r="CG21">
        <v>14632793</v>
      </c>
      <c r="CH21">
        <v>4955177</v>
      </c>
      <c r="CI21">
        <v>12685783</v>
      </c>
      <c r="CJ21">
        <v>0</v>
      </c>
      <c r="CK21">
        <v>0</v>
      </c>
      <c r="CL21">
        <v>0</v>
      </c>
      <c r="CM21">
        <v>0</v>
      </c>
      <c r="CN21">
        <v>0</v>
      </c>
      <c r="CO21">
        <v>464297095</v>
      </c>
      <c r="CP21">
        <v>10815939</v>
      </c>
      <c r="CQ21">
        <v>0</v>
      </c>
      <c r="CR21">
        <v>11480573</v>
      </c>
      <c r="CS21">
        <v>3212917</v>
      </c>
      <c r="CT21">
        <v>0</v>
      </c>
      <c r="CU21">
        <v>1220000</v>
      </c>
      <c r="CV21">
        <v>0</v>
      </c>
      <c r="CW21">
        <v>7269097</v>
      </c>
      <c r="CX21">
        <v>3052468</v>
      </c>
      <c r="CY21">
        <v>253035</v>
      </c>
    </row>
    <row r="22" spans="1:103" x14ac:dyDescent="0.3">
      <c r="A22">
        <v>83</v>
      </c>
      <c r="B22" t="s">
        <v>86</v>
      </c>
      <c r="D22">
        <v>0</v>
      </c>
      <c r="E22">
        <v>20872339</v>
      </c>
      <c r="F22">
        <v>0</v>
      </c>
      <c r="G22">
        <v>31477595</v>
      </c>
      <c r="H22">
        <v>0</v>
      </c>
      <c r="I22">
        <v>0</v>
      </c>
      <c r="J22">
        <v>37023763</v>
      </c>
      <c r="K22">
        <v>17103086</v>
      </c>
      <c r="L22">
        <v>6886559</v>
      </c>
      <c r="M22">
        <v>445321105</v>
      </c>
      <c r="N22">
        <v>0</v>
      </c>
      <c r="O22">
        <v>14083924</v>
      </c>
      <c r="P22">
        <v>0</v>
      </c>
      <c r="Q22">
        <v>14100727</v>
      </c>
      <c r="R22">
        <v>23051003</v>
      </c>
      <c r="S22">
        <v>5726887</v>
      </c>
      <c r="U22">
        <v>0</v>
      </c>
      <c r="V22">
        <v>69312182</v>
      </c>
      <c r="X22">
        <v>6031775</v>
      </c>
      <c r="Y22">
        <v>3116569</v>
      </c>
      <c r="Z22">
        <v>0</v>
      </c>
      <c r="AA22">
        <v>24907250</v>
      </c>
      <c r="AB22">
        <v>44032097</v>
      </c>
      <c r="AC22">
        <v>11317592</v>
      </c>
      <c r="AD22">
        <v>65472981</v>
      </c>
      <c r="AE22">
        <v>59531553</v>
      </c>
      <c r="AF22">
        <v>15704462</v>
      </c>
      <c r="AG22">
        <v>45785131</v>
      </c>
      <c r="AH22">
        <v>37193104</v>
      </c>
      <c r="AI22">
        <v>116357758</v>
      </c>
      <c r="AJ22">
        <v>43056437</v>
      </c>
      <c r="AK22">
        <v>0</v>
      </c>
      <c r="AL22">
        <v>50779301</v>
      </c>
      <c r="AM22">
        <v>0</v>
      </c>
      <c r="AN22">
        <v>9107835</v>
      </c>
      <c r="AP22">
        <v>0</v>
      </c>
      <c r="AQ22">
        <v>35664018</v>
      </c>
      <c r="AR22">
        <v>0</v>
      </c>
      <c r="AS22">
        <v>13018082</v>
      </c>
      <c r="AT22">
        <v>376973172</v>
      </c>
      <c r="AU22">
        <v>0</v>
      </c>
      <c r="AV22">
        <v>907988</v>
      </c>
      <c r="AW22">
        <v>9187776</v>
      </c>
      <c r="AX22">
        <v>47234700</v>
      </c>
      <c r="AY22">
        <v>8140781</v>
      </c>
      <c r="AZ22">
        <v>0</v>
      </c>
      <c r="BA22">
        <v>0</v>
      </c>
      <c r="BB22">
        <v>242301871</v>
      </c>
      <c r="BC22">
        <v>12933054</v>
      </c>
      <c r="BD22">
        <v>-326749</v>
      </c>
      <c r="BE22">
        <v>0</v>
      </c>
      <c r="BF22">
        <v>104462183</v>
      </c>
      <c r="BG22">
        <v>0</v>
      </c>
      <c r="BH22">
        <v>0</v>
      </c>
      <c r="BI22">
        <v>1332122</v>
      </c>
      <c r="BJ22">
        <v>6124956</v>
      </c>
      <c r="BK22">
        <v>0</v>
      </c>
      <c r="BL22">
        <v>0</v>
      </c>
      <c r="BM22">
        <v>28305619</v>
      </c>
      <c r="BN22">
        <v>58106269</v>
      </c>
      <c r="BO22">
        <v>22666416</v>
      </c>
      <c r="BP22">
        <v>0</v>
      </c>
      <c r="BQ22">
        <v>12320179</v>
      </c>
      <c r="BR22">
        <v>0</v>
      </c>
      <c r="BS22">
        <v>0</v>
      </c>
      <c r="BT22">
        <v>11721157</v>
      </c>
      <c r="BU22">
        <v>28182800</v>
      </c>
      <c r="BV22">
        <v>48037956</v>
      </c>
      <c r="BW22">
        <v>8448088</v>
      </c>
      <c r="BX22">
        <v>0</v>
      </c>
      <c r="BY22">
        <v>0</v>
      </c>
      <c r="BZ22">
        <v>11058729</v>
      </c>
      <c r="CA22">
        <v>0</v>
      </c>
      <c r="CB22">
        <v>37147108</v>
      </c>
      <c r="CC22">
        <v>40404346</v>
      </c>
      <c r="CD22">
        <v>32733896</v>
      </c>
      <c r="CE22">
        <v>4237640</v>
      </c>
      <c r="CF22">
        <v>0</v>
      </c>
      <c r="CG22">
        <v>28600885</v>
      </c>
      <c r="CH22">
        <v>4538991</v>
      </c>
      <c r="CI22">
        <v>20557769</v>
      </c>
      <c r="CJ22">
        <v>5217433</v>
      </c>
      <c r="CK22">
        <v>8270623</v>
      </c>
      <c r="CL22">
        <v>0</v>
      </c>
      <c r="CM22">
        <v>0</v>
      </c>
      <c r="CN22">
        <v>14331102</v>
      </c>
      <c r="CO22">
        <v>417735373</v>
      </c>
      <c r="CP22">
        <v>4799566</v>
      </c>
      <c r="CQ22">
        <v>0</v>
      </c>
      <c r="CR22">
        <v>24193655</v>
      </c>
      <c r="CS22">
        <v>3638505</v>
      </c>
      <c r="CT22">
        <v>0</v>
      </c>
      <c r="CU22">
        <v>2611258</v>
      </c>
      <c r="CV22">
        <v>0</v>
      </c>
      <c r="CW22">
        <v>14942393</v>
      </c>
      <c r="CX22">
        <v>6047005</v>
      </c>
      <c r="CY22">
        <v>7669925</v>
      </c>
    </row>
    <row r="23" spans="1:103" x14ac:dyDescent="0.3">
      <c r="A23">
        <v>84</v>
      </c>
      <c r="B23" t="s">
        <v>191</v>
      </c>
      <c r="D23">
        <v>0</v>
      </c>
      <c r="E23">
        <v>4142986</v>
      </c>
      <c r="F23">
        <v>0</v>
      </c>
      <c r="G23">
        <v>7078028</v>
      </c>
      <c r="H23">
        <v>0</v>
      </c>
      <c r="I23">
        <v>0</v>
      </c>
      <c r="J23">
        <v>8680859</v>
      </c>
      <c r="K23">
        <v>2768012</v>
      </c>
      <c r="L23">
        <v>2938667</v>
      </c>
      <c r="M23">
        <v>91553262</v>
      </c>
      <c r="N23">
        <v>0</v>
      </c>
      <c r="O23">
        <v>1900418</v>
      </c>
      <c r="P23">
        <v>0</v>
      </c>
      <c r="Q23">
        <v>4600728</v>
      </c>
      <c r="R23">
        <v>1940613</v>
      </c>
      <c r="S23">
        <v>1053436</v>
      </c>
      <c r="U23">
        <v>0</v>
      </c>
      <c r="V23">
        <v>9146627</v>
      </c>
      <c r="X23">
        <v>1763704</v>
      </c>
      <c r="Y23">
        <v>856233</v>
      </c>
      <c r="Z23">
        <v>0</v>
      </c>
      <c r="AA23">
        <v>5218016</v>
      </c>
      <c r="AB23">
        <v>4363172</v>
      </c>
      <c r="AC23">
        <v>934639</v>
      </c>
      <c r="AD23">
        <v>12796250</v>
      </c>
      <c r="AE23">
        <v>15337656</v>
      </c>
      <c r="AF23">
        <v>1043754</v>
      </c>
      <c r="AG23">
        <v>8130779</v>
      </c>
      <c r="AH23">
        <v>4048415</v>
      </c>
      <c r="AI23">
        <v>14704413</v>
      </c>
      <c r="AJ23">
        <v>5084256</v>
      </c>
      <c r="AK23">
        <v>0</v>
      </c>
      <c r="AL23">
        <v>18287694</v>
      </c>
      <c r="AM23">
        <v>0</v>
      </c>
      <c r="AN23">
        <v>1232173</v>
      </c>
      <c r="AP23">
        <v>0</v>
      </c>
      <c r="AQ23">
        <v>3287259</v>
      </c>
      <c r="AR23">
        <v>0</v>
      </c>
      <c r="AS23">
        <v>6563710</v>
      </c>
      <c r="AT23">
        <v>49568547</v>
      </c>
      <c r="AU23">
        <v>0</v>
      </c>
      <c r="AV23">
        <v>45000</v>
      </c>
      <c r="AW23">
        <v>1389709</v>
      </c>
      <c r="AX23">
        <v>8760707</v>
      </c>
      <c r="AY23">
        <v>2064106</v>
      </c>
      <c r="AZ23">
        <v>0</v>
      </c>
      <c r="BA23">
        <v>0</v>
      </c>
      <c r="BB23">
        <v>61197414</v>
      </c>
      <c r="BC23">
        <v>1836941</v>
      </c>
      <c r="BD23">
        <v>0</v>
      </c>
      <c r="BE23">
        <v>0</v>
      </c>
      <c r="BF23">
        <v>18319117</v>
      </c>
      <c r="BG23">
        <v>0</v>
      </c>
      <c r="BH23">
        <v>0</v>
      </c>
      <c r="BI23">
        <v>1724253</v>
      </c>
      <c r="BJ23">
        <v>188367</v>
      </c>
      <c r="BK23">
        <v>0</v>
      </c>
      <c r="BL23">
        <v>0</v>
      </c>
      <c r="BM23">
        <v>4540525</v>
      </c>
      <c r="BN23">
        <v>22898572</v>
      </c>
      <c r="BO23">
        <v>3499820</v>
      </c>
      <c r="BP23">
        <v>0</v>
      </c>
      <c r="BQ23">
        <v>4208142</v>
      </c>
      <c r="BR23">
        <v>0</v>
      </c>
      <c r="BS23">
        <v>0</v>
      </c>
      <c r="BT23">
        <v>2834458</v>
      </c>
      <c r="BU23">
        <v>8406041</v>
      </c>
      <c r="BV23">
        <v>11923383</v>
      </c>
      <c r="BW23">
        <v>2833383</v>
      </c>
      <c r="BX23">
        <v>0</v>
      </c>
      <c r="BY23">
        <v>0</v>
      </c>
      <c r="BZ23">
        <v>0</v>
      </c>
      <c r="CA23">
        <v>0</v>
      </c>
      <c r="CB23">
        <v>6878593</v>
      </c>
      <c r="CC23">
        <v>23592263</v>
      </c>
      <c r="CD23">
        <v>1290420</v>
      </c>
      <c r="CE23">
        <v>245957</v>
      </c>
      <c r="CF23">
        <v>0</v>
      </c>
      <c r="CG23">
        <v>4051932</v>
      </c>
      <c r="CH23">
        <v>1875183</v>
      </c>
      <c r="CI23">
        <v>7303692</v>
      </c>
      <c r="CJ23">
        <v>267548</v>
      </c>
      <c r="CK23">
        <v>273093</v>
      </c>
      <c r="CL23">
        <v>0</v>
      </c>
      <c r="CM23">
        <v>0</v>
      </c>
      <c r="CN23">
        <v>1658935</v>
      </c>
      <c r="CO23">
        <v>80942838</v>
      </c>
      <c r="CP23">
        <v>1440584</v>
      </c>
      <c r="CQ23">
        <v>0</v>
      </c>
      <c r="CR23">
        <v>3849158</v>
      </c>
      <c r="CS23">
        <v>1410332</v>
      </c>
      <c r="CT23">
        <v>0</v>
      </c>
      <c r="CU23">
        <v>640469</v>
      </c>
      <c r="CV23">
        <v>0</v>
      </c>
      <c r="CW23">
        <v>3180047</v>
      </c>
      <c r="CX23">
        <v>393283</v>
      </c>
      <c r="CY23">
        <v>0</v>
      </c>
    </row>
    <row r="24" spans="1:103" x14ac:dyDescent="0.3">
      <c r="A24">
        <v>85</v>
      </c>
      <c r="B24" t="s">
        <v>193</v>
      </c>
      <c r="D24">
        <v>0</v>
      </c>
      <c r="E24">
        <v>3617400</v>
      </c>
      <c r="F24">
        <v>0</v>
      </c>
      <c r="G24">
        <v>9962401</v>
      </c>
      <c r="H24">
        <v>0</v>
      </c>
      <c r="I24">
        <v>0</v>
      </c>
      <c r="J24">
        <v>7258989</v>
      </c>
      <c r="K24">
        <v>2575244</v>
      </c>
      <c r="L24">
        <v>2770658</v>
      </c>
      <c r="M24">
        <v>51655490</v>
      </c>
      <c r="N24">
        <v>0</v>
      </c>
      <c r="O24">
        <v>2549756</v>
      </c>
      <c r="P24">
        <v>0</v>
      </c>
      <c r="Q24">
        <v>4457940</v>
      </c>
      <c r="R24">
        <v>1922840</v>
      </c>
      <c r="S24">
        <v>1175486</v>
      </c>
      <c r="U24">
        <v>0</v>
      </c>
      <c r="V24">
        <v>8723627</v>
      </c>
      <c r="X24">
        <v>1784068</v>
      </c>
      <c r="Y24">
        <v>1112397</v>
      </c>
      <c r="Z24">
        <v>0</v>
      </c>
      <c r="AA24">
        <v>3904736</v>
      </c>
      <c r="AB24">
        <v>5015860</v>
      </c>
      <c r="AC24">
        <v>1170634</v>
      </c>
      <c r="AD24">
        <v>10581313</v>
      </c>
      <c r="AE24">
        <v>14525121</v>
      </c>
      <c r="AF24">
        <v>1141233</v>
      </c>
      <c r="AG24">
        <v>7442816</v>
      </c>
      <c r="AH24">
        <v>3032934</v>
      </c>
      <c r="AI24">
        <v>11878477</v>
      </c>
      <c r="AJ24">
        <v>5038780</v>
      </c>
      <c r="AK24">
        <v>0</v>
      </c>
      <c r="AL24">
        <v>12015982</v>
      </c>
      <c r="AM24">
        <v>0</v>
      </c>
      <c r="AN24">
        <v>1370932</v>
      </c>
      <c r="AP24">
        <v>0</v>
      </c>
      <c r="AQ24">
        <v>4097856</v>
      </c>
      <c r="AR24">
        <v>0</v>
      </c>
      <c r="AS24">
        <v>6687374</v>
      </c>
      <c r="AT24">
        <v>48686044</v>
      </c>
      <c r="AU24">
        <v>0</v>
      </c>
      <c r="AV24">
        <v>62949</v>
      </c>
      <c r="AW24">
        <v>1298671</v>
      </c>
      <c r="AX24">
        <v>11354718</v>
      </c>
      <c r="AY24">
        <v>2036870</v>
      </c>
      <c r="AZ24">
        <v>0</v>
      </c>
      <c r="BA24">
        <v>0</v>
      </c>
      <c r="BB24">
        <v>47385939</v>
      </c>
      <c r="BC24">
        <v>1864725</v>
      </c>
      <c r="BD24">
        <v>0</v>
      </c>
      <c r="BE24">
        <v>0</v>
      </c>
      <c r="BF24">
        <v>15652109</v>
      </c>
      <c r="BG24">
        <v>0</v>
      </c>
      <c r="BH24">
        <v>0</v>
      </c>
      <c r="BI24">
        <v>1463855</v>
      </c>
      <c r="BJ24">
        <v>273097</v>
      </c>
      <c r="BK24">
        <v>0</v>
      </c>
      <c r="BL24">
        <v>0</v>
      </c>
      <c r="BM24">
        <v>4005736</v>
      </c>
      <c r="BN24">
        <v>20763364</v>
      </c>
      <c r="BO24">
        <v>3061293</v>
      </c>
      <c r="BP24">
        <v>0</v>
      </c>
      <c r="BQ24">
        <v>3454106</v>
      </c>
      <c r="BR24">
        <v>0</v>
      </c>
      <c r="BS24">
        <v>0</v>
      </c>
      <c r="BT24">
        <v>3417398</v>
      </c>
      <c r="BU24">
        <v>7689573</v>
      </c>
      <c r="BV24">
        <v>10165464</v>
      </c>
      <c r="BW24">
        <v>2710971</v>
      </c>
      <c r="BX24">
        <v>0</v>
      </c>
      <c r="BY24">
        <v>0</v>
      </c>
      <c r="BZ24">
        <v>318243</v>
      </c>
      <c r="CA24">
        <v>0</v>
      </c>
      <c r="CB24">
        <v>7349561</v>
      </c>
      <c r="CC24">
        <v>15902532</v>
      </c>
      <c r="CD24">
        <v>1905532</v>
      </c>
      <c r="CE24">
        <v>484733</v>
      </c>
      <c r="CF24">
        <v>0</v>
      </c>
      <c r="CG24">
        <v>3204930</v>
      </c>
      <c r="CH24">
        <v>1463377</v>
      </c>
      <c r="CI24">
        <v>7733568</v>
      </c>
      <c r="CJ24">
        <v>525545</v>
      </c>
      <c r="CK24">
        <v>466680</v>
      </c>
      <c r="CL24">
        <v>0</v>
      </c>
      <c r="CM24">
        <v>0</v>
      </c>
      <c r="CN24">
        <v>1580098</v>
      </c>
      <c r="CO24">
        <v>55606567</v>
      </c>
      <c r="CP24">
        <v>1193034</v>
      </c>
      <c r="CQ24">
        <v>0</v>
      </c>
      <c r="CR24">
        <v>4102714</v>
      </c>
      <c r="CS24">
        <v>1063572</v>
      </c>
      <c r="CT24">
        <v>0</v>
      </c>
      <c r="CU24">
        <v>906400</v>
      </c>
      <c r="CV24">
        <v>0</v>
      </c>
      <c r="CW24">
        <v>2118402</v>
      </c>
      <c r="CX24">
        <v>779024</v>
      </c>
      <c r="CY24">
        <v>0</v>
      </c>
    </row>
    <row r="25" spans="1:103" x14ac:dyDescent="0.3">
      <c r="A25">
        <v>88</v>
      </c>
      <c r="B25" t="s">
        <v>190</v>
      </c>
      <c r="D25">
        <v>0</v>
      </c>
      <c r="E25">
        <v>4142986</v>
      </c>
      <c r="F25">
        <v>0</v>
      </c>
      <c r="G25">
        <v>6756725</v>
      </c>
      <c r="H25">
        <v>0</v>
      </c>
      <c r="I25">
        <v>0</v>
      </c>
      <c r="J25">
        <v>8162953</v>
      </c>
      <c r="K25">
        <v>2755063</v>
      </c>
      <c r="L25">
        <v>2599226</v>
      </c>
      <c r="M25">
        <v>87964377</v>
      </c>
      <c r="N25">
        <v>0</v>
      </c>
      <c r="O25">
        <v>1900418</v>
      </c>
      <c r="P25">
        <v>0</v>
      </c>
      <c r="Q25">
        <v>4482362</v>
      </c>
      <c r="R25">
        <v>1770972</v>
      </c>
      <c r="S25">
        <v>1053436</v>
      </c>
      <c r="U25">
        <v>0</v>
      </c>
      <c r="V25">
        <v>9037270</v>
      </c>
      <c r="X25">
        <v>1728397</v>
      </c>
      <c r="Y25">
        <v>749689</v>
      </c>
      <c r="Z25">
        <v>0</v>
      </c>
      <c r="AA25">
        <v>4511444</v>
      </c>
      <c r="AB25">
        <v>4163133</v>
      </c>
      <c r="AC25">
        <v>934639</v>
      </c>
      <c r="AD25">
        <v>12371349</v>
      </c>
      <c r="AE25">
        <v>14452449</v>
      </c>
      <c r="AF25">
        <v>1043754</v>
      </c>
      <c r="AG25">
        <v>7945070</v>
      </c>
      <c r="AH25">
        <v>4045330</v>
      </c>
      <c r="AI25">
        <v>14704413</v>
      </c>
      <c r="AJ25">
        <v>4965211</v>
      </c>
      <c r="AK25">
        <v>0</v>
      </c>
      <c r="AL25">
        <v>16172081</v>
      </c>
      <c r="AM25">
        <v>0</v>
      </c>
      <c r="AN25">
        <v>1182583</v>
      </c>
      <c r="AP25">
        <v>0</v>
      </c>
      <c r="AQ25">
        <v>3125733</v>
      </c>
      <c r="AR25">
        <v>0</v>
      </c>
      <c r="AS25">
        <v>6335284</v>
      </c>
      <c r="AT25">
        <v>43497347</v>
      </c>
      <c r="AU25">
        <v>0</v>
      </c>
      <c r="AV25">
        <v>45000</v>
      </c>
      <c r="AW25">
        <v>1304037</v>
      </c>
      <c r="AX25">
        <v>7856779</v>
      </c>
      <c r="AY25">
        <v>2028440</v>
      </c>
      <c r="AZ25">
        <v>0</v>
      </c>
      <c r="BA25">
        <v>0</v>
      </c>
      <c r="BB25">
        <v>60615777</v>
      </c>
      <c r="BC25">
        <v>1836941</v>
      </c>
      <c r="BD25">
        <v>0</v>
      </c>
      <c r="BE25">
        <v>0</v>
      </c>
      <c r="BF25">
        <v>17872354</v>
      </c>
      <c r="BG25">
        <v>0</v>
      </c>
      <c r="BH25">
        <v>0</v>
      </c>
      <c r="BI25">
        <v>1724253</v>
      </c>
      <c r="BJ25">
        <v>182967</v>
      </c>
      <c r="BK25">
        <v>0</v>
      </c>
      <c r="BL25">
        <v>0</v>
      </c>
      <c r="BM25">
        <v>4462647</v>
      </c>
      <c r="BN25">
        <v>22873815</v>
      </c>
      <c r="BO25">
        <v>3491460</v>
      </c>
      <c r="BP25">
        <v>0</v>
      </c>
      <c r="BQ25">
        <v>4159155</v>
      </c>
      <c r="BR25">
        <v>0</v>
      </c>
      <c r="BS25">
        <v>0</v>
      </c>
      <c r="BT25">
        <v>2678990</v>
      </c>
      <c r="BU25">
        <v>5102083</v>
      </c>
      <c r="BV25">
        <v>11923383</v>
      </c>
      <c r="BW25">
        <v>2564612</v>
      </c>
      <c r="BX25">
        <v>0</v>
      </c>
      <c r="BY25">
        <v>0</v>
      </c>
      <c r="BZ25">
        <v>0</v>
      </c>
      <c r="CA25">
        <v>0</v>
      </c>
      <c r="CB25">
        <v>6760600</v>
      </c>
      <c r="CC25">
        <v>22817273</v>
      </c>
      <c r="CD25">
        <v>1270150</v>
      </c>
      <c r="CE25">
        <v>245957</v>
      </c>
      <c r="CF25">
        <v>0</v>
      </c>
      <c r="CG25">
        <v>3745229</v>
      </c>
      <c r="CH25">
        <v>1690954</v>
      </c>
      <c r="CI25">
        <v>6532307</v>
      </c>
      <c r="CJ25">
        <v>267548</v>
      </c>
      <c r="CK25">
        <v>273093</v>
      </c>
      <c r="CL25">
        <v>0</v>
      </c>
      <c r="CM25">
        <v>0</v>
      </c>
      <c r="CN25">
        <v>1604158</v>
      </c>
      <c r="CO25">
        <v>74231925</v>
      </c>
      <c r="CP25">
        <v>1423966</v>
      </c>
      <c r="CQ25">
        <v>0</v>
      </c>
      <c r="CR25">
        <v>3777327</v>
      </c>
      <c r="CS25">
        <v>1396806</v>
      </c>
      <c r="CT25">
        <v>0</v>
      </c>
      <c r="CU25">
        <v>640469</v>
      </c>
      <c r="CV25">
        <v>0</v>
      </c>
      <c r="CW25">
        <v>3180047</v>
      </c>
      <c r="CX25">
        <v>393283</v>
      </c>
      <c r="CY25">
        <v>0</v>
      </c>
    </row>
    <row r="26" spans="1:103" x14ac:dyDescent="0.3">
      <c r="A26">
        <v>89</v>
      </c>
      <c r="B26" t="s">
        <v>194</v>
      </c>
      <c r="D26">
        <v>0</v>
      </c>
      <c r="E26">
        <v>104205</v>
      </c>
      <c r="F26">
        <v>0</v>
      </c>
      <c r="G26">
        <v>0</v>
      </c>
      <c r="H26">
        <v>0</v>
      </c>
      <c r="I26">
        <v>0</v>
      </c>
      <c r="J26">
        <v>721029</v>
      </c>
      <c r="K26">
        <v>373003</v>
      </c>
      <c r="L26">
        <v>511851</v>
      </c>
      <c r="M26">
        <v>10671150</v>
      </c>
      <c r="N26">
        <v>0</v>
      </c>
      <c r="O26">
        <v>0</v>
      </c>
      <c r="P26">
        <v>0</v>
      </c>
      <c r="Q26">
        <v>1</v>
      </c>
      <c r="R26">
        <v>203475</v>
      </c>
      <c r="S26">
        <v>38189</v>
      </c>
      <c r="U26">
        <v>0</v>
      </c>
      <c r="V26">
        <v>421639</v>
      </c>
      <c r="X26">
        <v>0</v>
      </c>
      <c r="Y26">
        <v>15421</v>
      </c>
      <c r="Z26">
        <v>0</v>
      </c>
      <c r="AA26">
        <v>651231</v>
      </c>
      <c r="AB26">
        <v>6037</v>
      </c>
      <c r="AC26">
        <v>66997</v>
      </c>
      <c r="AD26">
        <v>369469</v>
      </c>
      <c r="AE26">
        <v>844621</v>
      </c>
      <c r="AF26">
        <v>219525</v>
      </c>
      <c r="AG26">
        <v>0</v>
      </c>
      <c r="AH26">
        <v>559718</v>
      </c>
      <c r="AI26">
        <v>222562</v>
      </c>
      <c r="AJ26">
        <v>481274</v>
      </c>
      <c r="AK26">
        <v>0</v>
      </c>
      <c r="AL26">
        <v>160892</v>
      </c>
      <c r="AM26">
        <v>0</v>
      </c>
      <c r="AN26">
        <v>0</v>
      </c>
      <c r="AP26">
        <v>0</v>
      </c>
      <c r="AQ26">
        <v>478033</v>
      </c>
      <c r="AR26">
        <v>0</v>
      </c>
      <c r="AS26">
        <v>399382</v>
      </c>
      <c r="AT26">
        <v>1203973</v>
      </c>
      <c r="AU26">
        <v>0</v>
      </c>
      <c r="AV26">
        <v>0</v>
      </c>
      <c r="AW26">
        <v>142527</v>
      </c>
      <c r="AX26">
        <v>580382</v>
      </c>
      <c r="AY26">
        <v>72413</v>
      </c>
      <c r="AZ26">
        <v>0</v>
      </c>
      <c r="BA26">
        <v>0</v>
      </c>
      <c r="BB26">
        <v>5056329</v>
      </c>
      <c r="BC26">
        <v>150252</v>
      </c>
      <c r="BD26">
        <v>0</v>
      </c>
      <c r="BE26">
        <v>0</v>
      </c>
      <c r="BF26">
        <v>1556898</v>
      </c>
      <c r="BG26">
        <v>0</v>
      </c>
      <c r="BH26">
        <v>0</v>
      </c>
      <c r="BI26">
        <v>456267</v>
      </c>
      <c r="BJ26">
        <v>0</v>
      </c>
      <c r="BK26">
        <v>0</v>
      </c>
      <c r="BL26">
        <v>0</v>
      </c>
      <c r="BM26">
        <v>172977</v>
      </c>
      <c r="BN26">
        <v>1314280</v>
      </c>
      <c r="BO26">
        <v>337024</v>
      </c>
      <c r="BP26">
        <v>0</v>
      </c>
      <c r="BQ26">
        <v>163860</v>
      </c>
      <c r="BR26">
        <v>0</v>
      </c>
      <c r="BS26">
        <v>0</v>
      </c>
      <c r="BT26">
        <v>2169</v>
      </c>
      <c r="BU26">
        <v>143049</v>
      </c>
      <c r="BV26">
        <v>1867116</v>
      </c>
      <c r="BW26">
        <v>15589</v>
      </c>
      <c r="BX26">
        <v>0</v>
      </c>
      <c r="BY26">
        <v>0</v>
      </c>
      <c r="BZ26">
        <v>0</v>
      </c>
      <c r="CA26">
        <v>0</v>
      </c>
      <c r="CB26">
        <v>214156</v>
      </c>
      <c r="CC26">
        <v>123424</v>
      </c>
      <c r="CD26">
        <v>40325</v>
      </c>
      <c r="CE26">
        <v>0</v>
      </c>
      <c r="CF26">
        <v>0</v>
      </c>
      <c r="CG26">
        <v>421274</v>
      </c>
      <c r="CH26">
        <v>193058</v>
      </c>
      <c r="CI26">
        <v>97219</v>
      </c>
      <c r="CJ26">
        <v>0</v>
      </c>
      <c r="CK26">
        <v>75814</v>
      </c>
      <c r="CL26">
        <v>0</v>
      </c>
      <c r="CM26">
        <v>0</v>
      </c>
      <c r="CN26">
        <v>120797</v>
      </c>
      <c r="CO26">
        <v>13456075</v>
      </c>
      <c r="CP26">
        <v>321585</v>
      </c>
      <c r="CQ26">
        <v>0</v>
      </c>
      <c r="CR26">
        <v>431634</v>
      </c>
      <c r="CS26">
        <v>69826</v>
      </c>
      <c r="CT26">
        <v>0</v>
      </c>
      <c r="CU26">
        <v>57331</v>
      </c>
      <c r="CV26">
        <v>0</v>
      </c>
      <c r="CW26">
        <v>263290</v>
      </c>
      <c r="CX26">
        <v>0</v>
      </c>
      <c r="CY26">
        <v>0</v>
      </c>
    </row>
    <row r="27" spans="1:103" x14ac:dyDescent="0.3">
      <c r="A27">
        <v>102</v>
      </c>
      <c r="B27" t="s">
        <v>212</v>
      </c>
      <c r="D27">
        <v>98.98</v>
      </c>
      <c r="E27">
        <v>97.33</v>
      </c>
      <c r="F27">
        <v>97.98</v>
      </c>
      <c r="G27">
        <v>93.89</v>
      </c>
      <c r="H27">
        <v>97.26</v>
      </c>
      <c r="I27">
        <v>98.56</v>
      </c>
      <c r="J27">
        <v>98.61</v>
      </c>
      <c r="K27">
        <v>97.34</v>
      </c>
      <c r="L27">
        <v>96.9</v>
      </c>
      <c r="M27">
        <v>99.24</v>
      </c>
      <c r="N27">
        <v>99.78</v>
      </c>
      <c r="O27">
        <v>98.65</v>
      </c>
      <c r="P27">
        <v>99.27</v>
      </c>
      <c r="Q27">
        <v>97.59</v>
      </c>
      <c r="R27">
        <v>97.95</v>
      </c>
      <c r="S27">
        <v>97.89</v>
      </c>
      <c r="U27">
        <v>98.85</v>
      </c>
      <c r="V27">
        <v>99.26</v>
      </c>
      <c r="X27">
        <v>97.69</v>
      </c>
      <c r="Y27">
        <v>98.81</v>
      </c>
      <c r="Z27">
        <v>98.11</v>
      </c>
      <c r="AA27">
        <v>96.25</v>
      </c>
      <c r="AB27">
        <v>99.01</v>
      </c>
      <c r="AC27">
        <v>99.36</v>
      </c>
      <c r="AD27">
        <v>99.23</v>
      </c>
      <c r="AE27">
        <v>99.67</v>
      </c>
      <c r="AF27">
        <v>97.87</v>
      </c>
      <c r="AG27">
        <v>99.14</v>
      </c>
      <c r="AH27">
        <v>96.81</v>
      </c>
      <c r="AI27">
        <v>99.49</v>
      </c>
      <c r="AJ27">
        <v>95.34</v>
      </c>
      <c r="AK27">
        <v>99.31</v>
      </c>
      <c r="AL27">
        <v>98.51</v>
      </c>
      <c r="AM27">
        <v>99.05</v>
      </c>
      <c r="AN27">
        <v>96.65</v>
      </c>
      <c r="AP27">
        <v>98.84</v>
      </c>
      <c r="AQ27">
        <v>99.23</v>
      </c>
      <c r="AR27">
        <v>99.36</v>
      </c>
      <c r="AS27">
        <v>98.32</v>
      </c>
      <c r="AT27">
        <v>99.36</v>
      </c>
      <c r="AU27">
        <v>98.29</v>
      </c>
      <c r="AV27">
        <v>99.21</v>
      </c>
      <c r="AW27">
        <v>95.64</v>
      </c>
      <c r="AX27">
        <v>97.43</v>
      </c>
      <c r="AY27">
        <v>95.48</v>
      </c>
      <c r="AZ27">
        <v>99.34</v>
      </c>
      <c r="BA27">
        <v>99.23</v>
      </c>
      <c r="BB27">
        <v>99.93</v>
      </c>
      <c r="BC27">
        <v>95.83</v>
      </c>
      <c r="BD27">
        <v>99.19</v>
      </c>
      <c r="BE27">
        <v>98.15</v>
      </c>
      <c r="BF27">
        <v>99.43</v>
      </c>
      <c r="BG27">
        <v>98.73</v>
      </c>
      <c r="BH27">
        <v>97.13</v>
      </c>
      <c r="BI27">
        <v>94.14</v>
      </c>
      <c r="BJ27">
        <v>99.64</v>
      </c>
      <c r="BK27">
        <v>99.51</v>
      </c>
      <c r="BL27">
        <v>97.1</v>
      </c>
      <c r="BM27">
        <v>96.46</v>
      </c>
      <c r="BN27">
        <v>99.71</v>
      </c>
      <c r="BO27">
        <v>99.1</v>
      </c>
      <c r="BP27">
        <v>99.54</v>
      </c>
      <c r="BQ27">
        <v>96.26</v>
      </c>
      <c r="BR27">
        <v>98.97</v>
      </c>
      <c r="BS27">
        <v>99.31</v>
      </c>
      <c r="BT27">
        <v>96.76</v>
      </c>
      <c r="BU27">
        <v>97.01</v>
      </c>
      <c r="BV27">
        <v>96.47</v>
      </c>
      <c r="BW27">
        <v>97.46</v>
      </c>
      <c r="BX27">
        <v>99.42</v>
      </c>
      <c r="BY27">
        <v>99.24</v>
      </c>
      <c r="BZ27">
        <v>98.74</v>
      </c>
      <c r="CA27">
        <v>99.26</v>
      </c>
      <c r="CB27">
        <v>97.72</v>
      </c>
      <c r="CC27">
        <v>93.18</v>
      </c>
      <c r="CD27">
        <v>98.61</v>
      </c>
      <c r="CE27">
        <v>98.11</v>
      </c>
      <c r="CF27">
        <v>98.72</v>
      </c>
      <c r="CG27">
        <v>97.4</v>
      </c>
      <c r="CH27">
        <v>97.07</v>
      </c>
      <c r="CI27">
        <v>98.15</v>
      </c>
      <c r="CJ27">
        <v>97.92</v>
      </c>
      <c r="CK27">
        <v>98.93</v>
      </c>
      <c r="CL27">
        <v>95.95</v>
      </c>
      <c r="CM27">
        <v>99.78</v>
      </c>
      <c r="CN27">
        <v>97.28</v>
      </c>
      <c r="CO27">
        <v>100</v>
      </c>
      <c r="CP27">
        <v>97.23</v>
      </c>
      <c r="CQ27">
        <v>99.96</v>
      </c>
      <c r="CR27">
        <v>97.82</v>
      </c>
      <c r="CS27">
        <v>78.02</v>
      </c>
      <c r="CT27">
        <v>98.9</v>
      </c>
      <c r="CU27">
        <v>98.48</v>
      </c>
      <c r="CV27">
        <v>96.94</v>
      </c>
      <c r="CW27">
        <v>98.47</v>
      </c>
      <c r="CX27">
        <v>97.85</v>
      </c>
      <c r="CY27">
        <v>98.48</v>
      </c>
    </row>
    <row r="28" spans="1:103" x14ac:dyDescent="0.3">
      <c r="A28">
        <v>103</v>
      </c>
      <c r="B28" t="s">
        <v>213</v>
      </c>
      <c r="D28">
        <v>100</v>
      </c>
      <c r="E28">
        <v>100</v>
      </c>
      <c r="F28">
        <v>100</v>
      </c>
      <c r="G28">
        <v>100</v>
      </c>
      <c r="H28">
        <v>100</v>
      </c>
      <c r="I28">
        <v>99.64</v>
      </c>
      <c r="J28">
        <v>100</v>
      </c>
      <c r="K28">
        <v>100</v>
      </c>
      <c r="L28">
        <v>100</v>
      </c>
      <c r="M28">
        <v>100</v>
      </c>
      <c r="N28">
        <v>99.65</v>
      </c>
      <c r="O28">
        <v>100</v>
      </c>
      <c r="P28">
        <v>100</v>
      </c>
      <c r="Q28">
        <v>100</v>
      </c>
      <c r="R28">
        <v>100</v>
      </c>
      <c r="S28">
        <v>100</v>
      </c>
      <c r="U28">
        <v>100</v>
      </c>
      <c r="V28">
        <v>99.56</v>
      </c>
      <c r="X28">
        <v>100</v>
      </c>
      <c r="Y28">
        <v>100</v>
      </c>
      <c r="Z28">
        <v>100</v>
      </c>
      <c r="AA28">
        <v>100</v>
      </c>
      <c r="AB28">
        <v>100</v>
      </c>
      <c r="AC28">
        <v>100</v>
      </c>
      <c r="AD28">
        <v>100</v>
      </c>
      <c r="AE28">
        <v>100</v>
      </c>
      <c r="AF28">
        <v>100</v>
      </c>
      <c r="AG28">
        <v>100</v>
      </c>
      <c r="AH28">
        <v>100</v>
      </c>
      <c r="AI28">
        <v>100</v>
      </c>
      <c r="AJ28">
        <v>100</v>
      </c>
      <c r="AK28">
        <v>100</v>
      </c>
      <c r="AL28">
        <v>99.9</v>
      </c>
      <c r="AM28">
        <v>100</v>
      </c>
      <c r="AN28">
        <v>100</v>
      </c>
      <c r="AP28">
        <v>100</v>
      </c>
      <c r="AQ28">
        <v>100</v>
      </c>
      <c r="AR28">
        <v>100</v>
      </c>
      <c r="AS28">
        <v>100</v>
      </c>
      <c r="AT28">
        <v>100</v>
      </c>
      <c r="AU28">
        <v>100</v>
      </c>
      <c r="AV28">
        <v>99.93</v>
      </c>
      <c r="AW28">
        <v>100</v>
      </c>
      <c r="AX28">
        <v>95.63</v>
      </c>
      <c r="AY28">
        <v>100</v>
      </c>
      <c r="AZ28">
        <v>100</v>
      </c>
      <c r="BA28">
        <v>99.9</v>
      </c>
      <c r="BB28">
        <v>100</v>
      </c>
      <c r="BC28">
        <v>100</v>
      </c>
      <c r="BD28">
        <v>100</v>
      </c>
      <c r="BE28">
        <v>99.91</v>
      </c>
      <c r="BF28">
        <v>100</v>
      </c>
      <c r="BG28">
        <v>100</v>
      </c>
      <c r="BH28">
        <v>100</v>
      </c>
      <c r="BI28">
        <v>100</v>
      </c>
      <c r="BJ28">
        <v>99.93</v>
      </c>
      <c r="BK28">
        <v>100</v>
      </c>
      <c r="BL28">
        <v>100</v>
      </c>
      <c r="BM28">
        <v>100</v>
      </c>
      <c r="BN28">
        <v>97.49</v>
      </c>
      <c r="BO28">
        <v>100</v>
      </c>
      <c r="BP28">
        <v>100</v>
      </c>
      <c r="BQ28">
        <v>100</v>
      </c>
      <c r="BR28">
        <v>92.38</v>
      </c>
      <c r="BS28">
        <v>100</v>
      </c>
      <c r="BT28">
        <v>100</v>
      </c>
      <c r="BU28">
        <v>100</v>
      </c>
      <c r="BV28">
        <v>100</v>
      </c>
      <c r="BW28">
        <v>100</v>
      </c>
      <c r="BX28">
        <v>100</v>
      </c>
      <c r="BY28">
        <v>100</v>
      </c>
      <c r="BZ28">
        <v>100</v>
      </c>
      <c r="CA28">
        <v>100</v>
      </c>
      <c r="CB28">
        <v>100</v>
      </c>
      <c r="CC28">
        <v>100</v>
      </c>
      <c r="CD28">
        <v>99.17</v>
      </c>
      <c r="CE28">
        <v>100</v>
      </c>
      <c r="CF28">
        <v>100</v>
      </c>
      <c r="CG28">
        <v>99.39</v>
      </c>
      <c r="CH28">
        <v>99.63</v>
      </c>
      <c r="CI28">
        <v>100</v>
      </c>
      <c r="CJ28">
        <v>100</v>
      </c>
      <c r="CK28">
        <v>100</v>
      </c>
      <c r="CL28">
        <v>100</v>
      </c>
      <c r="CM28">
        <v>100</v>
      </c>
      <c r="CN28">
        <v>99.6</v>
      </c>
      <c r="CO28">
        <v>100</v>
      </c>
      <c r="CP28">
        <v>100</v>
      </c>
      <c r="CQ28">
        <v>99.52</v>
      </c>
      <c r="CR28">
        <v>99.85</v>
      </c>
      <c r="CS28">
        <v>100</v>
      </c>
      <c r="CT28">
        <v>100</v>
      </c>
      <c r="CU28">
        <v>100</v>
      </c>
      <c r="CV28">
        <v>100</v>
      </c>
      <c r="CW28">
        <v>100</v>
      </c>
      <c r="CX28">
        <v>100</v>
      </c>
      <c r="CY28">
        <v>100</v>
      </c>
    </row>
    <row r="29" spans="1:103" x14ac:dyDescent="0.3">
      <c r="A29">
        <v>147</v>
      </c>
      <c r="B29" t="s">
        <v>605</v>
      </c>
      <c r="D29">
        <v>47858144</v>
      </c>
      <c r="E29">
        <v>7317428</v>
      </c>
      <c r="F29">
        <v>2913664</v>
      </c>
      <c r="G29">
        <v>3800000</v>
      </c>
      <c r="H29">
        <v>6291163</v>
      </c>
      <c r="I29">
        <v>5038809</v>
      </c>
      <c r="J29">
        <v>15190740</v>
      </c>
      <c r="K29">
        <v>3715657</v>
      </c>
      <c r="L29">
        <v>7831658</v>
      </c>
      <c r="M29">
        <v>50272806</v>
      </c>
      <c r="N29">
        <v>97164357</v>
      </c>
      <c r="O29">
        <v>16303008</v>
      </c>
      <c r="P29">
        <v>94639090</v>
      </c>
      <c r="Q29">
        <v>14859916</v>
      </c>
      <c r="R29">
        <v>2800000</v>
      </c>
      <c r="S29">
        <v>26412500</v>
      </c>
      <c r="U29">
        <v>0</v>
      </c>
      <c r="V29">
        <v>39036170</v>
      </c>
      <c r="X29">
        <v>3786322</v>
      </c>
      <c r="Y29">
        <v>1894154</v>
      </c>
      <c r="Z29">
        <v>30237867</v>
      </c>
      <c r="AA29">
        <v>8661433</v>
      </c>
      <c r="AB29">
        <v>22065404</v>
      </c>
      <c r="AC29">
        <v>84305166</v>
      </c>
      <c r="AD29">
        <v>13078302</v>
      </c>
      <c r="AE29">
        <v>22873139</v>
      </c>
      <c r="AF29">
        <v>32933678</v>
      </c>
      <c r="AG29">
        <v>12975194</v>
      </c>
      <c r="AH29">
        <v>9464000</v>
      </c>
      <c r="AI29">
        <v>171151627</v>
      </c>
      <c r="AJ29">
        <v>11703959</v>
      </c>
      <c r="AK29">
        <v>157082524</v>
      </c>
      <c r="AL29">
        <v>21910978</v>
      </c>
      <c r="AM29">
        <v>53286273</v>
      </c>
      <c r="AN29">
        <v>4008010</v>
      </c>
      <c r="AP29">
        <v>21457409</v>
      </c>
      <c r="AQ29">
        <v>2585000</v>
      </c>
      <c r="AR29">
        <v>244810398</v>
      </c>
      <c r="AS29">
        <v>5753566</v>
      </c>
      <c r="AT29">
        <v>26121589</v>
      </c>
      <c r="AU29">
        <v>17645701</v>
      </c>
      <c r="AV29">
        <v>38362938</v>
      </c>
      <c r="AW29">
        <v>4353318</v>
      </c>
      <c r="AX29">
        <v>5937500</v>
      </c>
      <c r="AY29">
        <v>1024890</v>
      </c>
      <c r="AZ29">
        <v>62995840</v>
      </c>
      <c r="BA29">
        <v>8612598</v>
      </c>
      <c r="BB29">
        <v>77573000</v>
      </c>
      <c r="BC29">
        <v>2602843</v>
      </c>
      <c r="BD29">
        <v>19610524</v>
      </c>
      <c r="BE29">
        <v>9900000</v>
      </c>
      <c r="BF29">
        <v>23116196</v>
      </c>
      <c r="BG29">
        <v>8953571</v>
      </c>
      <c r="BH29">
        <v>6409237</v>
      </c>
      <c r="BI29">
        <v>6150000</v>
      </c>
      <c r="BJ29">
        <v>9820556</v>
      </c>
      <c r="BK29">
        <v>557956214</v>
      </c>
      <c r="BL29">
        <v>2196322</v>
      </c>
      <c r="BM29">
        <v>5821941</v>
      </c>
      <c r="BN29">
        <v>34500000</v>
      </c>
      <c r="BO29">
        <v>21376860</v>
      </c>
      <c r="BP29">
        <v>91003649</v>
      </c>
      <c r="BQ29">
        <v>3780000</v>
      </c>
      <c r="BR29">
        <v>62866646</v>
      </c>
      <c r="BS29">
        <v>93578782</v>
      </c>
      <c r="BT29">
        <v>4320000</v>
      </c>
      <c r="BU29">
        <v>11364000</v>
      </c>
      <c r="BV29">
        <v>23497509</v>
      </c>
      <c r="BW29">
        <v>3100000</v>
      </c>
      <c r="BX29">
        <v>10860612</v>
      </c>
      <c r="BY29">
        <v>46253894</v>
      </c>
      <c r="BZ29">
        <v>5155590</v>
      </c>
      <c r="CA29">
        <v>28734773</v>
      </c>
      <c r="CB29">
        <v>8293295</v>
      </c>
      <c r="CC29">
        <v>13360800</v>
      </c>
      <c r="CD29">
        <v>15834840</v>
      </c>
      <c r="CE29">
        <v>42358627</v>
      </c>
      <c r="CF29">
        <v>16655820</v>
      </c>
      <c r="CG29">
        <v>13542174</v>
      </c>
      <c r="CH29">
        <v>10005383</v>
      </c>
      <c r="CI29">
        <v>12878600</v>
      </c>
      <c r="CJ29">
        <v>15792404</v>
      </c>
      <c r="CK29">
        <v>13380372</v>
      </c>
      <c r="CL29">
        <v>1311267</v>
      </c>
      <c r="CM29">
        <v>13086152</v>
      </c>
      <c r="CN29">
        <v>596265</v>
      </c>
      <c r="CO29">
        <v>116450157</v>
      </c>
      <c r="CP29">
        <v>8557440</v>
      </c>
      <c r="CQ29">
        <v>593317101</v>
      </c>
      <c r="CR29">
        <v>5333331</v>
      </c>
      <c r="CS29">
        <v>1748298</v>
      </c>
      <c r="CT29">
        <v>14780467</v>
      </c>
      <c r="CU29">
        <v>29808806</v>
      </c>
      <c r="CV29">
        <v>14474484</v>
      </c>
      <c r="CW29">
        <v>23829862</v>
      </c>
      <c r="CX29">
        <v>7472753</v>
      </c>
      <c r="CY29">
        <v>3416618</v>
      </c>
    </row>
    <row r="30" spans="1:103" ht="13.95" customHeight="1" x14ac:dyDescent="0.3">
      <c r="A30">
        <v>148</v>
      </c>
      <c r="B30" t="s">
        <v>606</v>
      </c>
      <c r="D30">
        <v>0</v>
      </c>
      <c r="E30">
        <v>1410706</v>
      </c>
      <c r="F30">
        <v>645146</v>
      </c>
      <c r="G30">
        <v>500000</v>
      </c>
      <c r="H30">
        <v>3737279</v>
      </c>
      <c r="I30">
        <v>650000</v>
      </c>
      <c r="J30">
        <v>2223702</v>
      </c>
      <c r="K30">
        <v>375000</v>
      </c>
      <c r="L30">
        <v>0</v>
      </c>
      <c r="M30">
        <v>13407684</v>
      </c>
      <c r="N30">
        <v>38336403</v>
      </c>
      <c r="O30">
        <v>2957626</v>
      </c>
      <c r="P30">
        <v>42069737</v>
      </c>
      <c r="Q30">
        <v>8045835</v>
      </c>
      <c r="R30">
        <v>0</v>
      </c>
      <c r="S30">
        <v>0</v>
      </c>
      <c r="U30">
        <v>20123180</v>
      </c>
      <c r="V30">
        <v>0</v>
      </c>
      <c r="X30">
        <v>202910</v>
      </c>
      <c r="Y30">
        <v>75000</v>
      </c>
      <c r="Z30">
        <v>1400000</v>
      </c>
      <c r="AA30">
        <v>2923017</v>
      </c>
      <c r="AB30">
        <v>2527776</v>
      </c>
      <c r="AC30">
        <v>10391996</v>
      </c>
      <c r="AD30">
        <v>1400000</v>
      </c>
      <c r="AE30">
        <v>2286044</v>
      </c>
      <c r="AF30">
        <v>9554913</v>
      </c>
      <c r="AG30">
        <v>2980054</v>
      </c>
      <c r="AH30">
        <v>320762</v>
      </c>
      <c r="AI30">
        <v>89773459</v>
      </c>
      <c r="AJ30">
        <v>605503</v>
      </c>
      <c r="AK30">
        <v>45574955</v>
      </c>
      <c r="AL30">
        <v>1500000</v>
      </c>
      <c r="AM30">
        <v>13059831</v>
      </c>
      <c r="AN30">
        <v>0</v>
      </c>
      <c r="AP30">
        <v>2030770</v>
      </c>
      <c r="AQ30">
        <v>1165949</v>
      </c>
      <c r="AR30">
        <v>64395110</v>
      </c>
      <c r="AS30">
        <v>1106606</v>
      </c>
      <c r="AT30">
        <v>22608509</v>
      </c>
      <c r="AU30">
        <v>172657</v>
      </c>
      <c r="AV30">
        <v>7065535</v>
      </c>
      <c r="AW30">
        <v>1269705</v>
      </c>
      <c r="AX30">
        <v>4024166</v>
      </c>
      <c r="AY30">
        <v>484610</v>
      </c>
      <c r="AZ30">
        <v>49546173</v>
      </c>
      <c r="BA30">
        <v>1455700</v>
      </c>
      <c r="BB30">
        <v>17552920</v>
      </c>
      <c r="BC30">
        <v>1749032</v>
      </c>
      <c r="BD30">
        <v>1549015</v>
      </c>
      <c r="BE30">
        <v>338116</v>
      </c>
      <c r="BF30">
        <v>5827875</v>
      </c>
      <c r="BG30">
        <v>4727246</v>
      </c>
      <c r="BH30">
        <v>6409237</v>
      </c>
      <c r="BI30">
        <v>500000</v>
      </c>
      <c r="BJ30">
        <v>2771305</v>
      </c>
      <c r="BK30">
        <v>232754192</v>
      </c>
      <c r="BL30">
        <v>992974</v>
      </c>
      <c r="BM30">
        <v>1289991</v>
      </c>
      <c r="BN30">
        <v>1351402</v>
      </c>
      <c r="BO30">
        <v>1869706</v>
      </c>
      <c r="BP30">
        <v>7047914</v>
      </c>
      <c r="BQ30">
        <v>825963</v>
      </c>
      <c r="BR30">
        <v>4200000</v>
      </c>
      <c r="BS30">
        <v>0</v>
      </c>
      <c r="BT30">
        <v>400000</v>
      </c>
      <c r="BU30">
        <v>2056190</v>
      </c>
      <c r="BV30">
        <v>4049084</v>
      </c>
      <c r="BW30">
        <v>831327</v>
      </c>
      <c r="BX30">
        <v>2158717</v>
      </c>
      <c r="BY30">
        <v>7708541</v>
      </c>
      <c r="BZ30">
        <v>462095</v>
      </c>
      <c r="CA30">
        <v>13745045</v>
      </c>
      <c r="CB30">
        <v>2364534</v>
      </c>
      <c r="CC30">
        <v>14827484</v>
      </c>
      <c r="CD30">
        <v>5970898</v>
      </c>
      <c r="CE30">
        <v>3592906</v>
      </c>
      <c r="CF30">
        <v>2679435</v>
      </c>
      <c r="CG30">
        <v>2585548</v>
      </c>
      <c r="CH30">
        <v>394589</v>
      </c>
      <c r="CI30">
        <v>4070000</v>
      </c>
      <c r="CJ30">
        <v>3665000</v>
      </c>
      <c r="CK30">
        <v>2453539</v>
      </c>
      <c r="CL30">
        <v>180212</v>
      </c>
      <c r="CM30">
        <v>2286395</v>
      </c>
      <c r="CN30">
        <v>100000</v>
      </c>
      <c r="CO30">
        <v>0</v>
      </c>
      <c r="CP30">
        <v>625000</v>
      </c>
      <c r="CQ30">
        <v>217880206</v>
      </c>
      <c r="CR30">
        <v>161138</v>
      </c>
      <c r="CS30">
        <v>400000</v>
      </c>
      <c r="CT30">
        <v>1373358</v>
      </c>
      <c r="CU30">
        <v>1678437</v>
      </c>
      <c r="CV30">
        <v>5404794</v>
      </c>
      <c r="CW30">
        <v>14620563</v>
      </c>
      <c r="CX30">
        <v>1150443</v>
      </c>
      <c r="CY30">
        <v>882792</v>
      </c>
    </row>
    <row r="31" spans="1:103" x14ac:dyDescent="0.3">
      <c r="A31">
        <v>171</v>
      </c>
      <c r="B31" t="s">
        <v>184</v>
      </c>
      <c r="D31">
        <v>22866974</v>
      </c>
      <c r="E31">
        <v>1054362</v>
      </c>
      <c r="F31">
        <v>925082</v>
      </c>
      <c r="G31">
        <v>864603</v>
      </c>
      <c r="H31">
        <v>2024301</v>
      </c>
      <c r="I31">
        <v>1378741</v>
      </c>
      <c r="J31">
        <v>2332343</v>
      </c>
      <c r="K31">
        <v>2459173</v>
      </c>
      <c r="L31">
        <v>1161710</v>
      </c>
      <c r="M31">
        <v>14310924</v>
      </c>
      <c r="N31">
        <v>51857934</v>
      </c>
      <c r="O31">
        <v>7585752</v>
      </c>
      <c r="P31">
        <v>61910763</v>
      </c>
      <c r="Q31">
        <v>2765971</v>
      </c>
      <c r="R31">
        <v>792439</v>
      </c>
      <c r="S31">
        <v>5037059</v>
      </c>
      <c r="U31">
        <v>18879070</v>
      </c>
      <c r="V31">
        <v>25818229</v>
      </c>
      <c r="X31">
        <v>1815738</v>
      </c>
      <c r="Y31">
        <v>1197999</v>
      </c>
      <c r="Z31">
        <v>9769780</v>
      </c>
      <c r="AA31">
        <v>4836203</v>
      </c>
      <c r="AB31">
        <v>5719761</v>
      </c>
      <c r="AC31">
        <v>12135122</v>
      </c>
      <c r="AD31">
        <v>3034845</v>
      </c>
      <c r="AE31">
        <v>36986334</v>
      </c>
      <c r="AF31">
        <v>14569411</v>
      </c>
      <c r="AG31">
        <v>8725766</v>
      </c>
      <c r="AH31">
        <v>4796486</v>
      </c>
      <c r="AI31">
        <v>71265096</v>
      </c>
      <c r="AJ31">
        <v>0</v>
      </c>
      <c r="AK31">
        <v>82517567</v>
      </c>
      <c r="AL31">
        <v>9226575</v>
      </c>
      <c r="AM31">
        <v>30416264</v>
      </c>
      <c r="AN31">
        <v>1710012</v>
      </c>
      <c r="AP31">
        <v>10608082</v>
      </c>
      <c r="AQ31">
        <v>1369291</v>
      </c>
      <c r="AR31">
        <v>101055763</v>
      </c>
      <c r="AS31">
        <v>3271932</v>
      </c>
      <c r="AT31">
        <v>23756271</v>
      </c>
      <c r="AU31">
        <v>4872321</v>
      </c>
      <c r="AV31">
        <v>20216979</v>
      </c>
      <c r="AW31">
        <v>1834210</v>
      </c>
      <c r="AX31">
        <v>5557572</v>
      </c>
      <c r="AY31">
        <v>2907423</v>
      </c>
      <c r="AZ31">
        <v>30481211</v>
      </c>
      <c r="BA31">
        <v>5668005</v>
      </c>
      <c r="BB31">
        <v>41784569</v>
      </c>
      <c r="BC31">
        <v>1075072</v>
      </c>
      <c r="BD31">
        <v>11779460</v>
      </c>
      <c r="BE31">
        <v>6551975</v>
      </c>
      <c r="BF31">
        <v>15691447</v>
      </c>
      <c r="BG31">
        <v>4669269</v>
      </c>
      <c r="BH31">
        <v>1192970</v>
      </c>
      <c r="BI31">
        <v>881993</v>
      </c>
      <c r="BJ31">
        <v>3165142</v>
      </c>
      <c r="BK31">
        <v>203276841</v>
      </c>
      <c r="BL31">
        <v>235481</v>
      </c>
      <c r="BM31">
        <v>4517614</v>
      </c>
      <c r="BN31">
        <v>25440716</v>
      </c>
      <c r="BO31">
        <v>7308880</v>
      </c>
      <c r="BP31">
        <v>60845822</v>
      </c>
      <c r="BQ31">
        <v>1395273</v>
      </c>
      <c r="BR31">
        <v>37916015</v>
      </c>
      <c r="BS31">
        <v>18184797</v>
      </c>
      <c r="BT31">
        <v>824457</v>
      </c>
      <c r="BU31">
        <v>4121108</v>
      </c>
      <c r="BV31">
        <v>11878802</v>
      </c>
      <c r="BW31">
        <v>1190430</v>
      </c>
      <c r="BX31">
        <v>3183264</v>
      </c>
      <c r="BY31">
        <v>18059614</v>
      </c>
      <c r="BZ31">
        <v>1903230</v>
      </c>
      <c r="CA31">
        <v>17241459</v>
      </c>
      <c r="CB31">
        <v>3782022</v>
      </c>
      <c r="CC31">
        <v>5499171</v>
      </c>
      <c r="CD31">
        <v>9009495</v>
      </c>
      <c r="CE31">
        <v>9758031</v>
      </c>
      <c r="CF31">
        <v>5859062</v>
      </c>
      <c r="CG31">
        <v>8812481</v>
      </c>
      <c r="CH31">
        <v>4147015</v>
      </c>
      <c r="CI31">
        <v>3449868</v>
      </c>
      <c r="CJ31">
        <v>5731326</v>
      </c>
      <c r="CK31">
        <v>11832282</v>
      </c>
      <c r="CL31">
        <v>3322379</v>
      </c>
      <c r="CM31">
        <v>595887</v>
      </c>
      <c r="CN31">
        <v>302320</v>
      </c>
      <c r="CO31">
        <v>49602924</v>
      </c>
      <c r="CP31">
        <v>2743518</v>
      </c>
      <c r="CQ31">
        <v>429995843</v>
      </c>
      <c r="CR31">
        <v>1008255</v>
      </c>
      <c r="CS31">
        <v>70468</v>
      </c>
      <c r="CT31">
        <v>8195030</v>
      </c>
      <c r="CU31">
        <v>6697978</v>
      </c>
      <c r="CV31">
        <v>8652467</v>
      </c>
      <c r="CW31">
        <v>3275276</v>
      </c>
      <c r="CX31">
        <v>3672918</v>
      </c>
      <c r="CY31">
        <v>1680260</v>
      </c>
    </row>
    <row r="32" spans="1:103" x14ac:dyDescent="0.3">
      <c r="A32">
        <v>191</v>
      </c>
      <c r="B32" t="s">
        <v>197</v>
      </c>
      <c r="D32">
        <v>0</v>
      </c>
      <c r="E32">
        <v>113906</v>
      </c>
      <c r="F32">
        <v>0</v>
      </c>
      <c r="G32">
        <v>650000</v>
      </c>
      <c r="H32">
        <v>0</v>
      </c>
      <c r="I32">
        <v>0</v>
      </c>
      <c r="J32">
        <v>91776</v>
      </c>
      <c r="K32">
        <v>0</v>
      </c>
      <c r="L32">
        <v>64200</v>
      </c>
      <c r="M32">
        <v>19264109</v>
      </c>
      <c r="N32">
        <v>0</v>
      </c>
      <c r="O32">
        <v>69936</v>
      </c>
      <c r="P32">
        <v>0</v>
      </c>
      <c r="Q32">
        <v>2805</v>
      </c>
      <c r="R32">
        <v>0</v>
      </c>
      <c r="S32">
        <v>0</v>
      </c>
      <c r="U32">
        <v>0</v>
      </c>
      <c r="V32">
        <v>0</v>
      </c>
      <c r="X32">
        <v>29078</v>
      </c>
      <c r="Y32">
        <v>0</v>
      </c>
      <c r="Z32">
        <v>0</v>
      </c>
      <c r="AA32">
        <v>0</v>
      </c>
      <c r="AB32">
        <v>0</v>
      </c>
      <c r="AC32">
        <v>0</v>
      </c>
      <c r="AD32">
        <v>0</v>
      </c>
      <c r="AE32">
        <v>1079845</v>
      </c>
      <c r="AF32">
        <v>5000000</v>
      </c>
      <c r="AG32">
        <v>447517</v>
      </c>
      <c r="AH32">
        <v>0</v>
      </c>
      <c r="AI32">
        <v>869362</v>
      </c>
      <c r="AJ32">
        <v>942572</v>
      </c>
      <c r="AK32">
        <v>0</v>
      </c>
      <c r="AL32">
        <v>0</v>
      </c>
      <c r="AM32">
        <v>0</v>
      </c>
      <c r="AN32">
        <v>0</v>
      </c>
      <c r="AP32">
        <v>0</v>
      </c>
      <c r="AQ32">
        <v>58507</v>
      </c>
      <c r="AR32">
        <v>0</v>
      </c>
      <c r="AS32">
        <v>0</v>
      </c>
      <c r="AT32">
        <v>10654949</v>
      </c>
      <c r="AU32">
        <v>0</v>
      </c>
      <c r="AV32">
        <v>0</v>
      </c>
      <c r="AW32">
        <v>0</v>
      </c>
      <c r="AX32">
        <v>0</v>
      </c>
      <c r="AY32">
        <v>438723</v>
      </c>
      <c r="AZ32">
        <v>0</v>
      </c>
      <c r="BA32">
        <v>0</v>
      </c>
      <c r="BB32">
        <v>11335708</v>
      </c>
      <c r="BC32">
        <v>812190</v>
      </c>
      <c r="BD32">
        <v>0</v>
      </c>
      <c r="BE32">
        <v>0</v>
      </c>
      <c r="BF32">
        <v>2430569</v>
      </c>
      <c r="BG32">
        <v>0</v>
      </c>
      <c r="BH32">
        <v>0</v>
      </c>
      <c r="BI32">
        <v>0</v>
      </c>
      <c r="BJ32">
        <v>122300</v>
      </c>
      <c r="BK32">
        <v>0</v>
      </c>
      <c r="BL32">
        <v>0</v>
      </c>
      <c r="BM32">
        <v>135</v>
      </c>
      <c r="BN32">
        <v>3795552</v>
      </c>
      <c r="BO32">
        <v>231547</v>
      </c>
      <c r="BP32">
        <v>0</v>
      </c>
      <c r="BQ32">
        <v>0</v>
      </c>
      <c r="BR32">
        <v>0</v>
      </c>
      <c r="BS32">
        <v>0</v>
      </c>
      <c r="BT32">
        <v>0</v>
      </c>
      <c r="BU32">
        <v>147940</v>
      </c>
      <c r="BV32">
        <v>0</v>
      </c>
      <c r="BW32">
        <v>0</v>
      </c>
      <c r="BX32">
        <v>0</v>
      </c>
      <c r="BY32">
        <v>0</v>
      </c>
      <c r="BZ32">
        <v>0</v>
      </c>
      <c r="CA32">
        <v>0</v>
      </c>
      <c r="CB32">
        <v>0</v>
      </c>
      <c r="CC32">
        <v>25023</v>
      </c>
      <c r="CD32">
        <v>2077200</v>
      </c>
      <c r="CE32">
        <v>0</v>
      </c>
      <c r="CF32">
        <v>0</v>
      </c>
      <c r="CG32">
        <v>2189961</v>
      </c>
      <c r="CH32">
        <v>0</v>
      </c>
      <c r="CI32">
        <v>2624</v>
      </c>
      <c r="CJ32">
        <v>0</v>
      </c>
      <c r="CK32">
        <v>0</v>
      </c>
      <c r="CL32">
        <v>0</v>
      </c>
      <c r="CM32">
        <v>0</v>
      </c>
      <c r="CN32">
        <v>82250</v>
      </c>
      <c r="CO32">
        <v>12395716</v>
      </c>
      <c r="CP32">
        <v>0</v>
      </c>
      <c r="CQ32">
        <v>0</v>
      </c>
      <c r="CR32">
        <v>819774</v>
      </c>
      <c r="CS32">
        <v>0</v>
      </c>
      <c r="CT32">
        <v>0</v>
      </c>
      <c r="CU32">
        <v>0</v>
      </c>
      <c r="CV32">
        <v>0</v>
      </c>
      <c r="CW32">
        <v>0</v>
      </c>
      <c r="CX32">
        <v>0</v>
      </c>
      <c r="CY32">
        <v>0</v>
      </c>
    </row>
    <row r="33" spans="1:103" x14ac:dyDescent="0.3">
      <c r="A33">
        <v>252</v>
      </c>
      <c r="B33" t="s">
        <v>87</v>
      </c>
      <c r="D33">
        <v>62766393</v>
      </c>
      <c r="E33">
        <v>17683994</v>
      </c>
      <c r="F33">
        <v>16166515</v>
      </c>
      <c r="G33">
        <v>20897137</v>
      </c>
      <c r="H33">
        <v>44886033</v>
      </c>
      <c r="I33">
        <v>37709003</v>
      </c>
      <c r="J33">
        <v>22300717</v>
      </c>
      <c r="K33">
        <v>32625792</v>
      </c>
      <c r="L33">
        <v>35167240</v>
      </c>
      <c r="M33">
        <v>134129701</v>
      </c>
      <c r="N33">
        <v>95075359</v>
      </c>
      <c r="O33">
        <v>33922062</v>
      </c>
      <c r="P33">
        <v>183698605</v>
      </c>
      <c r="Q33">
        <v>28711430</v>
      </c>
      <c r="R33">
        <v>6276242</v>
      </c>
      <c r="S33">
        <v>25713332</v>
      </c>
      <c r="U33">
        <v>134654820</v>
      </c>
      <c r="V33">
        <v>56918805</v>
      </c>
      <c r="X33">
        <v>27844459</v>
      </c>
      <c r="Y33">
        <v>20817688</v>
      </c>
      <c r="Z33">
        <v>101636238</v>
      </c>
      <c r="AA33">
        <v>101019153</v>
      </c>
      <c r="AB33">
        <v>66633600</v>
      </c>
      <c r="AC33">
        <v>165981474</v>
      </c>
      <c r="AD33">
        <v>107902642</v>
      </c>
      <c r="AE33">
        <v>127856322</v>
      </c>
      <c r="AF33">
        <v>67282933</v>
      </c>
      <c r="AG33">
        <v>24345072</v>
      </c>
      <c r="AH33">
        <v>16331346</v>
      </c>
      <c r="AI33">
        <v>114466733</v>
      </c>
      <c r="AJ33">
        <v>16035183</v>
      </c>
      <c r="AK33">
        <v>211657845</v>
      </c>
      <c r="AL33">
        <v>54023919</v>
      </c>
      <c r="AM33">
        <v>104066102</v>
      </c>
      <c r="AN33">
        <v>8275422</v>
      </c>
      <c r="AP33">
        <v>46907740</v>
      </c>
      <c r="AQ33">
        <v>14396796</v>
      </c>
      <c r="AR33">
        <v>188603753</v>
      </c>
      <c r="AS33">
        <v>15998770</v>
      </c>
      <c r="AT33">
        <v>66070060</v>
      </c>
      <c r="AU33">
        <v>56772558</v>
      </c>
      <c r="AV33">
        <v>79584947</v>
      </c>
      <c r="AW33">
        <v>30135073</v>
      </c>
      <c r="AX33">
        <v>31026642</v>
      </c>
      <c r="AY33">
        <v>18439456</v>
      </c>
      <c r="AZ33">
        <v>301884961</v>
      </c>
      <c r="BA33">
        <v>94341793</v>
      </c>
      <c r="BB33">
        <v>64825454</v>
      </c>
      <c r="BC33">
        <v>5282094</v>
      </c>
      <c r="BD33">
        <v>40559736</v>
      </c>
      <c r="BE33">
        <v>15233453</v>
      </c>
      <c r="BF33">
        <v>89677014</v>
      </c>
      <c r="BG33">
        <v>23037582</v>
      </c>
      <c r="BH33">
        <v>7311079</v>
      </c>
      <c r="BI33">
        <v>14090962</v>
      </c>
      <c r="BJ33">
        <v>30363848</v>
      </c>
      <c r="BK33">
        <v>1333753444</v>
      </c>
      <c r="BL33">
        <v>15124294</v>
      </c>
      <c r="BM33">
        <v>30201595</v>
      </c>
      <c r="BN33">
        <v>71165938</v>
      </c>
      <c r="BO33">
        <v>79775014</v>
      </c>
      <c r="BP33">
        <v>164410667</v>
      </c>
      <c r="BQ33">
        <v>19682556</v>
      </c>
      <c r="BR33">
        <v>60317429</v>
      </c>
      <c r="BS33">
        <v>68828030</v>
      </c>
      <c r="BT33">
        <v>4894284</v>
      </c>
      <c r="BU33">
        <v>25299205</v>
      </c>
      <c r="BV33">
        <v>31740904</v>
      </c>
      <c r="BW33">
        <v>4458218</v>
      </c>
      <c r="BX33">
        <v>42111459</v>
      </c>
      <c r="BY33">
        <v>69171502</v>
      </c>
      <c r="BZ33">
        <v>27102675</v>
      </c>
      <c r="CA33">
        <v>76272831</v>
      </c>
      <c r="CB33">
        <v>24795829</v>
      </c>
      <c r="CC33">
        <v>24939490</v>
      </c>
      <c r="CD33">
        <v>24173069</v>
      </c>
      <c r="CE33">
        <v>61780384</v>
      </c>
      <c r="CF33">
        <v>55660151</v>
      </c>
      <c r="CG33">
        <v>41032739</v>
      </c>
      <c r="CH33">
        <v>19628685</v>
      </c>
      <c r="CI33">
        <v>10414613</v>
      </c>
      <c r="CJ33">
        <v>32050094</v>
      </c>
      <c r="CK33">
        <v>15616621</v>
      </c>
      <c r="CL33">
        <v>14476215</v>
      </c>
      <c r="CM33">
        <v>38763951</v>
      </c>
      <c r="CN33">
        <v>3592227</v>
      </c>
      <c r="CO33">
        <v>67197900</v>
      </c>
      <c r="CP33">
        <v>14275417</v>
      </c>
      <c r="CQ33">
        <v>407952915</v>
      </c>
      <c r="CR33">
        <v>16443199</v>
      </c>
      <c r="CS33">
        <v>20343359</v>
      </c>
      <c r="CT33">
        <v>84645098</v>
      </c>
      <c r="CU33">
        <v>51033241</v>
      </c>
      <c r="CV33">
        <v>41161403</v>
      </c>
      <c r="CW33">
        <v>32146983</v>
      </c>
      <c r="CX33">
        <v>48475259</v>
      </c>
      <c r="CY33">
        <v>16739166</v>
      </c>
    </row>
    <row r="34" spans="1:103" x14ac:dyDescent="0.3">
      <c r="A34">
        <v>253</v>
      </c>
      <c r="B34" t="s">
        <v>88</v>
      </c>
      <c r="D34">
        <v>57768446</v>
      </c>
      <c r="E34">
        <v>9387740</v>
      </c>
      <c r="F34">
        <v>1919237</v>
      </c>
      <c r="G34">
        <v>12299160</v>
      </c>
      <c r="H34">
        <v>11131351</v>
      </c>
      <c r="I34">
        <v>7752076</v>
      </c>
      <c r="J34">
        <v>12850794</v>
      </c>
      <c r="K34">
        <v>4712366</v>
      </c>
      <c r="L34">
        <v>23204251</v>
      </c>
      <c r="M34">
        <v>21660621</v>
      </c>
      <c r="N34">
        <v>103258648</v>
      </c>
      <c r="O34">
        <v>66466864</v>
      </c>
      <c r="P34">
        <v>145776324</v>
      </c>
      <c r="Q34">
        <v>10430867</v>
      </c>
      <c r="R34">
        <v>9130465</v>
      </c>
      <c r="S34">
        <v>65864995</v>
      </c>
      <c r="U34">
        <v>77672252</v>
      </c>
      <c r="V34">
        <v>13905281</v>
      </c>
      <c r="X34">
        <v>3546530</v>
      </c>
      <c r="Y34">
        <v>2574319</v>
      </c>
      <c r="Z34">
        <v>38435503</v>
      </c>
      <c r="AA34">
        <v>59720335</v>
      </c>
      <c r="AB34">
        <v>34553842</v>
      </c>
      <c r="AC34">
        <v>113147346</v>
      </c>
      <c r="AD34">
        <v>73594668</v>
      </c>
      <c r="AE34">
        <v>84754238</v>
      </c>
      <c r="AF34">
        <v>34022381</v>
      </c>
      <c r="AG34">
        <v>13154242</v>
      </c>
      <c r="AH34">
        <v>19435461</v>
      </c>
      <c r="AI34">
        <v>132542994</v>
      </c>
      <c r="AJ34">
        <v>13798785</v>
      </c>
      <c r="AK34">
        <v>130993945</v>
      </c>
      <c r="AL34">
        <v>39300965</v>
      </c>
      <c r="AM34">
        <v>78381072</v>
      </c>
      <c r="AN34">
        <v>4080793</v>
      </c>
      <c r="AP34">
        <v>21986910</v>
      </c>
      <c r="AQ34">
        <v>6675572</v>
      </c>
      <c r="AR34">
        <v>122110362</v>
      </c>
      <c r="AS34">
        <v>28392863</v>
      </c>
      <c r="AT34">
        <v>57114767</v>
      </c>
      <c r="AU34">
        <v>26846363</v>
      </c>
      <c r="AV34">
        <v>35839504</v>
      </c>
      <c r="AW34">
        <v>6511712</v>
      </c>
      <c r="AX34">
        <v>19941286</v>
      </c>
      <c r="AY34">
        <v>7752941</v>
      </c>
      <c r="AZ34">
        <v>93862071</v>
      </c>
      <c r="BA34">
        <v>11052214</v>
      </c>
      <c r="BB34">
        <v>45708902</v>
      </c>
      <c r="BC34">
        <v>4625129</v>
      </c>
      <c r="BD34">
        <v>20539604</v>
      </c>
      <c r="BE34">
        <v>11339018</v>
      </c>
      <c r="BF34">
        <v>49903706</v>
      </c>
      <c r="BG34">
        <v>8944299</v>
      </c>
      <c r="BH34">
        <v>11010778</v>
      </c>
      <c r="BI34">
        <v>24795922</v>
      </c>
      <c r="BJ34">
        <v>11094217</v>
      </c>
      <c r="BK34">
        <v>225176053</v>
      </c>
      <c r="BL34">
        <v>2699286</v>
      </c>
      <c r="BM34">
        <v>25511139</v>
      </c>
      <c r="BN34">
        <v>26063132</v>
      </c>
      <c r="BO34">
        <v>33285531</v>
      </c>
      <c r="BP34">
        <v>456375838</v>
      </c>
      <c r="BQ34">
        <v>3049907</v>
      </c>
      <c r="BR34">
        <v>92177320</v>
      </c>
      <c r="BS34">
        <v>33552856</v>
      </c>
      <c r="BT34">
        <v>2553195</v>
      </c>
      <c r="BU34">
        <v>8098370</v>
      </c>
      <c r="BV34">
        <v>14337740</v>
      </c>
      <c r="BW34">
        <v>1860580</v>
      </c>
      <c r="BX34">
        <v>24888237</v>
      </c>
      <c r="BY34">
        <v>19245144</v>
      </c>
      <c r="BZ34">
        <v>5089008</v>
      </c>
      <c r="CA34">
        <v>37054491</v>
      </c>
      <c r="CB34">
        <v>15952331</v>
      </c>
      <c r="CC34">
        <v>9547072</v>
      </c>
      <c r="CD34">
        <v>22409347</v>
      </c>
      <c r="CE34">
        <v>30988382</v>
      </c>
      <c r="CF34">
        <v>33030720</v>
      </c>
      <c r="CG34">
        <v>17315309</v>
      </c>
      <c r="CH34">
        <v>9456937</v>
      </c>
      <c r="CI34">
        <v>15797778</v>
      </c>
      <c r="CJ34">
        <v>10825386</v>
      </c>
      <c r="CK34">
        <v>20774253</v>
      </c>
      <c r="CL34">
        <v>55790417</v>
      </c>
      <c r="CM34">
        <v>12353981</v>
      </c>
      <c r="CN34">
        <v>1225334</v>
      </c>
      <c r="CO34">
        <v>227642813</v>
      </c>
      <c r="CP34">
        <v>15557256</v>
      </c>
      <c r="CQ34">
        <v>626780701</v>
      </c>
      <c r="CR34">
        <v>9002213</v>
      </c>
      <c r="CS34">
        <v>6432419</v>
      </c>
      <c r="CT34">
        <v>61736541</v>
      </c>
      <c r="CU34">
        <v>149007153</v>
      </c>
      <c r="CV34">
        <v>9000367</v>
      </c>
      <c r="CW34">
        <v>26537104</v>
      </c>
      <c r="CX34">
        <v>5313250</v>
      </c>
      <c r="CY34">
        <v>3619054</v>
      </c>
    </row>
    <row r="35" spans="1:103" x14ac:dyDescent="0.3">
      <c r="A35">
        <v>254</v>
      </c>
      <c r="B35" t="s">
        <v>89</v>
      </c>
      <c r="D35">
        <v>-160661696</v>
      </c>
      <c r="E35">
        <v>153345</v>
      </c>
      <c r="F35">
        <v>408270</v>
      </c>
      <c r="G35">
        <v>13748420</v>
      </c>
      <c r="H35">
        <v>5797774</v>
      </c>
      <c r="I35">
        <v>28887090</v>
      </c>
      <c r="J35">
        <v>30379619</v>
      </c>
      <c r="K35">
        <v>-35701224</v>
      </c>
      <c r="L35">
        <v>5633091</v>
      </c>
      <c r="M35">
        <v>-38626331</v>
      </c>
      <c r="N35">
        <v>-236220812</v>
      </c>
      <c r="O35">
        <v>-17456683</v>
      </c>
      <c r="P35">
        <v>-212647422</v>
      </c>
      <c r="Q35">
        <v>4522677</v>
      </c>
      <c r="R35">
        <v>16961858</v>
      </c>
      <c r="S35">
        <v>43839521</v>
      </c>
      <c r="U35">
        <v>2544137</v>
      </c>
      <c r="V35">
        <v>12491129</v>
      </c>
      <c r="X35">
        <v>3552427</v>
      </c>
      <c r="Y35">
        <v>1946350</v>
      </c>
      <c r="Z35">
        <v>23082357</v>
      </c>
      <c r="AA35">
        <v>-93240458</v>
      </c>
      <c r="AB35">
        <v>34366940</v>
      </c>
      <c r="AC35">
        <v>3302669</v>
      </c>
      <c r="AD35">
        <v>25132464</v>
      </c>
      <c r="AE35">
        <v>-68464774</v>
      </c>
      <c r="AF35">
        <v>125402685</v>
      </c>
      <c r="AG35">
        <v>-34761483</v>
      </c>
      <c r="AH35">
        <v>1479066</v>
      </c>
      <c r="AI35">
        <v>-198524346</v>
      </c>
      <c r="AJ35">
        <v>11920558</v>
      </c>
      <c r="AK35">
        <v>-314748347</v>
      </c>
      <c r="AL35">
        <v>-47846390</v>
      </c>
      <c r="AM35">
        <v>-51721564</v>
      </c>
      <c r="AN35">
        <v>-5494813</v>
      </c>
      <c r="AP35">
        <v>-35134106</v>
      </c>
      <c r="AQ35">
        <v>-2838041</v>
      </c>
      <c r="AR35">
        <v>-534907606</v>
      </c>
      <c r="AS35">
        <v>3760981</v>
      </c>
      <c r="AT35">
        <v>-70530252</v>
      </c>
      <c r="AU35">
        <v>-2307693</v>
      </c>
      <c r="AV35">
        <v>-78408348</v>
      </c>
      <c r="AW35">
        <v>-3990525</v>
      </c>
      <c r="AX35">
        <v>25797339</v>
      </c>
      <c r="AY35">
        <v>510874</v>
      </c>
      <c r="AZ35">
        <v>76870286</v>
      </c>
      <c r="BA35">
        <v>-16855822</v>
      </c>
      <c r="BB35">
        <v>-225990154</v>
      </c>
      <c r="BC35">
        <v>42594618</v>
      </c>
      <c r="BD35">
        <v>-63468269</v>
      </c>
      <c r="BE35">
        <v>7569099</v>
      </c>
      <c r="BF35">
        <v>-25044584</v>
      </c>
      <c r="BG35">
        <v>-27371999</v>
      </c>
      <c r="BH35">
        <v>11236216</v>
      </c>
      <c r="BI35">
        <v>-166772</v>
      </c>
      <c r="BJ35">
        <v>6524457</v>
      </c>
      <c r="BK35">
        <v>-1166931914</v>
      </c>
      <c r="BL35">
        <v>403138</v>
      </c>
      <c r="BM35">
        <v>32705709</v>
      </c>
      <c r="BN35">
        <v>-114652108</v>
      </c>
      <c r="BO35">
        <v>-62971453</v>
      </c>
      <c r="BP35">
        <v>-580493302</v>
      </c>
      <c r="BQ35">
        <v>2007366</v>
      </c>
      <c r="BR35">
        <v>-55632597</v>
      </c>
      <c r="BS35">
        <v>-247859007</v>
      </c>
      <c r="BT35">
        <v>9267348</v>
      </c>
      <c r="BU35">
        <v>14133920</v>
      </c>
      <c r="BV35">
        <v>-14294506</v>
      </c>
      <c r="BW35">
        <v>9049755</v>
      </c>
      <c r="BX35">
        <v>24821575</v>
      </c>
      <c r="BY35">
        <v>37732208</v>
      </c>
      <c r="BZ35">
        <v>10597263</v>
      </c>
      <c r="CA35">
        <v>-23720560</v>
      </c>
      <c r="CB35">
        <v>-6279330</v>
      </c>
      <c r="CC35">
        <v>-10108898</v>
      </c>
      <c r="CD35">
        <v>-32392466</v>
      </c>
      <c r="CE35">
        <v>72610887</v>
      </c>
      <c r="CF35">
        <v>12843764</v>
      </c>
      <c r="CG35">
        <v>24986086</v>
      </c>
      <c r="CH35">
        <v>-53233238</v>
      </c>
      <c r="CI35">
        <v>39017978</v>
      </c>
      <c r="CJ35">
        <v>7339990</v>
      </c>
      <c r="CK35">
        <v>23691963</v>
      </c>
      <c r="CL35">
        <v>-303077</v>
      </c>
      <c r="CM35">
        <v>57535785</v>
      </c>
      <c r="CN35">
        <v>-2569342</v>
      </c>
      <c r="CO35">
        <v>-291579857</v>
      </c>
      <c r="CP35">
        <v>-2463647</v>
      </c>
      <c r="CQ35">
        <v>-2382839267</v>
      </c>
      <c r="CR35">
        <v>17915918</v>
      </c>
      <c r="CS35">
        <v>-1546998</v>
      </c>
      <c r="CT35">
        <v>83089330</v>
      </c>
      <c r="CU35">
        <v>-6678551</v>
      </c>
      <c r="CV35">
        <v>-7229484</v>
      </c>
      <c r="CW35">
        <v>-41773598</v>
      </c>
      <c r="CX35">
        <v>10575409</v>
      </c>
      <c r="CY35">
        <v>-8281640</v>
      </c>
    </row>
    <row r="36" spans="1:103" x14ac:dyDescent="0.3">
      <c r="A36">
        <v>255</v>
      </c>
      <c r="B36" t="s">
        <v>165</v>
      </c>
      <c r="D36">
        <v>-12798762</v>
      </c>
      <c r="E36">
        <v>5522011</v>
      </c>
      <c r="F36">
        <v>4507121</v>
      </c>
      <c r="G36">
        <v>5801086</v>
      </c>
      <c r="H36">
        <v>12190509</v>
      </c>
      <c r="I36">
        <v>7750770</v>
      </c>
      <c r="J36">
        <v>8001640</v>
      </c>
      <c r="K36">
        <v>1521983</v>
      </c>
      <c r="L36">
        <v>33040655</v>
      </c>
      <c r="M36">
        <v>24536643</v>
      </c>
      <c r="N36">
        <v>40694157</v>
      </c>
      <c r="O36">
        <v>24686039</v>
      </c>
      <c r="P36">
        <v>68912510</v>
      </c>
      <c r="Q36">
        <v>10814909</v>
      </c>
      <c r="R36">
        <v>8740893</v>
      </c>
      <c r="S36">
        <v>32881952</v>
      </c>
      <c r="U36">
        <v>25838879</v>
      </c>
      <c r="V36">
        <v>38600383</v>
      </c>
      <c r="X36">
        <v>3719026</v>
      </c>
      <c r="Y36">
        <v>4147994</v>
      </c>
      <c r="Z36">
        <v>30005988</v>
      </c>
      <c r="AA36">
        <v>31321806</v>
      </c>
      <c r="AB36">
        <v>22501609</v>
      </c>
      <c r="AC36">
        <v>91342559</v>
      </c>
      <c r="AD36">
        <v>11564114</v>
      </c>
      <c r="AE36">
        <v>41708036</v>
      </c>
      <c r="AF36">
        <v>81289152</v>
      </c>
      <c r="AG36">
        <v>13046921</v>
      </c>
      <c r="AH36">
        <v>10658634</v>
      </c>
      <c r="AI36">
        <v>-15056130</v>
      </c>
      <c r="AJ36">
        <v>7633149</v>
      </c>
      <c r="AK36">
        <v>61822737</v>
      </c>
      <c r="AL36">
        <v>38812037</v>
      </c>
      <c r="AM36">
        <v>54741360</v>
      </c>
      <c r="AN36">
        <v>2113851</v>
      </c>
      <c r="AP36">
        <v>10840893</v>
      </c>
      <c r="AQ36">
        <v>1511911</v>
      </c>
      <c r="AR36">
        <v>118151286</v>
      </c>
      <c r="AS36">
        <v>10859607</v>
      </c>
      <c r="AT36">
        <v>46079890</v>
      </c>
      <c r="AU36">
        <v>13906644</v>
      </c>
      <c r="AV36">
        <v>19542652</v>
      </c>
      <c r="AW36">
        <v>1668625</v>
      </c>
      <c r="AX36">
        <v>29885474</v>
      </c>
      <c r="AY36">
        <v>-77252</v>
      </c>
      <c r="AZ36">
        <v>67845722</v>
      </c>
      <c r="BA36">
        <v>23887467</v>
      </c>
      <c r="BB36">
        <v>51741862</v>
      </c>
      <c r="BC36">
        <v>4737681</v>
      </c>
      <c r="BD36">
        <v>24070760</v>
      </c>
      <c r="BE36">
        <v>16536145</v>
      </c>
      <c r="BF36">
        <v>49011572</v>
      </c>
      <c r="BG36">
        <v>18708988</v>
      </c>
      <c r="BH36">
        <v>6190093</v>
      </c>
      <c r="BI36">
        <v>8199969</v>
      </c>
      <c r="BJ36">
        <v>4161502</v>
      </c>
      <c r="BK36">
        <v>119007070</v>
      </c>
      <c r="BL36">
        <v>5249188</v>
      </c>
      <c r="BM36">
        <v>11582991</v>
      </c>
      <c r="BN36">
        <v>21437673</v>
      </c>
      <c r="BO36">
        <v>19592008</v>
      </c>
      <c r="BP36">
        <v>62162580</v>
      </c>
      <c r="BQ36">
        <v>10433273</v>
      </c>
      <c r="BR36">
        <v>61659298</v>
      </c>
      <c r="BS36">
        <v>15451640</v>
      </c>
      <c r="BT36">
        <v>2589045</v>
      </c>
      <c r="BU36">
        <v>18237853</v>
      </c>
      <c r="BV36">
        <v>22569505</v>
      </c>
      <c r="BW36">
        <v>-2320602</v>
      </c>
      <c r="BX36">
        <v>14643982</v>
      </c>
      <c r="BY36">
        <v>38724371</v>
      </c>
      <c r="BZ36">
        <v>-2173649</v>
      </c>
      <c r="CA36">
        <v>27330452</v>
      </c>
      <c r="CB36">
        <v>5794859</v>
      </c>
      <c r="CC36">
        <v>3851559</v>
      </c>
      <c r="CD36">
        <v>-5230821</v>
      </c>
      <c r="CE36">
        <v>42242404</v>
      </c>
      <c r="CF36">
        <v>16153408</v>
      </c>
      <c r="CG36">
        <v>15726296</v>
      </c>
      <c r="CH36">
        <v>4367794</v>
      </c>
      <c r="CI36">
        <v>9654321</v>
      </c>
      <c r="CJ36">
        <v>8770237</v>
      </c>
      <c r="CK36">
        <v>2520041</v>
      </c>
      <c r="CL36">
        <v>3055234</v>
      </c>
      <c r="CM36">
        <v>16066542</v>
      </c>
      <c r="CN36">
        <v>565716</v>
      </c>
      <c r="CO36">
        <v>56409144</v>
      </c>
      <c r="CP36">
        <v>7769642</v>
      </c>
      <c r="CQ36">
        <v>-4818758</v>
      </c>
      <c r="CR36">
        <v>7473262</v>
      </c>
      <c r="CS36">
        <v>6628148</v>
      </c>
      <c r="CT36">
        <v>25089071</v>
      </c>
      <c r="CU36">
        <v>46977141</v>
      </c>
      <c r="CV36">
        <v>18475229</v>
      </c>
      <c r="CW36">
        <v>-494742</v>
      </c>
      <c r="CX36">
        <v>5032426</v>
      </c>
      <c r="CY36">
        <v>1100250</v>
      </c>
    </row>
    <row r="37" spans="1:103" x14ac:dyDescent="0.3">
      <c r="A37">
        <v>327</v>
      </c>
      <c r="B37" t="s">
        <v>607</v>
      </c>
      <c r="D37">
        <v>0</v>
      </c>
      <c r="E37">
        <v>0</v>
      </c>
      <c r="F37">
        <v>0</v>
      </c>
      <c r="G37">
        <v>145590</v>
      </c>
      <c r="H37">
        <v>0</v>
      </c>
      <c r="I37">
        <v>0</v>
      </c>
      <c r="J37">
        <v>105789</v>
      </c>
      <c r="K37">
        <v>129994</v>
      </c>
      <c r="L37">
        <v>454855</v>
      </c>
      <c r="M37">
        <v>2927412</v>
      </c>
      <c r="N37">
        <v>0</v>
      </c>
      <c r="O37">
        <v>656166</v>
      </c>
      <c r="P37">
        <v>0</v>
      </c>
      <c r="Q37">
        <v>60181</v>
      </c>
      <c r="R37">
        <v>1050394</v>
      </c>
      <c r="S37">
        <v>222608</v>
      </c>
      <c r="U37">
        <v>0</v>
      </c>
      <c r="V37">
        <v>484753</v>
      </c>
      <c r="X37">
        <v>448424</v>
      </c>
      <c r="Y37">
        <v>120280</v>
      </c>
      <c r="Z37">
        <v>0</v>
      </c>
      <c r="AA37">
        <v>125300</v>
      </c>
      <c r="AB37">
        <v>947354</v>
      </c>
      <c r="AC37">
        <v>28963</v>
      </c>
      <c r="AD37">
        <v>1907991</v>
      </c>
      <c r="AE37">
        <v>4573941</v>
      </c>
      <c r="AF37">
        <v>5000000</v>
      </c>
      <c r="AG37">
        <v>338521</v>
      </c>
      <c r="AH37">
        <v>403998</v>
      </c>
      <c r="AI37">
        <v>5541715</v>
      </c>
      <c r="AJ37">
        <v>51992</v>
      </c>
      <c r="AK37">
        <v>0</v>
      </c>
      <c r="AL37">
        <v>369456</v>
      </c>
      <c r="AM37">
        <v>0</v>
      </c>
      <c r="AN37">
        <v>432336</v>
      </c>
      <c r="AP37">
        <v>0</v>
      </c>
      <c r="AQ37">
        <v>231692</v>
      </c>
      <c r="AR37">
        <v>0</v>
      </c>
      <c r="AS37">
        <v>124477</v>
      </c>
      <c r="AT37">
        <v>1206943</v>
      </c>
      <c r="AU37">
        <v>0</v>
      </c>
      <c r="AV37">
        <v>6664</v>
      </c>
      <c r="AW37">
        <v>21271</v>
      </c>
      <c r="AX37">
        <v>522804</v>
      </c>
      <c r="AY37">
        <v>57839</v>
      </c>
      <c r="AZ37">
        <v>0</v>
      </c>
      <c r="BA37">
        <v>0</v>
      </c>
      <c r="BB37">
        <v>2387042</v>
      </c>
      <c r="BC37">
        <v>54808</v>
      </c>
      <c r="BD37">
        <v>0</v>
      </c>
      <c r="BE37">
        <v>0</v>
      </c>
      <c r="BF37">
        <v>838427</v>
      </c>
      <c r="BG37">
        <v>0</v>
      </c>
      <c r="BH37">
        <v>0</v>
      </c>
      <c r="BI37">
        <v>46800</v>
      </c>
      <c r="BJ37">
        <v>0</v>
      </c>
      <c r="BK37">
        <v>0</v>
      </c>
      <c r="BL37">
        <v>0</v>
      </c>
      <c r="BM37">
        <v>156681</v>
      </c>
      <c r="BN37">
        <v>863661</v>
      </c>
      <c r="BO37">
        <v>0</v>
      </c>
      <c r="BP37">
        <v>0</v>
      </c>
      <c r="BQ37">
        <v>0</v>
      </c>
      <c r="BR37">
        <v>0</v>
      </c>
      <c r="BS37">
        <v>0</v>
      </c>
      <c r="BT37">
        <v>70286</v>
      </c>
      <c r="BU37">
        <v>797074</v>
      </c>
      <c r="BV37">
        <v>380793</v>
      </c>
      <c r="BW37">
        <v>187056</v>
      </c>
      <c r="BX37">
        <v>0</v>
      </c>
      <c r="BY37">
        <v>0</v>
      </c>
      <c r="BZ37">
        <v>1917545</v>
      </c>
      <c r="CA37">
        <v>0</v>
      </c>
      <c r="CB37">
        <v>290699</v>
      </c>
      <c r="CC37">
        <v>1542006</v>
      </c>
      <c r="CD37">
        <v>80828</v>
      </c>
      <c r="CE37">
        <v>0</v>
      </c>
      <c r="CF37">
        <v>0</v>
      </c>
      <c r="CG37">
        <v>225319</v>
      </c>
      <c r="CH37">
        <v>0</v>
      </c>
      <c r="CI37">
        <v>223784</v>
      </c>
      <c r="CJ37">
        <v>57701</v>
      </c>
      <c r="CK37">
        <v>80675</v>
      </c>
      <c r="CL37">
        <v>0</v>
      </c>
      <c r="CM37">
        <v>0</v>
      </c>
      <c r="CN37">
        <v>68261</v>
      </c>
      <c r="CO37">
        <v>8561577</v>
      </c>
      <c r="CP37">
        <v>16480</v>
      </c>
      <c r="CQ37">
        <v>0</v>
      </c>
      <c r="CR37">
        <v>118990</v>
      </c>
      <c r="CS37">
        <v>35864</v>
      </c>
      <c r="CT37">
        <v>0</v>
      </c>
      <c r="CU37">
        <v>23628</v>
      </c>
      <c r="CV37">
        <v>0</v>
      </c>
      <c r="CW37">
        <v>127058</v>
      </c>
      <c r="CX37">
        <v>0</v>
      </c>
      <c r="CY37">
        <v>0</v>
      </c>
    </row>
    <row r="38" spans="1:103" x14ac:dyDescent="0.3">
      <c r="A38">
        <v>328</v>
      </c>
      <c r="B38" t="s">
        <v>259</v>
      </c>
      <c r="D38">
        <v>0</v>
      </c>
      <c r="E38">
        <v>185886</v>
      </c>
      <c r="F38">
        <v>0</v>
      </c>
      <c r="G38">
        <v>0</v>
      </c>
      <c r="H38">
        <v>0</v>
      </c>
      <c r="I38">
        <v>0</v>
      </c>
      <c r="J38">
        <v>8276837</v>
      </c>
      <c r="K38">
        <v>0</v>
      </c>
      <c r="L38">
        <v>101000</v>
      </c>
      <c r="M38">
        <v>140555926</v>
      </c>
      <c r="N38">
        <v>0</v>
      </c>
      <c r="O38">
        <v>1223</v>
      </c>
      <c r="P38">
        <v>0</v>
      </c>
      <c r="Q38">
        <v>517692</v>
      </c>
      <c r="R38">
        <v>37503</v>
      </c>
      <c r="S38">
        <v>0</v>
      </c>
      <c r="U38">
        <v>0</v>
      </c>
      <c r="V38">
        <v>10967745</v>
      </c>
      <c r="X38">
        <v>0</v>
      </c>
      <c r="Y38">
        <v>0</v>
      </c>
      <c r="Z38">
        <v>0</v>
      </c>
      <c r="AA38">
        <v>9990961</v>
      </c>
      <c r="AB38">
        <v>6959358</v>
      </c>
      <c r="AC38">
        <v>162392</v>
      </c>
      <c r="AD38">
        <v>2918712</v>
      </c>
      <c r="AE38">
        <v>6645835</v>
      </c>
      <c r="AF38">
        <v>0</v>
      </c>
      <c r="AG38">
        <v>10639026</v>
      </c>
      <c r="AH38">
        <v>0</v>
      </c>
      <c r="AI38">
        <v>13125262</v>
      </c>
      <c r="AJ38">
        <v>3561300</v>
      </c>
      <c r="AK38">
        <v>0</v>
      </c>
      <c r="AL38">
        <v>15043553</v>
      </c>
      <c r="AM38">
        <v>0</v>
      </c>
      <c r="AN38">
        <v>0</v>
      </c>
      <c r="AP38">
        <v>0</v>
      </c>
      <c r="AQ38">
        <v>1276198</v>
      </c>
      <c r="AR38">
        <v>0</v>
      </c>
      <c r="AS38">
        <v>0</v>
      </c>
      <c r="AT38">
        <v>40145034</v>
      </c>
      <c r="AU38">
        <v>0</v>
      </c>
      <c r="AV38">
        <v>0</v>
      </c>
      <c r="AW38">
        <v>0</v>
      </c>
      <c r="AX38">
        <v>4002269</v>
      </c>
      <c r="AY38">
        <v>593352</v>
      </c>
      <c r="AZ38">
        <v>0</v>
      </c>
      <c r="BA38">
        <v>0</v>
      </c>
      <c r="BB38">
        <v>135798929</v>
      </c>
      <c r="BC38">
        <v>0</v>
      </c>
      <c r="BD38">
        <v>0</v>
      </c>
      <c r="BE38">
        <v>0</v>
      </c>
      <c r="BF38">
        <v>54606913</v>
      </c>
      <c r="BG38">
        <v>0</v>
      </c>
      <c r="BH38">
        <v>0</v>
      </c>
      <c r="BI38">
        <v>41527</v>
      </c>
      <c r="BJ38">
        <v>14655</v>
      </c>
      <c r="BK38">
        <v>0</v>
      </c>
      <c r="BL38">
        <v>0</v>
      </c>
      <c r="BM38">
        <v>1730562</v>
      </c>
      <c r="BN38">
        <v>1134224</v>
      </c>
      <c r="BO38">
        <v>9689008</v>
      </c>
      <c r="BP38">
        <v>0</v>
      </c>
      <c r="BQ38">
        <v>224198</v>
      </c>
      <c r="BR38">
        <v>0</v>
      </c>
      <c r="BS38">
        <v>0</v>
      </c>
      <c r="BT38">
        <v>921122</v>
      </c>
      <c r="BU38">
        <v>3363839</v>
      </c>
      <c r="BV38">
        <v>8281440</v>
      </c>
      <c r="BW38">
        <v>0</v>
      </c>
      <c r="BX38">
        <v>0</v>
      </c>
      <c r="BY38">
        <v>0</v>
      </c>
      <c r="BZ38">
        <v>555232</v>
      </c>
      <c r="CA38">
        <v>0</v>
      </c>
      <c r="CB38">
        <v>429806</v>
      </c>
      <c r="CC38">
        <v>0</v>
      </c>
      <c r="CD38">
        <v>1082479</v>
      </c>
      <c r="CE38">
        <v>0</v>
      </c>
      <c r="CF38">
        <v>0</v>
      </c>
      <c r="CG38">
        <v>11574314</v>
      </c>
      <c r="CH38">
        <v>83407</v>
      </c>
      <c r="CI38">
        <v>3755788</v>
      </c>
      <c r="CJ38">
        <v>0</v>
      </c>
      <c r="CK38">
        <v>0</v>
      </c>
      <c r="CL38">
        <v>0</v>
      </c>
      <c r="CM38">
        <v>0</v>
      </c>
      <c r="CN38">
        <v>82250</v>
      </c>
      <c r="CO38">
        <v>375100274</v>
      </c>
      <c r="CP38">
        <v>96050</v>
      </c>
      <c r="CQ38">
        <v>0</v>
      </c>
      <c r="CR38">
        <v>1129601</v>
      </c>
      <c r="CS38">
        <v>0</v>
      </c>
      <c r="CT38">
        <v>0</v>
      </c>
      <c r="CU38">
        <v>0</v>
      </c>
      <c r="CV38">
        <v>0</v>
      </c>
      <c r="CW38">
        <v>823487</v>
      </c>
      <c r="CX38">
        <v>0</v>
      </c>
      <c r="CY38">
        <v>8507403</v>
      </c>
    </row>
    <row r="39" spans="1:103" x14ac:dyDescent="0.3">
      <c r="A39">
        <v>331</v>
      </c>
      <c r="B39" t="s">
        <v>201</v>
      </c>
      <c r="D39">
        <v>0</v>
      </c>
      <c r="E39">
        <v>885075</v>
      </c>
      <c r="F39">
        <v>0</v>
      </c>
      <c r="G39">
        <v>89411</v>
      </c>
      <c r="H39">
        <v>0</v>
      </c>
      <c r="I39">
        <v>0</v>
      </c>
      <c r="J39">
        <v>2367293</v>
      </c>
      <c r="K39">
        <v>646526</v>
      </c>
      <c r="L39">
        <v>684847</v>
      </c>
      <c r="M39">
        <v>14103508</v>
      </c>
      <c r="N39">
        <v>0</v>
      </c>
      <c r="O39">
        <v>68771</v>
      </c>
      <c r="P39">
        <v>0</v>
      </c>
      <c r="Q39">
        <v>0</v>
      </c>
      <c r="R39">
        <v>207517</v>
      </c>
      <c r="S39">
        <v>191032</v>
      </c>
      <c r="U39">
        <v>0</v>
      </c>
      <c r="V39">
        <v>1147421</v>
      </c>
      <c r="X39">
        <v>0</v>
      </c>
      <c r="Y39">
        <v>102562</v>
      </c>
      <c r="Z39">
        <v>0</v>
      </c>
      <c r="AA39">
        <v>539302</v>
      </c>
      <c r="AB39">
        <v>889064</v>
      </c>
      <c r="AC39">
        <v>55996</v>
      </c>
      <c r="AD39">
        <v>1780000</v>
      </c>
      <c r="AE39">
        <v>1460000</v>
      </c>
      <c r="AF39">
        <v>665000</v>
      </c>
      <c r="AG39">
        <v>820105</v>
      </c>
      <c r="AH39">
        <v>671908</v>
      </c>
      <c r="AI39">
        <v>1491145</v>
      </c>
      <c r="AJ39">
        <v>575106</v>
      </c>
      <c r="AK39">
        <v>0</v>
      </c>
      <c r="AL39">
        <v>1262917</v>
      </c>
      <c r="AM39">
        <v>0</v>
      </c>
      <c r="AN39">
        <v>0</v>
      </c>
      <c r="AP39">
        <v>0</v>
      </c>
      <c r="AQ39">
        <v>666986</v>
      </c>
      <c r="AR39">
        <v>0</v>
      </c>
      <c r="AS39">
        <v>1282461</v>
      </c>
      <c r="AT39">
        <v>3049000</v>
      </c>
      <c r="AU39">
        <v>0</v>
      </c>
      <c r="AV39">
        <v>0</v>
      </c>
      <c r="AW39">
        <v>423777</v>
      </c>
      <c r="AX39">
        <v>1040174</v>
      </c>
      <c r="AY39">
        <v>156541</v>
      </c>
      <c r="AZ39">
        <v>0</v>
      </c>
      <c r="BA39">
        <v>0</v>
      </c>
      <c r="BB39">
        <v>8252236</v>
      </c>
      <c r="BC39">
        <v>321808</v>
      </c>
      <c r="BD39">
        <v>0</v>
      </c>
      <c r="BE39">
        <v>0</v>
      </c>
      <c r="BF39">
        <v>2611702</v>
      </c>
      <c r="BG39">
        <v>0</v>
      </c>
      <c r="BH39">
        <v>0</v>
      </c>
      <c r="BI39">
        <v>390000</v>
      </c>
      <c r="BJ39">
        <v>0</v>
      </c>
      <c r="BK39">
        <v>0</v>
      </c>
      <c r="BL39">
        <v>0</v>
      </c>
      <c r="BM39">
        <v>833090</v>
      </c>
      <c r="BN39">
        <v>1797854</v>
      </c>
      <c r="BO39">
        <v>0</v>
      </c>
      <c r="BP39">
        <v>0</v>
      </c>
      <c r="BQ39">
        <v>617050</v>
      </c>
      <c r="BR39">
        <v>0</v>
      </c>
      <c r="BS39">
        <v>0</v>
      </c>
      <c r="BT39">
        <v>327440</v>
      </c>
      <c r="BU39">
        <v>935127</v>
      </c>
      <c r="BV39">
        <v>2291905</v>
      </c>
      <c r="BW39">
        <v>164166</v>
      </c>
      <c r="BX39">
        <v>0</v>
      </c>
      <c r="BY39">
        <v>0</v>
      </c>
      <c r="BZ39">
        <v>0</v>
      </c>
      <c r="CA39">
        <v>0</v>
      </c>
      <c r="CB39">
        <v>578348</v>
      </c>
      <c r="CC39">
        <v>1303662</v>
      </c>
      <c r="CD39">
        <v>1119989</v>
      </c>
      <c r="CE39">
        <v>0</v>
      </c>
      <c r="CF39">
        <v>0</v>
      </c>
      <c r="CG39">
        <v>559387</v>
      </c>
      <c r="CH39">
        <v>170000</v>
      </c>
      <c r="CI39">
        <v>463563</v>
      </c>
      <c r="CJ39">
        <v>0</v>
      </c>
      <c r="CK39">
        <v>2067000</v>
      </c>
      <c r="CL39">
        <v>0</v>
      </c>
      <c r="CM39">
        <v>0</v>
      </c>
      <c r="CN39">
        <v>90000</v>
      </c>
      <c r="CO39">
        <v>10875000</v>
      </c>
      <c r="CP39">
        <v>223688</v>
      </c>
      <c r="CQ39">
        <v>0</v>
      </c>
      <c r="CR39">
        <v>412952</v>
      </c>
      <c r="CS39">
        <v>286992</v>
      </c>
      <c r="CT39">
        <v>0</v>
      </c>
      <c r="CU39">
        <v>90000</v>
      </c>
      <c r="CV39">
        <v>0</v>
      </c>
      <c r="CW39">
        <v>307911</v>
      </c>
      <c r="CX39">
        <v>203139</v>
      </c>
      <c r="CY39">
        <v>38161</v>
      </c>
    </row>
    <row r="40" spans="1:103" x14ac:dyDescent="0.3">
      <c r="A40">
        <v>332</v>
      </c>
      <c r="B40" t="s">
        <v>202</v>
      </c>
      <c r="D40">
        <v>0</v>
      </c>
      <c r="E40">
        <v>478865</v>
      </c>
      <c r="F40">
        <v>0</v>
      </c>
      <c r="G40">
        <v>487342</v>
      </c>
      <c r="H40">
        <v>0</v>
      </c>
      <c r="I40">
        <v>0</v>
      </c>
      <c r="J40">
        <v>588069</v>
      </c>
      <c r="K40">
        <v>0</v>
      </c>
      <c r="L40">
        <v>109854</v>
      </c>
      <c r="M40">
        <v>42910758</v>
      </c>
      <c r="N40">
        <v>0</v>
      </c>
      <c r="O40">
        <v>143436</v>
      </c>
      <c r="P40">
        <v>0</v>
      </c>
      <c r="Q40">
        <v>813855</v>
      </c>
      <c r="R40">
        <v>23262</v>
      </c>
      <c r="S40">
        <v>0</v>
      </c>
      <c r="U40">
        <v>0</v>
      </c>
      <c r="V40">
        <v>1474940</v>
      </c>
      <c r="X40">
        <v>333924</v>
      </c>
      <c r="Y40">
        <v>20806</v>
      </c>
      <c r="Z40">
        <v>0</v>
      </c>
      <c r="AA40">
        <v>2248223</v>
      </c>
      <c r="AB40">
        <v>5450156</v>
      </c>
      <c r="AC40">
        <v>0</v>
      </c>
      <c r="AD40">
        <v>5429291</v>
      </c>
      <c r="AE40">
        <v>3929265</v>
      </c>
      <c r="AF40">
        <v>82056</v>
      </c>
      <c r="AG40">
        <v>4824065</v>
      </c>
      <c r="AH40">
        <v>684291</v>
      </c>
      <c r="AI40">
        <v>4242976</v>
      </c>
      <c r="AJ40">
        <v>402689</v>
      </c>
      <c r="AK40">
        <v>0</v>
      </c>
      <c r="AL40">
        <v>6631307</v>
      </c>
      <c r="AM40">
        <v>0</v>
      </c>
      <c r="AN40">
        <v>17289</v>
      </c>
      <c r="AP40">
        <v>0</v>
      </c>
      <c r="AQ40">
        <v>632665</v>
      </c>
      <c r="AR40">
        <v>0</v>
      </c>
      <c r="AS40">
        <v>0</v>
      </c>
      <c r="AT40">
        <v>4933682</v>
      </c>
      <c r="AU40">
        <v>0</v>
      </c>
      <c r="AV40">
        <v>0</v>
      </c>
      <c r="AW40">
        <v>0</v>
      </c>
      <c r="AX40">
        <v>2580901</v>
      </c>
      <c r="AY40">
        <v>496264</v>
      </c>
      <c r="AZ40">
        <v>0</v>
      </c>
      <c r="BA40">
        <v>0</v>
      </c>
      <c r="BB40">
        <v>84376355</v>
      </c>
      <c r="BC40">
        <v>713403</v>
      </c>
      <c r="BD40">
        <v>0</v>
      </c>
      <c r="BE40">
        <v>0</v>
      </c>
      <c r="BF40">
        <v>10695347</v>
      </c>
      <c r="BG40">
        <v>0</v>
      </c>
      <c r="BH40">
        <v>0</v>
      </c>
      <c r="BI40">
        <v>0</v>
      </c>
      <c r="BJ40">
        <v>0</v>
      </c>
      <c r="BK40">
        <v>0</v>
      </c>
      <c r="BL40">
        <v>0</v>
      </c>
      <c r="BM40">
        <v>393526</v>
      </c>
      <c r="BN40">
        <v>1839008</v>
      </c>
      <c r="BO40">
        <v>0</v>
      </c>
      <c r="BP40">
        <v>0</v>
      </c>
      <c r="BQ40">
        <v>222781</v>
      </c>
      <c r="BR40">
        <v>0</v>
      </c>
      <c r="BS40">
        <v>0</v>
      </c>
      <c r="BT40">
        <v>156937</v>
      </c>
      <c r="BU40">
        <v>3643602</v>
      </c>
      <c r="BV40">
        <v>6179949</v>
      </c>
      <c r="BW40">
        <v>59247</v>
      </c>
      <c r="BX40">
        <v>0</v>
      </c>
      <c r="BY40">
        <v>0</v>
      </c>
      <c r="BZ40">
        <v>0</v>
      </c>
      <c r="CA40">
        <v>0</v>
      </c>
      <c r="CB40">
        <v>200702</v>
      </c>
      <c r="CC40">
        <v>7478714</v>
      </c>
      <c r="CD40">
        <v>1421693</v>
      </c>
      <c r="CE40">
        <v>559241</v>
      </c>
      <c r="CF40">
        <v>0</v>
      </c>
      <c r="CG40">
        <v>4619989</v>
      </c>
      <c r="CH40">
        <v>269676</v>
      </c>
      <c r="CI40">
        <v>1736115</v>
      </c>
      <c r="CJ40">
        <v>67251</v>
      </c>
      <c r="CK40">
        <v>0</v>
      </c>
      <c r="CL40">
        <v>0</v>
      </c>
      <c r="CM40">
        <v>0</v>
      </c>
      <c r="CN40">
        <v>41264</v>
      </c>
      <c r="CO40">
        <v>139834495</v>
      </c>
      <c r="CP40">
        <v>26410</v>
      </c>
      <c r="CQ40">
        <v>0</v>
      </c>
      <c r="CR40">
        <v>1368529</v>
      </c>
      <c r="CS40">
        <v>84153</v>
      </c>
      <c r="CT40">
        <v>0</v>
      </c>
      <c r="CU40">
        <v>19115</v>
      </c>
      <c r="CV40">
        <v>0</v>
      </c>
      <c r="CW40">
        <v>823487</v>
      </c>
      <c r="CX40">
        <v>0</v>
      </c>
      <c r="CY40">
        <v>600000</v>
      </c>
    </row>
    <row r="41" spans="1:103" x14ac:dyDescent="0.3">
      <c r="A41">
        <v>333</v>
      </c>
      <c r="B41" t="s">
        <v>153</v>
      </c>
      <c r="D41">
        <v>124504486</v>
      </c>
      <c r="E41">
        <v>30062367</v>
      </c>
      <c r="F41">
        <v>17035979</v>
      </c>
      <c r="G41">
        <v>29206831</v>
      </c>
      <c r="H41">
        <v>25001672</v>
      </c>
      <c r="I41">
        <v>43470647</v>
      </c>
      <c r="J41">
        <v>57759167</v>
      </c>
      <c r="K41">
        <v>3794638</v>
      </c>
      <c r="L41">
        <v>45065513</v>
      </c>
      <c r="M41">
        <v>246781648</v>
      </c>
      <c r="N41">
        <v>214798436</v>
      </c>
      <c r="O41">
        <v>99725500</v>
      </c>
      <c r="P41">
        <v>243243802</v>
      </c>
      <c r="Q41">
        <v>32272413</v>
      </c>
      <c r="R41">
        <v>21126090</v>
      </c>
      <c r="S41">
        <v>130895826</v>
      </c>
      <c r="U41">
        <v>172300833</v>
      </c>
      <c r="V41">
        <v>171335222</v>
      </c>
      <c r="X41">
        <v>15653871</v>
      </c>
      <c r="Y41">
        <v>12433654</v>
      </c>
      <c r="Z41">
        <v>86052580</v>
      </c>
      <c r="AA41">
        <v>25570163</v>
      </c>
      <c r="AB41">
        <v>99652211</v>
      </c>
      <c r="AC41">
        <v>297387554</v>
      </c>
      <c r="AD41">
        <v>142038394</v>
      </c>
      <c r="AE41">
        <v>183400484</v>
      </c>
      <c r="AF41">
        <v>212735834</v>
      </c>
      <c r="AG41">
        <v>27703079</v>
      </c>
      <c r="AH41">
        <v>89895518</v>
      </c>
      <c r="AI41">
        <v>391590176</v>
      </c>
      <c r="AJ41">
        <v>24174269</v>
      </c>
      <c r="AK41">
        <v>260762938</v>
      </c>
      <c r="AL41">
        <v>70816678</v>
      </c>
      <c r="AM41">
        <v>223277412</v>
      </c>
      <c r="AN41">
        <v>10443215</v>
      </c>
      <c r="AP41">
        <v>47761845</v>
      </c>
      <c r="AQ41">
        <v>15472642</v>
      </c>
      <c r="AR41">
        <v>549505149</v>
      </c>
      <c r="AS41">
        <v>62772244</v>
      </c>
      <c r="AT41">
        <v>151547410</v>
      </c>
      <c r="AU41">
        <v>93933617</v>
      </c>
      <c r="AV41">
        <v>118352806</v>
      </c>
      <c r="AW41">
        <v>7820010</v>
      </c>
      <c r="AX41">
        <v>62511781</v>
      </c>
      <c r="AY41">
        <v>7114228</v>
      </c>
      <c r="AZ41">
        <v>225549571</v>
      </c>
      <c r="BA41">
        <v>60023469</v>
      </c>
      <c r="BB41">
        <v>235876529</v>
      </c>
      <c r="BC41">
        <v>13036863</v>
      </c>
      <c r="BD41">
        <v>48695161</v>
      </c>
      <c r="BE41">
        <v>54336576</v>
      </c>
      <c r="BF41">
        <v>108182977</v>
      </c>
      <c r="BG41">
        <v>60550014</v>
      </c>
      <c r="BH41">
        <v>26165232</v>
      </c>
      <c r="BI41">
        <v>28426111</v>
      </c>
      <c r="BJ41">
        <v>28652657</v>
      </c>
      <c r="BK41">
        <v>1408374504</v>
      </c>
      <c r="BL41">
        <v>13694899</v>
      </c>
      <c r="BM41">
        <v>66877129</v>
      </c>
      <c r="BN41">
        <v>123565161</v>
      </c>
      <c r="BO41">
        <v>67486983</v>
      </c>
      <c r="BP41">
        <v>247119924</v>
      </c>
      <c r="BQ41">
        <v>28449088</v>
      </c>
      <c r="BR41">
        <v>187312080</v>
      </c>
      <c r="BS41">
        <v>105032661</v>
      </c>
      <c r="BT41">
        <v>13867839</v>
      </c>
      <c r="BU41">
        <v>46980321</v>
      </c>
      <c r="BV41">
        <v>82830224</v>
      </c>
      <c r="BW41">
        <v>11502032</v>
      </c>
      <c r="BX41">
        <v>47865119</v>
      </c>
      <c r="BY41">
        <v>125045971</v>
      </c>
      <c r="BZ41">
        <v>20468500</v>
      </c>
      <c r="CA41">
        <v>109611832</v>
      </c>
      <c r="CB41">
        <v>26468894</v>
      </c>
      <c r="CC41">
        <v>68163390</v>
      </c>
      <c r="CD41">
        <v>75337891</v>
      </c>
      <c r="CE41">
        <v>136088232</v>
      </c>
      <c r="CF41">
        <v>72514415</v>
      </c>
      <c r="CG41">
        <v>44996327</v>
      </c>
      <c r="CH41">
        <v>13684124</v>
      </c>
      <c r="CI41">
        <v>59459558</v>
      </c>
      <c r="CJ41">
        <v>24085923</v>
      </c>
      <c r="CK41">
        <v>58566584</v>
      </c>
      <c r="CL41">
        <v>11698181</v>
      </c>
      <c r="CM41">
        <v>65785169</v>
      </c>
      <c r="CN41">
        <v>2106407</v>
      </c>
      <c r="CO41">
        <v>195429346</v>
      </c>
      <c r="CP41">
        <v>35997901</v>
      </c>
      <c r="CQ41">
        <v>1307488754</v>
      </c>
      <c r="CR41">
        <v>24291240</v>
      </c>
      <c r="CS41">
        <v>16368958</v>
      </c>
      <c r="CT41">
        <v>132433064</v>
      </c>
      <c r="CU41">
        <v>40090273</v>
      </c>
      <c r="CV41">
        <v>43991758</v>
      </c>
      <c r="CW41">
        <v>55238755</v>
      </c>
      <c r="CX41">
        <v>31131873</v>
      </c>
      <c r="CY41">
        <v>8175731</v>
      </c>
    </row>
    <row r="42" spans="1:103" x14ac:dyDescent="0.3">
      <c r="A42">
        <v>334</v>
      </c>
      <c r="B42" t="s">
        <v>218</v>
      </c>
      <c r="D42">
        <v>111421177</v>
      </c>
      <c r="E42">
        <v>36482570</v>
      </c>
      <c r="F42">
        <v>37786087</v>
      </c>
      <c r="G42">
        <v>38628440</v>
      </c>
      <c r="H42">
        <v>68816705</v>
      </c>
      <c r="I42">
        <v>41281701</v>
      </c>
      <c r="J42">
        <v>32991351</v>
      </c>
      <c r="K42">
        <v>46524284</v>
      </c>
      <c r="L42">
        <v>54812613</v>
      </c>
      <c r="M42">
        <v>269725025</v>
      </c>
      <c r="N42">
        <v>404028905</v>
      </c>
      <c r="O42">
        <v>93300962</v>
      </c>
      <c r="P42">
        <v>398310569</v>
      </c>
      <c r="Q42">
        <v>71736173</v>
      </c>
      <c r="R42">
        <v>19047668</v>
      </c>
      <c r="S42">
        <v>61618947</v>
      </c>
      <c r="U42">
        <v>0</v>
      </c>
      <c r="V42">
        <v>128118409</v>
      </c>
      <c r="X42">
        <v>56122719</v>
      </c>
      <c r="Y42">
        <v>47253922</v>
      </c>
      <c r="Z42">
        <v>168191064</v>
      </c>
      <c r="AA42">
        <v>90252425</v>
      </c>
      <c r="AB42">
        <v>127071799</v>
      </c>
      <c r="AC42">
        <v>351144453</v>
      </c>
      <c r="AD42">
        <v>188426186</v>
      </c>
      <c r="AE42">
        <v>293240159</v>
      </c>
      <c r="AF42">
        <v>138477622</v>
      </c>
      <c r="AG42">
        <v>57315751</v>
      </c>
      <c r="AH42">
        <v>49476083</v>
      </c>
      <c r="AI42">
        <v>564206418</v>
      </c>
      <c r="AJ42">
        <v>49570158</v>
      </c>
      <c r="AK42">
        <v>422188571</v>
      </c>
      <c r="AL42">
        <v>75263342</v>
      </c>
      <c r="AM42">
        <v>191172640</v>
      </c>
      <c r="AN42">
        <v>12126276</v>
      </c>
      <c r="AP42">
        <v>95455982</v>
      </c>
      <c r="AQ42">
        <v>34922979</v>
      </c>
      <c r="AR42">
        <v>418246258</v>
      </c>
      <c r="AS42">
        <v>43422541</v>
      </c>
      <c r="AT42">
        <v>142479889</v>
      </c>
      <c r="AU42">
        <v>119729162</v>
      </c>
      <c r="AV42">
        <v>164891894</v>
      </c>
      <c r="AW42">
        <v>32845771</v>
      </c>
      <c r="AX42">
        <v>42320732</v>
      </c>
      <c r="AY42">
        <v>31442754</v>
      </c>
      <c r="AZ42">
        <v>626752324</v>
      </c>
      <c r="BA42">
        <v>90433538</v>
      </c>
      <c r="BB42">
        <v>121875851</v>
      </c>
      <c r="BC42">
        <v>13846879</v>
      </c>
      <c r="BD42">
        <v>65427470</v>
      </c>
      <c r="BE42">
        <v>61205919</v>
      </c>
      <c r="BF42">
        <v>132600330</v>
      </c>
      <c r="BG42">
        <v>48939824</v>
      </c>
      <c r="BH42">
        <v>22815908</v>
      </c>
      <c r="BI42">
        <v>39703052</v>
      </c>
      <c r="BJ42">
        <v>65852368</v>
      </c>
      <c r="BK42">
        <v>1242020449</v>
      </c>
      <c r="BL42">
        <v>21625467</v>
      </c>
      <c r="BM42">
        <v>54687260</v>
      </c>
      <c r="BN42">
        <v>104476502</v>
      </c>
      <c r="BO42">
        <v>0</v>
      </c>
      <c r="BP42">
        <v>393464442</v>
      </c>
      <c r="BQ42">
        <v>28963177</v>
      </c>
      <c r="BR42">
        <v>222711344</v>
      </c>
      <c r="BS42">
        <v>211176449</v>
      </c>
      <c r="BT42">
        <v>20190810</v>
      </c>
      <c r="BU42">
        <v>82956967</v>
      </c>
      <c r="BV42">
        <v>52256486</v>
      </c>
      <c r="BW42">
        <v>16505647</v>
      </c>
      <c r="BX42">
        <v>98700909</v>
      </c>
      <c r="BY42">
        <v>225844542</v>
      </c>
      <c r="BZ42">
        <v>44228144</v>
      </c>
      <c r="CA42">
        <v>99538238</v>
      </c>
      <c r="CB42">
        <v>64005032</v>
      </c>
      <c r="CC42">
        <v>90802255</v>
      </c>
      <c r="CD42">
        <v>114223096</v>
      </c>
      <c r="CE42">
        <v>128247139</v>
      </c>
      <c r="CF42">
        <v>120538151</v>
      </c>
      <c r="CG42">
        <v>179839924</v>
      </c>
      <c r="CH42">
        <v>33430202</v>
      </c>
      <c r="CI42">
        <v>60046697</v>
      </c>
      <c r="CJ42">
        <v>90569026</v>
      </c>
      <c r="CK42">
        <v>128164215</v>
      </c>
      <c r="CL42">
        <v>35630701</v>
      </c>
      <c r="CM42">
        <v>67012836</v>
      </c>
      <c r="CN42">
        <v>7688385</v>
      </c>
      <c r="CO42">
        <v>241804210</v>
      </c>
      <c r="CP42">
        <v>35651836</v>
      </c>
      <c r="CQ42">
        <v>1115956310</v>
      </c>
      <c r="CR42">
        <v>39033466</v>
      </c>
      <c r="CS42">
        <v>24027841</v>
      </c>
      <c r="CT42">
        <v>166144551</v>
      </c>
      <c r="CU42">
        <v>285299439</v>
      </c>
      <c r="CV42">
        <v>62329676</v>
      </c>
      <c r="CW42">
        <v>65298474</v>
      </c>
      <c r="CX42">
        <v>70590994</v>
      </c>
      <c r="CY42">
        <v>24747263</v>
      </c>
    </row>
    <row r="43" spans="1:103" x14ac:dyDescent="0.3">
      <c r="A43">
        <v>335</v>
      </c>
      <c r="B43" t="s">
        <v>97</v>
      </c>
      <c r="D43">
        <v>0</v>
      </c>
      <c r="E43">
        <v>0</v>
      </c>
      <c r="F43">
        <v>2617010</v>
      </c>
      <c r="G43">
        <v>0</v>
      </c>
      <c r="H43">
        <v>540420</v>
      </c>
      <c r="I43">
        <v>0</v>
      </c>
      <c r="J43">
        <v>2247028</v>
      </c>
      <c r="K43">
        <v>1595601</v>
      </c>
      <c r="L43">
        <v>0</v>
      </c>
      <c r="M43">
        <v>15190732</v>
      </c>
      <c r="N43">
        <v>30411895</v>
      </c>
      <c r="O43">
        <v>4856944</v>
      </c>
      <c r="P43">
        <v>0</v>
      </c>
      <c r="Q43">
        <v>0</v>
      </c>
      <c r="R43">
        <v>0</v>
      </c>
      <c r="S43">
        <v>3501710</v>
      </c>
      <c r="U43">
        <v>0</v>
      </c>
      <c r="V43">
        <v>0</v>
      </c>
      <c r="X43">
        <v>0</v>
      </c>
      <c r="Y43">
        <v>3491157</v>
      </c>
      <c r="Z43">
        <v>63845200</v>
      </c>
      <c r="AA43">
        <v>331101</v>
      </c>
      <c r="AB43">
        <v>7324667</v>
      </c>
      <c r="AC43">
        <v>2310836</v>
      </c>
      <c r="AD43">
        <v>269543</v>
      </c>
      <c r="AE43">
        <v>35260642</v>
      </c>
      <c r="AF43">
        <v>0</v>
      </c>
      <c r="AG43">
        <v>5284059</v>
      </c>
      <c r="AH43">
        <v>0</v>
      </c>
      <c r="AI43">
        <v>0</v>
      </c>
      <c r="AJ43">
        <v>4525873</v>
      </c>
      <c r="AK43">
        <v>62970337</v>
      </c>
      <c r="AL43">
        <v>0</v>
      </c>
      <c r="AM43">
        <v>2653430</v>
      </c>
      <c r="AN43">
        <v>2245783</v>
      </c>
      <c r="AP43">
        <v>2352524</v>
      </c>
      <c r="AQ43">
        <v>675558</v>
      </c>
      <c r="AR43">
        <v>0</v>
      </c>
      <c r="AS43">
        <v>2000000</v>
      </c>
      <c r="AT43">
        <v>26143870</v>
      </c>
      <c r="AU43">
        <v>0</v>
      </c>
      <c r="AV43">
        <v>23415518</v>
      </c>
      <c r="AW43">
        <v>0</v>
      </c>
      <c r="AX43">
        <v>30589516</v>
      </c>
      <c r="AY43">
        <v>0</v>
      </c>
      <c r="AZ43">
        <v>0</v>
      </c>
      <c r="BA43">
        <v>0</v>
      </c>
      <c r="BB43">
        <v>0</v>
      </c>
      <c r="BC43">
        <v>0</v>
      </c>
      <c r="BD43">
        <v>205541</v>
      </c>
      <c r="BE43">
        <v>5390907</v>
      </c>
      <c r="BF43">
        <v>11089478</v>
      </c>
      <c r="BG43">
        <v>12058</v>
      </c>
      <c r="BH43">
        <v>127184</v>
      </c>
      <c r="BI43">
        <v>4553148</v>
      </c>
      <c r="BJ43">
        <v>0</v>
      </c>
      <c r="BK43">
        <v>0</v>
      </c>
      <c r="BL43">
        <v>7569508</v>
      </c>
      <c r="BM43">
        <v>5210265</v>
      </c>
      <c r="BN43">
        <v>9448187</v>
      </c>
      <c r="BO43">
        <v>14010595</v>
      </c>
      <c r="BP43">
        <v>14662445</v>
      </c>
      <c r="BQ43">
        <v>9708001</v>
      </c>
      <c r="BR43">
        <v>1556128</v>
      </c>
      <c r="BS43">
        <v>15367506</v>
      </c>
      <c r="BT43">
        <v>383356</v>
      </c>
      <c r="BU43">
        <v>1400207</v>
      </c>
      <c r="BV43">
        <v>11582251</v>
      </c>
      <c r="BW43">
        <v>0</v>
      </c>
      <c r="BX43">
        <v>15086738</v>
      </c>
      <c r="BY43">
        <v>29444519</v>
      </c>
      <c r="BZ43">
        <v>0</v>
      </c>
      <c r="CA43">
        <v>0</v>
      </c>
      <c r="CB43">
        <v>4174294</v>
      </c>
      <c r="CC43">
        <v>0</v>
      </c>
      <c r="CD43">
        <v>16056860</v>
      </c>
      <c r="CE43">
        <v>14557592</v>
      </c>
      <c r="CF43">
        <v>0</v>
      </c>
      <c r="CG43">
        <v>0</v>
      </c>
      <c r="CH43">
        <v>0</v>
      </c>
      <c r="CI43">
        <v>12694544</v>
      </c>
      <c r="CJ43">
        <v>15604421</v>
      </c>
      <c r="CK43">
        <v>0</v>
      </c>
      <c r="CL43">
        <v>6485493</v>
      </c>
      <c r="CM43">
        <v>0</v>
      </c>
      <c r="CN43">
        <v>605468</v>
      </c>
      <c r="CO43">
        <v>0</v>
      </c>
      <c r="CP43">
        <v>6402201</v>
      </c>
      <c r="CQ43">
        <v>0</v>
      </c>
      <c r="CR43">
        <v>0</v>
      </c>
      <c r="CS43">
        <v>3580765</v>
      </c>
      <c r="CT43">
        <v>3870266</v>
      </c>
      <c r="CU43">
        <v>39173069</v>
      </c>
      <c r="CV43">
        <v>1050217</v>
      </c>
      <c r="CW43">
        <v>0</v>
      </c>
      <c r="CX43">
        <v>1958317</v>
      </c>
      <c r="CY43">
        <v>0</v>
      </c>
    </row>
    <row r="44" spans="1:103" x14ac:dyDescent="0.3">
      <c r="A44">
        <v>336</v>
      </c>
      <c r="B44" t="s">
        <v>608</v>
      </c>
      <c r="D44">
        <v>23014167</v>
      </c>
      <c r="E44">
        <v>10594815</v>
      </c>
      <c r="F44">
        <v>4243200</v>
      </c>
      <c r="G44">
        <v>2051650</v>
      </c>
      <c r="H44">
        <v>2825138</v>
      </c>
      <c r="I44">
        <v>2449296</v>
      </c>
      <c r="J44">
        <v>7338761</v>
      </c>
      <c r="K44">
        <v>3583782</v>
      </c>
      <c r="L44">
        <v>6610411</v>
      </c>
      <c r="M44">
        <v>38241069</v>
      </c>
      <c r="N44">
        <v>114596342</v>
      </c>
      <c r="O44">
        <v>13565539</v>
      </c>
      <c r="P44">
        <v>201467403</v>
      </c>
      <c r="Q44">
        <v>8439800</v>
      </c>
      <c r="R44">
        <v>912948</v>
      </c>
      <c r="S44">
        <v>4744863</v>
      </c>
      <c r="U44">
        <v>40743039</v>
      </c>
      <c r="V44">
        <v>27749817</v>
      </c>
      <c r="X44">
        <v>2181524</v>
      </c>
      <c r="Y44">
        <v>6075122</v>
      </c>
      <c r="Z44">
        <v>83021691</v>
      </c>
      <c r="AA44">
        <v>12917262</v>
      </c>
      <c r="AB44">
        <v>19756513</v>
      </c>
      <c r="AC44">
        <v>75378422</v>
      </c>
      <c r="AD44">
        <v>8743889</v>
      </c>
      <c r="AE44">
        <v>65612159</v>
      </c>
      <c r="AF44">
        <v>18226383</v>
      </c>
      <c r="AG44">
        <v>11340030</v>
      </c>
      <c r="AH44">
        <v>9401782</v>
      </c>
      <c r="AI44">
        <v>103323554</v>
      </c>
      <c r="AJ44">
        <v>11744170</v>
      </c>
      <c r="AK44">
        <v>159770727</v>
      </c>
      <c r="AL44">
        <v>14668167</v>
      </c>
      <c r="AM44">
        <v>95007607</v>
      </c>
      <c r="AN44">
        <v>4233578</v>
      </c>
      <c r="AP44">
        <v>11131583</v>
      </c>
      <c r="AQ44">
        <v>2442052</v>
      </c>
      <c r="AR44">
        <v>212420072</v>
      </c>
      <c r="AS44">
        <v>7846909</v>
      </c>
      <c r="AT44">
        <v>61290148</v>
      </c>
      <c r="AU44">
        <v>14332937</v>
      </c>
      <c r="AV44">
        <v>28221963</v>
      </c>
      <c r="AW44">
        <v>4002396</v>
      </c>
      <c r="AX44">
        <v>37357260</v>
      </c>
      <c r="AY44">
        <v>1750819</v>
      </c>
      <c r="AZ44">
        <v>59220740</v>
      </c>
      <c r="BA44">
        <v>12029115</v>
      </c>
      <c r="BB44">
        <v>44057567</v>
      </c>
      <c r="BC44">
        <v>1390935</v>
      </c>
      <c r="BD44">
        <v>17005304</v>
      </c>
      <c r="BE44">
        <v>16151795</v>
      </c>
      <c r="BF44">
        <v>34669704</v>
      </c>
      <c r="BG44">
        <v>7153619</v>
      </c>
      <c r="BH44">
        <v>4866468</v>
      </c>
      <c r="BI44">
        <v>5437452</v>
      </c>
      <c r="BJ44">
        <v>2215965</v>
      </c>
      <c r="BK44">
        <v>543812028</v>
      </c>
      <c r="BL44">
        <v>10162128</v>
      </c>
      <c r="BM44">
        <v>9524977</v>
      </c>
      <c r="BN44">
        <v>35241131</v>
      </c>
      <c r="BO44">
        <v>12998819</v>
      </c>
      <c r="BP44">
        <v>93287837</v>
      </c>
      <c r="BQ44">
        <v>13225859</v>
      </c>
      <c r="BR44">
        <v>72376114</v>
      </c>
      <c r="BS44">
        <v>65444290</v>
      </c>
      <c r="BT44">
        <v>1536042</v>
      </c>
      <c r="BU44">
        <v>6651405</v>
      </c>
      <c r="BV44">
        <v>26039339</v>
      </c>
      <c r="BW44">
        <v>166275</v>
      </c>
      <c r="BX44">
        <v>20296327</v>
      </c>
      <c r="BY44">
        <v>51436002</v>
      </c>
      <c r="BZ44">
        <v>11321361</v>
      </c>
      <c r="CA44">
        <v>20563108</v>
      </c>
      <c r="CB44">
        <v>9159800</v>
      </c>
      <c r="CC44">
        <v>5327622</v>
      </c>
      <c r="CD44">
        <v>30727071</v>
      </c>
      <c r="CE44">
        <v>41673956</v>
      </c>
      <c r="CF44">
        <v>7053520</v>
      </c>
      <c r="CG44">
        <v>14687008</v>
      </c>
      <c r="CH44">
        <v>4972131</v>
      </c>
      <c r="CI44">
        <v>22012831</v>
      </c>
      <c r="CJ44">
        <v>23071715</v>
      </c>
      <c r="CK44">
        <v>12874070</v>
      </c>
      <c r="CL44">
        <v>8420941</v>
      </c>
      <c r="CM44">
        <v>6131308</v>
      </c>
      <c r="CN44">
        <v>701755</v>
      </c>
      <c r="CO44">
        <v>89396423</v>
      </c>
      <c r="CP44">
        <v>11092785</v>
      </c>
      <c r="CQ44">
        <v>386350115</v>
      </c>
      <c r="CR44">
        <v>2550769</v>
      </c>
      <c r="CS44">
        <v>2362828</v>
      </c>
      <c r="CT44">
        <v>18558837</v>
      </c>
      <c r="CU44">
        <v>57822055</v>
      </c>
      <c r="CV44">
        <v>15902931</v>
      </c>
      <c r="CW44">
        <v>6076725</v>
      </c>
      <c r="CX44">
        <v>7222302</v>
      </c>
      <c r="CY44">
        <v>3147964</v>
      </c>
    </row>
    <row r="45" spans="1:103" x14ac:dyDescent="0.3">
      <c r="A45">
        <v>337</v>
      </c>
      <c r="B45" t="s">
        <v>205</v>
      </c>
      <c r="D45">
        <v>186671361</v>
      </c>
      <c r="E45">
        <v>2575340</v>
      </c>
      <c r="F45">
        <v>2832327</v>
      </c>
      <c r="G45">
        <v>1408742</v>
      </c>
      <c r="H45">
        <v>12901171</v>
      </c>
      <c r="I45">
        <v>9771356</v>
      </c>
      <c r="J45">
        <v>10998168</v>
      </c>
      <c r="K45">
        <v>17500120</v>
      </c>
      <c r="L45">
        <v>23918698</v>
      </c>
      <c r="M45">
        <v>155603063</v>
      </c>
      <c r="N45">
        <v>373124283</v>
      </c>
      <c r="O45">
        <v>38815000</v>
      </c>
      <c r="P45">
        <v>428763770</v>
      </c>
      <c r="Q45">
        <v>33678254</v>
      </c>
      <c r="R45">
        <v>12524923</v>
      </c>
      <c r="S45">
        <v>36650204</v>
      </c>
      <c r="U45">
        <v>0</v>
      </c>
      <c r="V45">
        <v>230189805</v>
      </c>
      <c r="X45">
        <v>5109779</v>
      </c>
      <c r="Y45">
        <v>6111221</v>
      </c>
      <c r="Z45">
        <v>46768880</v>
      </c>
      <c r="AA45">
        <v>72582114</v>
      </c>
      <c r="AB45">
        <v>19711150</v>
      </c>
      <c r="AC45">
        <v>53866198</v>
      </c>
      <c r="AD45">
        <v>14633881</v>
      </c>
      <c r="AE45">
        <v>136064629</v>
      </c>
      <c r="AF45">
        <v>101136240</v>
      </c>
      <c r="AG45">
        <v>61077495</v>
      </c>
      <c r="AH45">
        <v>47661712</v>
      </c>
      <c r="AI45">
        <v>712687775</v>
      </c>
      <c r="AJ45">
        <v>24297230</v>
      </c>
      <c r="AK45">
        <v>823326070</v>
      </c>
      <c r="AL45">
        <v>56715762</v>
      </c>
      <c r="AM45">
        <v>197566569</v>
      </c>
      <c r="AN45">
        <v>6883078</v>
      </c>
      <c r="AP45">
        <v>76210701</v>
      </c>
      <c r="AQ45">
        <v>20234966</v>
      </c>
      <c r="AR45">
        <v>0</v>
      </c>
      <c r="AS45">
        <v>16853899</v>
      </c>
      <c r="AT45">
        <v>194578357</v>
      </c>
      <c r="AU45">
        <v>29728800</v>
      </c>
      <c r="AV45">
        <v>155318669</v>
      </c>
      <c r="AW45">
        <v>11774997</v>
      </c>
      <c r="AX45">
        <v>46452804</v>
      </c>
      <c r="AY45">
        <v>4175862</v>
      </c>
      <c r="AZ45">
        <v>191816516</v>
      </c>
      <c r="BA45">
        <v>36754439</v>
      </c>
      <c r="BB45">
        <v>283459634</v>
      </c>
      <c r="BC45">
        <v>13517268</v>
      </c>
      <c r="BD45">
        <v>77566678</v>
      </c>
      <c r="BE45">
        <v>31674964</v>
      </c>
      <c r="BF45">
        <v>91696444</v>
      </c>
      <c r="BG45">
        <v>24369602</v>
      </c>
      <c r="BH45">
        <v>6579295</v>
      </c>
      <c r="BI45">
        <v>14316220</v>
      </c>
      <c r="BJ45">
        <v>20313336</v>
      </c>
      <c r="BK45">
        <v>1956106192</v>
      </c>
      <c r="BL45">
        <v>165959</v>
      </c>
      <c r="BM45">
        <v>69682072</v>
      </c>
      <c r="BN45">
        <v>235574979</v>
      </c>
      <c r="BO45">
        <v>57618339</v>
      </c>
      <c r="BP45">
        <v>415980169</v>
      </c>
      <c r="BQ45">
        <v>9706096</v>
      </c>
      <c r="BR45">
        <v>251537159</v>
      </c>
      <c r="BS45">
        <v>326826959</v>
      </c>
      <c r="BT45">
        <v>6492649</v>
      </c>
      <c r="BU45">
        <v>20460224</v>
      </c>
      <c r="BV45">
        <v>80032110</v>
      </c>
      <c r="BW45">
        <v>4837104</v>
      </c>
      <c r="BX45">
        <v>9054311</v>
      </c>
      <c r="BY45">
        <v>134197574</v>
      </c>
      <c r="BZ45">
        <v>14387246</v>
      </c>
      <c r="CA45">
        <v>150601035</v>
      </c>
      <c r="CB45">
        <v>16348090</v>
      </c>
      <c r="CC45">
        <v>27370927</v>
      </c>
      <c r="CD45">
        <v>57067073</v>
      </c>
      <c r="CE45">
        <v>69996399</v>
      </c>
      <c r="CF45">
        <v>29142889</v>
      </c>
      <c r="CG45">
        <v>104379407</v>
      </c>
      <c r="CH45">
        <v>39050891</v>
      </c>
      <c r="CI45">
        <v>26376930</v>
      </c>
      <c r="CJ45">
        <v>27967434</v>
      </c>
      <c r="CK45">
        <v>89963054</v>
      </c>
      <c r="CL45">
        <v>11448102</v>
      </c>
      <c r="CM45">
        <v>1488389</v>
      </c>
      <c r="CN45">
        <v>0</v>
      </c>
      <c r="CO45">
        <v>499756635</v>
      </c>
      <c r="CP45">
        <v>20078511</v>
      </c>
      <c r="CQ45">
        <v>3017013747</v>
      </c>
      <c r="CR45">
        <v>4585863</v>
      </c>
      <c r="CS45">
        <v>19812334</v>
      </c>
      <c r="CT45">
        <v>66716530</v>
      </c>
      <c r="CU45">
        <v>157098490</v>
      </c>
      <c r="CV45">
        <v>29588611</v>
      </c>
      <c r="CW45">
        <v>21917384</v>
      </c>
      <c r="CX45">
        <v>16657464</v>
      </c>
      <c r="CY45">
        <v>11131632</v>
      </c>
    </row>
    <row r="46" spans="1:103" x14ac:dyDescent="0.3">
      <c r="A46">
        <v>338</v>
      </c>
      <c r="B46" t="s">
        <v>96</v>
      </c>
      <c r="D46">
        <v>375082327</v>
      </c>
      <c r="E46">
        <v>51930246</v>
      </c>
      <c r="F46">
        <v>24724608</v>
      </c>
      <c r="G46">
        <v>20940411</v>
      </c>
      <c r="H46">
        <v>33983209</v>
      </c>
      <c r="I46">
        <v>26224787</v>
      </c>
      <c r="J46">
        <v>38630114</v>
      </c>
      <c r="K46">
        <v>49933720</v>
      </c>
      <c r="L46">
        <v>76819465</v>
      </c>
      <c r="M46">
        <v>419857510</v>
      </c>
      <c r="N46">
        <v>710897219</v>
      </c>
      <c r="O46">
        <v>99106097</v>
      </c>
      <c r="P46">
        <v>639242704</v>
      </c>
      <c r="Q46">
        <v>88180567</v>
      </c>
      <c r="R46">
        <v>17732345</v>
      </c>
      <c r="S46">
        <v>81089949</v>
      </c>
      <c r="U46">
        <v>299855799</v>
      </c>
      <c r="V46">
        <v>281002569</v>
      </c>
      <c r="X46">
        <v>23002780</v>
      </c>
      <c r="Y46">
        <v>21672470</v>
      </c>
      <c r="Z46">
        <v>185061809</v>
      </c>
      <c r="AA46">
        <v>155757130</v>
      </c>
      <c r="AB46">
        <v>87810405</v>
      </c>
      <c r="AC46">
        <v>414393461</v>
      </c>
      <c r="AD46">
        <v>83856166</v>
      </c>
      <c r="AE46">
        <v>365906939</v>
      </c>
      <c r="AF46">
        <v>169854595</v>
      </c>
      <c r="AG46">
        <v>96521161</v>
      </c>
      <c r="AH46">
        <v>108505475</v>
      </c>
      <c r="AI46">
        <v>1156243545</v>
      </c>
      <c r="AJ46">
        <v>59489426</v>
      </c>
      <c r="AK46">
        <v>1080321356</v>
      </c>
      <c r="AL46">
        <v>154243467</v>
      </c>
      <c r="AM46">
        <v>428766392</v>
      </c>
      <c r="AN46">
        <v>17879177</v>
      </c>
      <c r="AP46">
        <v>122521556</v>
      </c>
      <c r="AQ46">
        <v>30839490</v>
      </c>
      <c r="AR46">
        <v>1191991473</v>
      </c>
      <c r="AS46">
        <v>58065030</v>
      </c>
      <c r="AT46">
        <v>323798986</v>
      </c>
      <c r="AU46">
        <v>140802077</v>
      </c>
      <c r="AV46">
        <v>297994570</v>
      </c>
      <c r="AW46">
        <v>35133125</v>
      </c>
      <c r="AX46">
        <v>104682010</v>
      </c>
      <c r="AY46">
        <v>13167332</v>
      </c>
      <c r="AZ46">
        <v>313773610</v>
      </c>
      <c r="BA46">
        <v>128101528</v>
      </c>
      <c r="BB46">
        <v>602547643</v>
      </c>
      <c r="BC46">
        <v>19693528</v>
      </c>
      <c r="BD46">
        <v>139298641</v>
      </c>
      <c r="BE46">
        <v>74541123</v>
      </c>
      <c r="BF46">
        <v>212352769</v>
      </c>
      <c r="BG46">
        <v>129693034</v>
      </c>
      <c r="BH46">
        <v>18148341</v>
      </c>
      <c r="BI46">
        <v>46977985</v>
      </c>
      <c r="BJ46">
        <v>55652197</v>
      </c>
      <c r="BK46">
        <v>3183402117</v>
      </c>
      <c r="BL46">
        <v>26588768</v>
      </c>
      <c r="BM46">
        <v>88678697</v>
      </c>
      <c r="BN46">
        <v>348975973</v>
      </c>
      <c r="BO46">
        <v>180704110</v>
      </c>
      <c r="BP46">
        <v>1074219224</v>
      </c>
      <c r="BQ46">
        <v>56471366</v>
      </c>
      <c r="BR46">
        <v>373748905</v>
      </c>
      <c r="BS46">
        <v>575659348</v>
      </c>
      <c r="BT46">
        <v>14471603</v>
      </c>
      <c r="BU46">
        <v>64708760</v>
      </c>
      <c r="BV46">
        <v>140119823</v>
      </c>
      <c r="BW46">
        <v>12641783</v>
      </c>
      <c r="BX46">
        <v>58743907</v>
      </c>
      <c r="BY46">
        <v>331408809</v>
      </c>
      <c r="BZ46">
        <v>33562430</v>
      </c>
      <c r="CA46">
        <v>251544974</v>
      </c>
      <c r="CB46">
        <v>47319698</v>
      </c>
      <c r="CC46">
        <v>176526342</v>
      </c>
      <c r="CD46">
        <v>193674640</v>
      </c>
      <c r="CE46">
        <v>155921496</v>
      </c>
      <c r="CF46">
        <v>95449563</v>
      </c>
      <c r="CG46">
        <v>153220243</v>
      </c>
      <c r="CH46">
        <v>106327862</v>
      </c>
      <c r="CI46">
        <v>75310350</v>
      </c>
      <c r="CJ46">
        <v>70574986</v>
      </c>
      <c r="CK46">
        <v>147768203</v>
      </c>
      <c r="CL46">
        <v>29982132</v>
      </c>
      <c r="CM46">
        <v>27219263</v>
      </c>
      <c r="CN46">
        <v>8538057</v>
      </c>
      <c r="CO46">
        <v>838558118</v>
      </c>
      <c r="CP46">
        <v>69099879</v>
      </c>
      <c r="CQ46">
        <v>4218924715</v>
      </c>
      <c r="CR46">
        <v>16424870</v>
      </c>
      <c r="CS46">
        <v>46332690</v>
      </c>
      <c r="CT46">
        <v>92949777</v>
      </c>
      <c r="CU46">
        <v>286337170</v>
      </c>
      <c r="CV46">
        <v>112664232</v>
      </c>
      <c r="CW46">
        <v>144888988</v>
      </c>
      <c r="CX46">
        <v>39577990</v>
      </c>
      <c r="CY46">
        <v>33997315</v>
      </c>
    </row>
    <row r="47" spans="1:103" x14ac:dyDescent="0.3">
      <c r="A47">
        <v>339</v>
      </c>
      <c r="B47" t="s">
        <v>158</v>
      </c>
      <c r="D47">
        <v>17487372</v>
      </c>
      <c r="E47">
        <v>5359775</v>
      </c>
      <c r="F47">
        <v>1700515</v>
      </c>
      <c r="G47">
        <v>6085342</v>
      </c>
      <c r="H47">
        <v>1922535</v>
      </c>
      <c r="I47">
        <v>3137983</v>
      </c>
      <c r="J47">
        <v>5231954</v>
      </c>
      <c r="K47">
        <v>7839773</v>
      </c>
      <c r="L47">
        <v>10051123</v>
      </c>
      <c r="M47">
        <v>29590532</v>
      </c>
      <c r="N47">
        <v>29624338</v>
      </c>
      <c r="O47">
        <v>7680404</v>
      </c>
      <c r="P47">
        <v>27578799</v>
      </c>
      <c r="Q47">
        <v>15189333</v>
      </c>
      <c r="R47">
        <v>1239479</v>
      </c>
      <c r="S47">
        <v>10956153</v>
      </c>
      <c r="U47">
        <v>31398386</v>
      </c>
      <c r="V47">
        <v>10064941</v>
      </c>
      <c r="X47">
        <v>2923820</v>
      </c>
      <c r="Y47">
        <v>3594899</v>
      </c>
      <c r="Z47">
        <v>22207059</v>
      </c>
      <c r="AA47">
        <v>5048760</v>
      </c>
      <c r="AB47">
        <v>16739259</v>
      </c>
      <c r="AC47">
        <v>17564185</v>
      </c>
      <c r="AD47">
        <v>6117876</v>
      </c>
      <c r="AE47">
        <v>13990076</v>
      </c>
      <c r="AF47">
        <v>7794020</v>
      </c>
      <c r="AG47">
        <v>7607709</v>
      </c>
      <c r="AH47">
        <v>11251469</v>
      </c>
      <c r="AI47">
        <v>40510153</v>
      </c>
      <c r="AJ47">
        <v>7574955</v>
      </c>
      <c r="AK47">
        <v>39069884</v>
      </c>
      <c r="AL47">
        <v>13157793</v>
      </c>
      <c r="AM47">
        <v>40815894</v>
      </c>
      <c r="AN47">
        <v>596286</v>
      </c>
      <c r="AP47">
        <v>2374090</v>
      </c>
      <c r="AQ47">
        <v>3064465</v>
      </c>
      <c r="AR47">
        <v>56373691</v>
      </c>
      <c r="AS47">
        <v>7312490</v>
      </c>
      <c r="AT47">
        <v>53071332</v>
      </c>
      <c r="AU47">
        <v>11640160</v>
      </c>
      <c r="AV47">
        <v>10636039</v>
      </c>
      <c r="AW47">
        <v>1606832</v>
      </c>
      <c r="AX47">
        <v>9176391</v>
      </c>
      <c r="AY47">
        <v>581029</v>
      </c>
      <c r="AZ47">
        <v>28008192</v>
      </c>
      <c r="BA47">
        <v>5930464</v>
      </c>
      <c r="BB47">
        <v>33123388</v>
      </c>
      <c r="BC47">
        <v>2392769</v>
      </c>
      <c r="BD47">
        <v>3749873</v>
      </c>
      <c r="BE47">
        <v>6018466</v>
      </c>
      <c r="BF47">
        <v>11783129</v>
      </c>
      <c r="BG47">
        <v>5919336</v>
      </c>
      <c r="BH47">
        <v>4016793</v>
      </c>
      <c r="BI47">
        <v>3932623</v>
      </c>
      <c r="BJ47">
        <v>6825186</v>
      </c>
      <c r="BK47">
        <v>289898025</v>
      </c>
      <c r="BL47">
        <v>1259632</v>
      </c>
      <c r="BM47">
        <v>4967189</v>
      </c>
      <c r="BN47">
        <v>17176583</v>
      </c>
      <c r="BO47">
        <v>8318179</v>
      </c>
      <c r="BP47">
        <v>27767511</v>
      </c>
      <c r="BQ47">
        <v>4668994</v>
      </c>
      <c r="BR47">
        <v>25961328</v>
      </c>
      <c r="BS47">
        <v>15220028</v>
      </c>
      <c r="BT47">
        <v>1796000</v>
      </c>
      <c r="BU47">
        <v>7688356</v>
      </c>
      <c r="BV47">
        <v>6439141</v>
      </c>
      <c r="BW47">
        <v>1672202</v>
      </c>
      <c r="BX47">
        <v>7214485</v>
      </c>
      <c r="BY47">
        <v>22508216</v>
      </c>
      <c r="BZ47">
        <v>3889907</v>
      </c>
      <c r="CA47">
        <v>17638569</v>
      </c>
      <c r="CB47">
        <v>2668612</v>
      </c>
      <c r="CC47">
        <v>14879249</v>
      </c>
      <c r="CD47">
        <v>23550732</v>
      </c>
      <c r="CE47">
        <v>14721829</v>
      </c>
      <c r="CF47">
        <v>7194496</v>
      </c>
      <c r="CG47">
        <v>10807443</v>
      </c>
      <c r="CH47">
        <v>6261126</v>
      </c>
      <c r="CI47">
        <v>9373467</v>
      </c>
      <c r="CJ47">
        <v>4670318</v>
      </c>
      <c r="CK47">
        <v>11030736</v>
      </c>
      <c r="CL47">
        <v>4375383</v>
      </c>
      <c r="CM47">
        <v>5970611</v>
      </c>
      <c r="CN47">
        <v>498945</v>
      </c>
      <c r="CO47">
        <v>25380255</v>
      </c>
      <c r="CP47">
        <v>5340732</v>
      </c>
      <c r="CQ47">
        <v>89423582</v>
      </c>
      <c r="CR47">
        <v>3115882</v>
      </c>
      <c r="CS47">
        <v>2732182</v>
      </c>
      <c r="CT47">
        <v>5331355</v>
      </c>
      <c r="CU47">
        <v>24481752</v>
      </c>
      <c r="CV47">
        <v>8289818</v>
      </c>
      <c r="CW47">
        <v>13946106</v>
      </c>
      <c r="CX47">
        <v>4448204</v>
      </c>
      <c r="CY47">
        <v>3472740</v>
      </c>
    </row>
    <row r="48" spans="1:103" x14ac:dyDescent="0.3">
      <c r="A48">
        <v>341</v>
      </c>
      <c r="B48" t="s">
        <v>609</v>
      </c>
      <c r="D48">
        <v>171512720</v>
      </c>
      <c r="E48">
        <v>40463517</v>
      </c>
      <c r="F48">
        <v>17788079</v>
      </c>
      <c r="G48">
        <v>25579971</v>
      </c>
      <c r="H48">
        <v>35862488</v>
      </c>
      <c r="I48">
        <v>36062904</v>
      </c>
      <c r="J48">
        <v>60651737</v>
      </c>
      <c r="K48">
        <v>17729798</v>
      </c>
      <c r="L48">
        <v>41840530</v>
      </c>
      <c r="M48">
        <v>224442595</v>
      </c>
      <c r="N48">
        <v>485895299</v>
      </c>
      <c r="O48">
        <v>88969522</v>
      </c>
      <c r="P48">
        <v>331848516</v>
      </c>
      <c r="Q48">
        <v>80460232</v>
      </c>
      <c r="R48">
        <v>18527749</v>
      </c>
      <c r="S48">
        <v>111789427</v>
      </c>
      <c r="U48">
        <v>194064394</v>
      </c>
      <c r="V48">
        <v>150668158</v>
      </c>
      <c r="X48">
        <v>19760289</v>
      </c>
      <c r="Y48">
        <v>16321358</v>
      </c>
      <c r="Z48">
        <v>115283009</v>
      </c>
      <c r="AA48">
        <v>55576128</v>
      </c>
      <c r="AB48">
        <v>96081850</v>
      </c>
      <c r="AC48">
        <v>354777083</v>
      </c>
      <c r="AD48">
        <v>94273714</v>
      </c>
      <c r="AE48">
        <v>145969946</v>
      </c>
      <c r="AF48">
        <v>176405082</v>
      </c>
      <c r="AG48">
        <v>59441561</v>
      </c>
      <c r="AH48">
        <v>58902422</v>
      </c>
      <c r="AI48">
        <v>515598311</v>
      </c>
      <c r="AJ48">
        <v>48692356</v>
      </c>
      <c r="AK48">
        <v>457551891</v>
      </c>
      <c r="AL48">
        <v>90061023</v>
      </c>
      <c r="AM48">
        <v>270252816</v>
      </c>
      <c r="AN48">
        <v>12653571</v>
      </c>
      <c r="AP48">
        <v>67957634</v>
      </c>
      <c r="AQ48">
        <v>19800810</v>
      </c>
      <c r="AR48">
        <v>695865495</v>
      </c>
      <c r="AS48">
        <v>55677360</v>
      </c>
      <c r="AT48">
        <v>155496564</v>
      </c>
      <c r="AU48">
        <v>93580913</v>
      </c>
      <c r="AV48">
        <v>168782362</v>
      </c>
      <c r="AW48">
        <v>22205739</v>
      </c>
      <c r="AX48">
        <v>58084617</v>
      </c>
      <c r="AY48">
        <v>12564168</v>
      </c>
      <c r="AZ48">
        <v>254735737</v>
      </c>
      <c r="BA48">
        <v>72984842</v>
      </c>
      <c r="BB48">
        <v>282456368</v>
      </c>
      <c r="BC48">
        <v>15610913</v>
      </c>
      <c r="BD48">
        <v>83551346</v>
      </c>
      <c r="BE48">
        <v>62986680</v>
      </c>
      <c r="BF48">
        <v>136268034</v>
      </c>
      <c r="BG48">
        <v>63194600</v>
      </c>
      <c r="BH48">
        <v>25977409</v>
      </c>
      <c r="BI48">
        <v>26693649</v>
      </c>
      <c r="BJ48">
        <v>52492318</v>
      </c>
      <c r="BK48">
        <v>1816525876</v>
      </c>
      <c r="BL48">
        <v>21942612</v>
      </c>
      <c r="BM48">
        <v>34919489</v>
      </c>
      <c r="BN48">
        <v>134590262</v>
      </c>
      <c r="BO48">
        <v>90933964</v>
      </c>
      <c r="BP48">
        <v>396360238</v>
      </c>
      <c r="BQ48">
        <v>26863085</v>
      </c>
      <c r="BR48">
        <v>239093511</v>
      </c>
      <c r="BS48">
        <v>287545135</v>
      </c>
      <c r="BT48">
        <v>18930791</v>
      </c>
      <c r="BU48">
        <v>54703784</v>
      </c>
      <c r="BV48">
        <v>104994581</v>
      </c>
      <c r="BW48">
        <v>14632373</v>
      </c>
      <c r="BX48">
        <v>59564752</v>
      </c>
      <c r="BY48">
        <v>181404501</v>
      </c>
      <c r="BZ48">
        <v>29671701</v>
      </c>
      <c r="CA48">
        <v>154902688</v>
      </c>
      <c r="CB48">
        <v>48756456</v>
      </c>
      <c r="CC48">
        <v>119653489</v>
      </c>
      <c r="CD48">
        <v>95267741</v>
      </c>
      <c r="CE48">
        <v>160001530</v>
      </c>
      <c r="CF48">
        <v>77624574</v>
      </c>
      <c r="CG48">
        <v>73626272</v>
      </c>
      <c r="CH48">
        <v>38154373</v>
      </c>
      <c r="CI48">
        <v>68607088</v>
      </c>
      <c r="CJ48">
        <v>53843146</v>
      </c>
      <c r="CK48">
        <v>78614301</v>
      </c>
      <c r="CL48">
        <v>18872215</v>
      </c>
      <c r="CM48">
        <v>67067700</v>
      </c>
      <c r="CN48">
        <v>6361707</v>
      </c>
      <c r="CO48">
        <v>330118497</v>
      </c>
      <c r="CP48">
        <v>44429232</v>
      </c>
      <c r="CQ48">
        <v>1757560497</v>
      </c>
      <c r="CR48">
        <v>30056049</v>
      </c>
      <c r="CS48">
        <v>14172464</v>
      </c>
      <c r="CT48">
        <v>86395174</v>
      </c>
      <c r="CU48">
        <v>112078093</v>
      </c>
      <c r="CV48">
        <v>73894762</v>
      </c>
      <c r="CW48">
        <v>87593263</v>
      </c>
      <c r="CX48">
        <v>37580147</v>
      </c>
      <c r="CY48">
        <v>23857576</v>
      </c>
    </row>
    <row r="49" spans="1:103" x14ac:dyDescent="0.3">
      <c r="A49">
        <v>343</v>
      </c>
      <c r="B49" t="s">
        <v>206</v>
      </c>
      <c r="D49">
        <v>17978458</v>
      </c>
      <c r="E49">
        <v>1018899</v>
      </c>
      <c r="F49">
        <v>858558</v>
      </c>
      <c r="G49">
        <v>923456</v>
      </c>
      <c r="H49">
        <v>1709915</v>
      </c>
      <c r="I49">
        <v>1025414</v>
      </c>
      <c r="J49">
        <v>2320464</v>
      </c>
      <c r="K49">
        <v>1285730</v>
      </c>
      <c r="L49">
        <v>440607</v>
      </c>
      <c r="M49">
        <v>10529212</v>
      </c>
      <c r="N49">
        <v>36633545</v>
      </c>
      <c r="O49">
        <v>5905000</v>
      </c>
      <c r="P49">
        <v>46978593</v>
      </c>
      <c r="Q49">
        <v>6528187</v>
      </c>
      <c r="R49">
        <v>665214</v>
      </c>
      <c r="S49">
        <v>4546518</v>
      </c>
      <c r="U49">
        <v>0</v>
      </c>
      <c r="V49">
        <v>25818229</v>
      </c>
      <c r="X49">
        <v>1645026</v>
      </c>
      <c r="Y49">
        <v>972595</v>
      </c>
      <c r="Z49">
        <v>8414479</v>
      </c>
      <c r="AA49">
        <v>3685909</v>
      </c>
      <c r="AB49">
        <v>5218100</v>
      </c>
      <c r="AC49">
        <v>10323820</v>
      </c>
      <c r="AD49">
        <v>2619835</v>
      </c>
      <c r="AE49">
        <v>34824829</v>
      </c>
      <c r="AF49">
        <v>10464819</v>
      </c>
      <c r="AG49">
        <v>6544885</v>
      </c>
      <c r="AH49">
        <v>2568435</v>
      </c>
      <c r="AI49">
        <v>41299140</v>
      </c>
      <c r="AJ49">
        <v>3939091</v>
      </c>
      <c r="AK49">
        <v>58892124</v>
      </c>
      <c r="AL49">
        <v>7547393</v>
      </c>
      <c r="AM49">
        <v>25280399</v>
      </c>
      <c r="AN49">
        <v>1515930</v>
      </c>
      <c r="AP49">
        <v>8385358</v>
      </c>
      <c r="AQ49">
        <v>563514</v>
      </c>
      <c r="AR49">
        <v>0</v>
      </c>
      <c r="AS49">
        <v>2759145</v>
      </c>
      <c r="AT49">
        <v>16683427</v>
      </c>
      <c r="AU49">
        <v>4689032</v>
      </c>
      <c r="AV49">
        <v>14147445</v>
      </c>
      <c r="AW49">
        <v>1603520</v>
      </c>
      <c r="AX49">
        <v>3870286</v>
      </c>
      <c r="AY49">
        <v>2780312</v>
      </c>
      <c r="AZ49">
        <v>24277387</v>
      </c>
      <c r="BA49">
        <v>4582609</v>
      </c>
      <c r="BB49">
        <v>34102752</v>
      </c>
      <c r="BC49">
        <v>1789753</v>
      </c>
      <c r="BD49">
        <v>17261598</v>
      </c>
      <c r="BE49">
        <v>5303316</v>
      </c>
      <c r="BF49">
        <v>12927561</v>
      </c>
      <c r="BG49">
        <v>3776768</v>
      </c>
      <c r="BH49">
        <v>909667</v>
      </c>
      <c r="BI49">
        <v>117059</v>
      </c>
      <c r="BJ49">
        <v>2677049</v>
      </c>
      <c r="BK49">
        <v>156795297</v>
      </c>
      <c r="BL49">
        <v>226933</v>
      </c>
      <c r="BM49">
        <v>2928524</v>
      </c>
      <c r="BN49">
        <v>17489196</v>
      </c>
      <c r="BO49">
        <v>6043867</v>
      </c>
      <c r="BP49">
        <v>51450897</v>
      </c>
      <c r="BQ49">
        <v>1017227</v>
      </c>
      <c r="BR49">
        <v>32395470</v>
      </c>
      <c r="BS49">
        <v>31869426</v>
      </c>
      <c r="BT49">
        <v>524677</v>
      </c>
      <c r="BU49">
        <v>3378657</v>
      </c>
      <c r="BV49">
        <v>9105723</v>
      </c>
      <c r="BW49">
        <v>1035451</v>
      </c>
      <c r="BX49">
        <v>2868493</v>
      </c>
      <c r="BY49">
        <v>14261959</v>
      </c>
      <c r="BZ49">
        <v>1452439</v>
      </c>
      <c r="CA49">
        <v>14542675</v>
      </c>
      <c r="CB49">
        <v>2722326</v>
      </c>
      <c r="CC49">
        <v>5187441</v>
      </c>
      <c r="CD49">
        <v>7358485</v>
      </c>
      <c r="CE49">
        <v>8738105</v>
      </c>
      <c r="CF49">
        <v>4896101</v>
      </c>
      <c r="CG49">
        <v>5400438</v>
      </c>
      <c r="CH49">
        <v>2893394</v>
      </c>
      <c r="CI49">
        <v>3219720</v>
      </c>
      <c r="CJ49">
        <v>4259809</v>
      </c>
      <c r="CK49">
        <v>9548745</v>
      </c>
      <c r="CL49">
        <v>2825991</v>
      </c>
      <c r="CM49">
        <v>550637</v>
      </c>
      <c r="CN49">
        <v>0</v>
      </c>
      <c r="CO49">
        <v>37926505</v>
      </c>
      <c r="CP49">
        <v>2374779</v>
      </c>
      <c r="CQ49">
        <v>317258115</v>
      </c>
      <c r="CR49">
        <v>1192143</v>
      </c>
      <c r="CS49">
        <v>69422</v>
      </c>
      <c r="CT49">
        <v>6412840</v>
      </c>
      <c r="CU49">
        <v>4544527</v>
      </c>
      <c r="CV49">
        <v>7756516</v>
      </c>
      <c r="CW49">
        <v>2874583</v>
      </c>
      <c r="CX49">
        <v>3932113</v>
      </c>
      <c r="CY49">
        <v>1322443</v>
      </c>
    </row>
    <row r="50" spans="1:103" x14ac:dyDescent="0.3">
      <c r="A50">
        <v>344</v>
      </c>
      <c r="B50" t="s">
        <v>156</v>
      </c>
      <c r="D50">
        <v>5952412</v>
      </c>
      <c r="E50">
        <v>37550</v>
      </c>
      <c r="F50">
        <v>53790</v>
      </c>
      <c r="G50">
        <v>40617</v>
      </c>
      <c r="H50">
        <v>309543</v>
      </c>
      <c r="I50">
        <v>344065</v>
      </c>
      <c r="J50">
        <v>208243</v>
      </c>
      <c r="K50">
        <v>1016838</v>
      </c>
      <c r="L50">
        <v>836110</v>
      </c>
      <c r="M50">
        <v>5257936</v>
      </c>
      <c r="N50">
        <v>9494862</v>
      </c>
      <c r="O50">
        <v>703203</v>
      </c>
      <c r="P50">
        <v>16448929</v>
      </c>
      <c r="Q50">
        <v>708812</v>
      </c>
      <c r="R50">
        <v>125385</v>
      </c>
      <c r="S50">
        <v>693375</v>
      </c>
      <c r="U50">
        <v>3353695</v>
      </c>
      <c r="V50">
        <v>8855068</v>
      </c>
      <c r="X50">
        <v>167500</v>
      </c>
      <c r="Y50">
        <v>231506</v>
      </c>
      <c r="Z50">
        <v>1344909</v>
      </c>
      <c r="AA50">
        <v>1171232</v>
      </c>
      <c r="AB50">
        <v>902565</v>
      </c>
      <c r="AC50">
        <v>2319001</v>
      </c>
      <c r="AD50">
        <v>416360</v>
      </c>
      <c r="AE50">
        <v>2940312</v>
      </c>
      <c r="AF50">
        <v>3221865</v>
      </c>
      <c r="AG50">
        <v>1676756</v>
      </c>
      <c r="AH50">
        <v>2226801</v>
      </c>
      <c r="AI50">
        <v>22396244</v>
      </c>
      <c r="AJ50">
        <v>722094</v>
      </c>
      <c r="AK50">
        <v>12138658</v>
      </c>
      <c r="AL50">
        <v>1405740</v>
      </c>
      <c r="AM50">
        <v>6123814</v>
      </c>
      <c r="AN50">
        <v>180188</v>
      </c>
      <c r="AP50">
        <v>2777295</v>
      </c>
      <c r="AQ50">
        <v>799700</v>
      </c>
      <c r="AR50">
        <v>18437254</v>
      </c>
      <c r="AS50">
        <v>507273</v>
      </c>
      <c r="AT50">
        <v>8037921</v>
      </c>
      <c r="AU50">
        <v>922619</v>
      </c>
      <c r="AV50">
        <v>4898762</v>
      </c>
      <c r="AW50">
        <v>385203</v>
      </c>
      <c r="AX50">
        <v>2047019</v>
      </c>
      <c r="AY50">
        <v>124200</v>
      </c>
      <c r="AZ50">
        <v>4010684</v>
      </c>
      <c r="BA50">
        <v>1085396</v>
      </c>
      <c r="BB50">
        <v>8312652</v>
      </c>
      <c r="BC50">
        <v>197560</v>
      </c>
      <c r="BD50">
        <v>2296608</v>
      </c>
      <c r="BE50">
        <v>1257968</v>
      </c>
      <c r="BF50">
        <v>2258730</v>
      </c>
      <c r="BG50">
        <v>753707</v>
      </c>
      <c r="BH50">
        <v>266533</v>
      </c>
      <c r="BI50">
        <v>764933</v>
      </c>
      <c r="BJ50">
        <v>648730</v>
      </c>
      <c r="BK50">
        <v>73096571</v>
      </c>
      <c r="BL50">
        <v>10722</v>
      </c>
      <c r="BM50">
        <v>1560974</v>
      </c>
      <c r="BN50">
        <v>6505173</v>
      </c>
      <c r="BO50">
        <v>1319862</v>
      </c>
      <c r="BP50">
        <v>7999697</v>
      </c>
      <c r="BQ50">
        <v>374579</v>
      </c>
      <c r="BR50">
        <v>8213520</v>
      </c>
      <c r="BS50">
        <v>8728060</v>
      </c>
      <c r="BT50">
        <v>286593</v>
      </c>
      <c r="BU50">
        <v>718742</v>
      </c>
      <c r="BV50">
        <v>2027946</v>
      </c>
      <c r="BW50">
        <v>129541</v>
      </c>
      <c r="BX50">
        <v>298300</v>
      </c>
      <c r="BY50">
        <v>4215580</v>
      </c>
      <c r="BZ50">
        <v>331036</v>
      </c>
      <c r="CA50">
        <v>3702968</v>
      </c>
      <c r="CB50">
        <v>304501</v>
      </c>
      <c r="CC50">
        <v>315032</v>
      </c>
      <c r="CD50">
        <v>1827448</v>
      </c>
      <c r="CE50">
        <v>1433042</v>
      </c>
      <c r="CF50">
        <v>1025297</v>
      </c>
      <c r="CG50">
        <v>4369788</v>
      </c>
      <c r="CH50">
        <v>1300060</v>
      </c>
      <c r="CI50">
        <v>552984</v>
      </c>
      <c r="CJ50">
        <v>1455594</v>
      </c>
      <c r="CK50">
        <v>2150140</v>
      </c>
      <c r="CL50">
        <v>481417</v>
      </c>
      <c r="CM50">
        <v>42718</v>
      </c>
      <c r="CN50">
        <v>65266</v>
      </c>
      <c r="CO50">
        <v>16330847</v>
      </c>
      <c r="CP50">
        <v>346620</v>
      </c>
      <c r="CQ50">
        <v>82652924</v>
      </c>
      <c r="CR50">
        <v>97668</v>
      </c>
      <c r="CS50">
        <v>97956</v>
      </c>
      <c r="CT50">
        <v>2228798</v>
      </c>
      <c r="CU50">
        <v>2223525</v>
      </c>
      <c r="CV50">
        <v>280107</v>
      </c>
      <c r="CW50">
        <v>391425</v>
      </c>
      <c r="CX50">
        <v>372590</v>
      </c>
      <c r="CY50">
        <v>355274</v>
      </c>
    </row>
    <row r="51" spans="1:103" x14ac:dyDescent="0.3">
      <c r="A51">
        <v>349</v>
      </c>
      <c r="B51" t="s">
        <v>102</v>
      </c>
      <c r="D51">
        <v>0</v>
      </c>
      <c r="E51">
        <v>11404067</v>
      </c>
      <c r="F51">
        <v>0</v>
      </c>
      <c r="G51">
        <v>3690110</v>
      </c>
      <c r="H51">
        <v>0</v>
      </c>
      <c r="I51">
        <v>0</v>
      </c>
      <c r="J51">
        <v>36186144</v>
      </c>
      <c r="K51">
        <v>13910420</v>
      </c>
      <c r="L51">
        <v>20826973</v>
      </c>
      <c r="M51">
        <v>356784870</v>
      </c>
      <c r="N51">
        <v>0</v>
      </c>
      <c r="O51">
        <v>1580560</v>
      </c>
      <c r="P51">
        <v>0</v>
      </c>
      <c r="Q51">
        <v>961347</v>
      </c>
      <c r="R51">
        <v>3723989</v>
      </c>
      <c r="S51">
        <v>2264445</v>
      </c>
      <c r="U51">
        <v>0</v>
      </c>
      <c r="V51">
        <v>11931187</v>
      </c>
      <c r="X51">
        <v>886076</v>
      </c>
      <c r="Y51">
        <v>1141617</v>
      </c>
      <c r="Z51">
        <v>0</v>
      </c>
      <c r="AA51">
        <v>19414815</v>
      </c>
      <c r="AB51">
        <v>13054115</v>
      </c>
      <c r="AC51">
        <v>2447109</v>
      </c>
      <c r="AD51">
        <v>18127042</v>
      </c>
      <c r="AE51">
        <v>44710143</v>
      </c>
      <c r="AF51">
        <v>4523646</v>
      </c>
      <c r="AG51">
        <v>16869580</v>
      </c>
      <c r="AH51">
        <v>14757006</v>
      </c>
      <c r="AI51">
        <v>12550920</v>
      </c>
      <c r="AJ51">
        <v>17935996</v>
      </c>
      <c r="AK51">
        <v>0</v>
      </c>
      <c r="AL51">
        <v>23815868</v>
      </c>
      <c r="AM51">
        <v>0</v>
      </c>
      <c r="AN51">
        <v>1853118</v>
      </c>
      <c r="AP51">
        <v>0</v>
      </c>
      <c r="AQ51">
        <v>16637652</v>
      </c>
      <c r="AR51">
        <v>0</v>
      </c>
      <c r="AS51">
        <v>16765174</v>
      </c>
      <c r="AT51">
        <v>54292571</v>
      </c>
      <c r="AU51">
        <v>0</v>
      </c>
      <c r="AV51">
        <v>2337</v>
      </c>
      <c r="AW51">
        <v>7747767</v>
      </c>
      <c r="AX51">
        <v>24384332</v>
      </c>
      <c r="AY51">
        <v>2988223</v>
      </c>
      <c r="AZ51">
        <v>0</v>
      </c>
      <c r="BA51">
        <v>0</v>
      </c>
      <c r="BB51">
        <v>301054048</v>
      </c>
      <c r="BC51">
        <v>9199145</v>
      </c>
      <c r="BD51">
        <v>326749</v>
      </c>
      <c r="BE51">
        <v>0</v>
      </c>
      <c r="BF51">
        <v>71537291</v>
      </c>
      <c r="BG51">
        <v>0</v>
      </c>
      <c r="BH51">
        <v>0</v>
      </c>
      <c r="BI51">
        <v>13890515</v>
      </c>
      <c r="BJ51">
        <v>37128</v>
      </c>
      <c r="BK51">
        <v>0</v>
      </c>
      <c r="BL51">
        <v>0</v>
      </c>
      <c r="BM51">
        <v>9030080</v>
      </c>
      <c r="BN51">
        <v>59687094</v>
      </c>
      <c r="BO51">
        <v>19063541</v>
      </c>
      <c r="BP51">
        <v>0</v>
      </c>
      <c r="BQ51">
        <v>10333318</v>
      </c>
      <c r="BR51">
        <v>0</v>
      </c>
      <c r="BS51">
        <v>0</v>
      </c>
      <c r="BT51">
        <v>3168094</v>
      </c>
      <c r="BU51">
        <v>10913746</v>
      </c>
      <c r="BV51">
        <v>67154337</v>
      </c>
      <c r="BW51">
        <v>1738064</v>
      </c>
      <c r="BX51">
        <v>0</v>
      </c>
      <c r="BY51">
        <v>0</v>
      </c>
      <c r="BZ51">
        <v>222257</v>
      </c>
      <c r="CA51">
        <v>0</v>
      </c>
      <c r="CB51">
        <v>11180134</v>
      </c>
      <c r="CC51">
        <v>12978952</v>
      </c>
      <c r="CD51">
        <v>856973</v>
      </c>
      <c r="CE51">
        <v>93968</v>
      </c>
      <c r="CF51">
        <v>0</v>
      </c>
      <c r="CG51">
        <v>16047940</v>
      </c>
      <c r="CH51">
        <v>5822832</v>
      </c>
      <c r="CI51">
        <v>15191160</v>
      </c>
      <c r="CJ51">
        <v>8888</v>
      </c>
      <c r="CK51">
        <v>1950724</v>
      </c>
      <c r="CL51">
        <v>0</v>
      </c>
      <c r="CM51">
        <v>0</v>
      </c>
      <c r="CN51">
        <v>5192795</v>
      </c>
      <c r="CO51">
        <v>506914300</v>
      </c>
      <c r="CP51">
        <v>11034718</v>
      </c>
      <c r="CQ51">
        <v>0</v>
      </c>
      <c r="CR51">
        <v>12663066</v>
      </c>
      <c r="CS51">
        <v>4372484</v>
      </c>
      <c r="CT51">
        <v>0</v>
      </c>
      <c r="CU51">
        <v>1745739</v>
      </c>
      <c r="CV51">
        <v>0</v>
      </c>
      <c r="CW51">
        <v>8487324</v>
      </c>
      <c r="CX51">
        <v>3156510</v>
      </c>
      <c r="CY51">
        <v>859505</v>
      </c>
    </row>
    <row r="52" spans="1:103" x14ac:dyDescent="0.3">
      <c r="A52">
        <v>350</v>
      </c>
      <c r="B52" t="s">
        <v>610</v>
      </c>
      <c r="D52">
        <v>0</v>
      </c>
      <c r="E52">
        <v>174081</v>
      </c>
      <c r="F52">
        <v>0</v>
      </c>
      <c r="G52">
        <v>515299</v>
      </c>
      <c r="H52">
        <v>0</v>
      </c>
      <c r="I52">
        <v>0</v>
      </c>
      <c r="J52">
        <v>171276</v>
      </c>
      <c r="K52">
        <v>23737</v>
      </c>
      <c r="L52">
        <v>111364</v>
      </c>
      <c r="M52">
        <v>5018371</v>
      </c>
      <c r="N52">
        <v>0</v>
      </c>
      <c r="O52">
        <v>107285</v>
      </c>
      <c r="P52">
        <v>0</v>
      </c>
      <c r="Q52">
        <v>113728</v>
      </c>
      <c r="R52">
        <v>200505</v>
      </c>
      <c r="S52">
        <v>74453</v>
      </c>
      <c r="U52">
        <v>0</v>
      </c>
      <c r="V52">
        <v>680583</v>
      </c>
      <c r="X52">
        <v>56375</v>
      </c>
      <c r="Y52">
        <v>721</v>
      </c>
      <c r="Z52">
        <v>0</v>
      </c>
      <c r="AA52">
        <v>836179</v>
      </c>
      <c r="AB52">
        <v>125413</v>
      </c>
      <c r="AC52">
        <v>18899</v>
      </c>
      <c r="AD52">
        <v>1258926</v>
      </c>
      <c r="AE52">
        <v>1876592</v>
      </c>
      <c r="AF52">
        <v>104765</v>
      </c>
      <c r="AG52">
        <v>4848558</v>
      </c>
      <c r="AH52">
        <v>589761</v>
      </c>
      <c r="AI52">
        <v>5916633</v>
      </c>
      <c r="AJ52">
        <v>328591</v>
      </c>
      <c r="AK52">
        <v>0</v>
      </c>
      <c r="AL52">
        <v>15750</v>
      </c>
      <c r="AM52">
        <v>0</v>
      </c>
      <c r="AN52">
        <v>8209</v>
      </c>
      <c r="AP52">
        <v>0</v>
      </c>
      <c r="AQ52">
        <v>1642161</v>
      </c>
      <c r="AR52">
        <v>0</v>
      </c>
      <c r="AS52">
        <v>72066</v>
      </c>
      <c r="AT52">
        <v>555432</v>
      </c>
      <c r="AU52">
        <v>0</v>
      </c>
      <c r="AV52">
        <v>19150</v>
      </c>
      <c r="AW52">
        <v>83115</v>
      </c>
      <c r="AX52">
        <v>34400</v>
      </c>
      <c r="AY52">
        <v>15728</v>
      </c>
      <c r="AZ52">
        <v>0</v>
      </c>
      <c r="BA52">
        <v>0</v>
      </c>
      <c r="BB52">
        <v>4511323</v>
      </c>
      <c r="BC52">
        <v>210660</v>
      </c>
      <c r="BD52">
        <v>0</v>
      </c>
      <c r="BE52">
        <v>0</v>
      </c>
      <c r="BF52">
        <v>865608</v>
      </c>
      <c r="BG52">
        <v>0</v>
      </c>
      <c r="BH52">
        <v>0</v>
      </c>
      <c r="BI52">
        <v>90779</v>
      </c>
      <c r="BJ52">
        <v>3751</v>
      </c>
      <c r="BK52">
        <v>0</v>
      </c>
      <c r="BL52">
        <v>0</v>
      </c>
      <c r="BM52">
        <v>202224</v>
      </c>
      <c r="BN52">
        <v>649873</v>
      </c>
      <c r="BO52">
        <v>68424</v>
      </c>
      <c r="BP52">
        <v>0</v>
      </c>
      <c r="BQ52">
        <v>3562</v>
      </c>
      <c r="BR52">
        <v>0</v>
      </c>
      <c r="BS52">
        <v>0</v>
      </c>
      <c r="BT52">
        <v>85066</v>
      </c>
      <c r="BU52">
        <v>389881</v>
      </c>
      <c r="BV52">
        <v>768207</v>
      </c>
      <c r="BW52">
        <v>27434</v>
      </c>
      <c r="BX52">
        <v>0</v>
      </c>
      <c r="BY52">
        <v>0</v>
      </c>
      <c r="BZ52">
        <v>0</v>
      </c>
      <c r="CA52">
        <v>0</v>
      </c>
      <c r="CB52">
        <v>126186</v>
      </c>
      <c r="CC52">
        <v>139987</v>
      </c>
      <c r="CD52">
        <v>44394</v>
      </c>
      <c r="CE52">
        <v>49402</v>
      </c>
      <c r="CF52">
        <v>0</v>
      </c>
      <c r="CG52">
        <v>49895</v>
      </c>
      <c r="CH52">
        <v>27404</v>
      </c>
      <c r="CI52">
        <v>355760</v>
      </c>
      <c r="CJ52">
        <v>17535</v>
      </c>
      <c r="CK52">
        <v>27026</v>
      </c>
      <c r="CL52">
        <v>0</v>
      </c>
      <c r="CM52">
        <v>0</v>
      </c>
      <c r="CN52">
        <v>23456</v>
      </c>
      <c r="CO52">
        <v>7035420</v>
      </c>
      <c r="CP52">
        <v>39660</v>
      </c>
      <c r="CQ52">
        <v>0</v>
      </c>
      <c r="CR52">
        <v>353749</v>
      </c>
      <c r="CS52">
        <v>10615</v>
      </c>
      <c r="CT52">
        <v>0</v>
      </c>
      <c r="CU52">
        <v>19556</v>
      </c>
      <c r="CV52">
        <v>0</v>
      </c>
      <c r="CW52">
        <v>263722</v>
      </c>
      <c r="CX52">
        <v>0</v>
      </c>
      <c r="CY52">
        <v>0</v>
      </c>
    </row>
    <row r="53" spans="1:103" x14ac:dyDescent="0.3">
      <c r="A53">
        <v>351</v>
      </c>
      <c r="B53" t="s">
        <v>196</v>
      </c>
      <c r="D53">
        <v>0</v>
      </c>
      <c r="E53">
        <v>104205</v>
      </c>
      <c r="F53">
        <v>0</v>
      </c>
      <c r="G53">
        <v>0</v>
      </c>
      <c r="H53">
        <v>0</v>
      </c>
      <c r="I53">
        <v>0</v>
      </c>
      <c r="J53">
        <v>721029</v>
      </c>
      <c r="K53">
        <v>373003</v>
      </c>
      <c r="L53">
        <v>511851</v>
      </c>
      <c r="M53">
        <v>10671150</v>
      </c>
      <c r="N53">
        <v>0</v>
      </c>
      <c r="O53">
        <v>82286</v>
      </c>
      <c r="P53">
        <v>0</v>
      </c>
      <c r="Q53">
        <v>1</v>
      </c>
      <c r="R53">
        <v>203475</v>
      </c>
      <c r="S53">
        <v>38189</v>
      </c>
      <c r="U53">
        <v>0</v>
      </c>
      <c r="V53">
        <v>421639</v>
      </c>
      <c r="X53">
        <v>0</v>
      </c>
      <c r="Y53">
        <v>15421</v>
      </c>
      <c r="Z53">
        <v>0</v>
      </c>
      <c r="AA53">
        <v>651131</v>
      </c>
      <c r="AB53">
        <v>6037</v>
      </c>
      <c r="AC53">
        <v>66997</v>
      </c>
      <c r="AD53">
        <v>369470</v>
      </c>
      <c r="AE53">
        <v>1360116</v>
      </c>
      <c r="AF53">
        <v>219525</v>
      </c>
      <c r="AG53">
        <v>261663</v>
      </c>
      <c r="AH53">
        <v>562218</v>
      </c>
      <c r="AI53">
        <v>232088</v>
      </c>
      <c r="AJ53">
        <v>481274</v>
      </c>
      <c r="AK53">
        <v>0</v>
      </c>
      <c r="AL53">
        <v>160892</v>
      </c>
      <c r="AM53">
        <v>0</v>
      </c>
      <c r="AN53">
        <v>0</v>
      </c>
      <c r="AP53">
        <v>0</v>
      </c>
      <c r="AQ53">
        <v>478033</v>
      </c>
      <c r="AR53">
        <v>0</v>
      </c>
      <c r="AS53">
        <v>399382</v>
      </c>
      <c r="AT53">
        <v>1203973</v>
      </c>
      <c r="AU53">
        <v>0</v>
      </c>
      <c r="AV53">
        <v>0</v>
      </c>
      <c r="AW53">
        <v>142527</v>
      </c>
      <c r="AX53">
        <v>799789</v>
      </c>
      <c r="AY53">
        <v>72413</v>
      </c>
      <c r="AZ53">
        <v>0</v>
      </c>
      <c r="BA53">
        <v>0</v>
      </c>
      <c r="BB53">
        <v>5056329</v>
      </c>
      <c r="BC53">
        <v>150252</v>
      </c>
      <c r="BD53">
        <v>326749</v>
      </c>
      <c r="BE53">
        <v>0</v>
      </c>
      <c r="BF53">
        <v>1556898</v>
      </c>
      <c r="BG53">
        <v>0</v>
      </c>
      <c r="BH53">
        <v>0</v>
      </c>
      <c r="BI53">
        <v>456267</v>
      </c>
      <c r="BJ53">
        <v>0</v>
      </c>
      <c r="BK53">
        <v>0</v>
      </c>
      <c r="BL53">
        <v>0</v>
      </c>
      <c r="BM53">
        <v>172977</v>
      </c>
      <c r="BN53">
        <v>1329426</v>
      </c>
      <c r="BO53">
        <v>337024</v>
      </c>
      <c r="BP53">
        <v>0</v>
      </c>
      <c r="BQ53">
        <v>163860</v>
      </c>
      <c r="BR53">
        <v>0</v>
      </c>
      <c r="BS53">
        <v>0</v>
      </c>
      <c r="BT53">
        <v>2169</v>
      </c>
      <c r="BU53">
        <v>239008</v>
      </c>
      <c r="BV53">
        <v>2154055</v>
      </c>
      <c r="BW53">
        <v>15589</v>
      </c>
      <c r="BX53">
        <v>0</v>
      </c>
      <c r="BY53">
        <v>0</v>
      </c>
      <c r="BZ53">
        <v>0</v>
      </c>
      <c r="CA53">
        <v>0</v>
      </c>
      <c r="CB53">
        <v>214156</v>
      </c>
      <c r="CC53">
        <v>123424</v>
      </c>
      <c r="CD53">
        <v>2035923</v>
      </c>
      <c r="CE53">
        <v>0</v>
      </c>
      <c r="CF53">
        <v>0</v>
      </c>
      <c r="CG53">
        <v>421274</v>
      </c>
      <c r="CH53">
        <v>193631</v>
      </c>
      <c r="CI53">
        <v>97219</v>
      </c>
      <c r="CJ53">
        <v>0</v>
      </c>
      <c r="CK53">
        <v>75814</v>
      </c>
      <c r="CL53">
        <v>0</v>
      </c>
      <c r="CM53">
        <v>0</v>
      </c>
      <c r="CN53">
        <v>120797</v>
      </c>
      <c r="CO53">
        <v>15082866</v>
      </c>
      <c r="CP53">
        <v>321585</v>
      </c>
      <c r="CQ53">
        <v>0</v>
      </c>
      <c r="CR53">
        <v>431634</v>
      </c>
      <c r="CS53">
        <v>85093</v>
      </c>
      <c r="CT53">
        <v>0</v>
      </c>
      <c r="CU53">
        <v>57331</v>
      </c>
      <c r="CV53">
        <v>0</v>
      </c>
      <c r="CW53">
        <v>263290</v>
      </c>
      <c r="CX53">
        <v>0</v>
      </c>
      <c r="CY53">
        <v>0</v>
      </c>
    </row>
    <row r="54" spans="1:103" x14ac:dyDescent="0.3">
      <c r="A54">
        <v>352</v>
      </c>
      <c r="B54" t="s">
        <v>198</v>
      </c>
      <c r="D54">
        <v>0</v>
      </c>
      <c r="E54">
        <v>808309</v>
      </c>
      <c r="F54">
        <v>0</v>
      </c>
      <c r="G54">
        <v>957403</v>
      </c>
      <c r="H54">
        <v>0</v>
      </c>
      <c r="I54">
        <v>0</v>
      </c>
      <c r="J54">
        <v>0</v>
      </c>
      <c r="K54">
        <v>0</v>
      </c>
      <c r="L54">
        <v>0</v>
      </c>
      <c r="M54">
        <v>6873012</v>
      </c>
      <c r="N54">
        <v>0</v>
      </c>
      <c r="O54">
        <v>250000</v>
      </c>
      <c r="P54">
        <v>0</v>
      </c>
      <c r="Q54">
        <v>114710</v>
      </c>
      <c r="R54">
        <v>0</v>
      </c>
      <c r="S54">
        <v>0</v>
      </c>
      <c r="U54">
        <v>0</v>
      </c>
      <c r="V54">
        <v>0</v>
      </c>
      <c r="X54">
        <v>0</v>
      </c>
      <c r="Y54">
        <v>0</v>
      </c>
      <c r="Z54">
        <v>0</v>
      </c>
      <c r="AA54">
        <v>0</v>
      </c>
      <c r="AB54">
        <v>4699332</v>
      </c>
      <c r="AC54">
        <v>807775</v>
      </c>
      <c r="AD54">
        <v>6230097</v>
      </c>
      <c r="AE54">
        <v>0</v>
      </c>
      <c r="AF54">
        <v>884525</v>
      </c>
      <c r="AG54">
        <v>104085</v>
      </c>
      <c r="AH54">
        <v>6964</v>
      </c>
      <c r="AI54">
        <v>0</v>
      </c>
      <c r="AJ54">
        <v>5686</v>
      </c>
      <c r="AK54">
        <v>0</v>
      </c>
      <c r="AL54">
        <v>0</v>
      </c>
      <c r="AM54">
        <v>0</v>
      </c>
      <c r="AN54">
        <v>0</v>
      </c>
      <c r="AP54">
        <v>0</v>
      </c>
      <c r="AQ54">
        <v>0</v>
      </c>
      <c r="AR54">
        <v>0</v>
      </c>
      <c r="AS54">
        <v>0</v>
      </c>
      <c r="AT54">
        <v>0</v>
      </c>
      <c r="AU54">
        <v>0</v>
      </c>
      <c r="AV54">
        <v>0</v>
      </c>
      <c r="AW54">
        <v>0</v>
      </c>
      <c r="AX54">
        <v>0</v>
      </c>
      <c r="AY54">
        <v>0</v>
      </c>
      <c r="AZ54">
        <v>0</v>
      </c>
      <c r="BA54">
        <v>0</v>
      </c>
      <c r="BB54">
        <v>11806138</v>
      </c>
      <c r="BC54">
        <v>0</v>
      </c>
      <c r="BD54">
        <v>0</v>
      </c>
      <c r="BE54">
        <v>0</v>
      </c>
      <c r="BF54">
        <v>0</v>
      </c>
      <c r="BG54">
        <v>0</v>
      </c>
      <c r="BH54">
        <v>0</v>
      </c>
      <c r="BI54">
        <v>0</v>
      </c>
      <c r="BJ54">
        <v>0</v>
      </c>
      <c r="BK54">
        <v>0</v>
      </c>
      <c r="BL54">
        <v>0</v>
      </c>
      <c r="BM54">
        <v>0</v>
      </c>
      <c r="BN54">
        <v>242700</v>
      </c>
      <c r="BO54">
        <v>0</v>
      </c>
      <c r="BP54">
        <v>0</v>
      </c>
      <c r="BQ54">
        <v>0</v>
      </c>
      <c r="BR54">
        <v>0</v>
      </c>
      <c r="BS54">
        <v>0</v>
      </c>
      <c r="BT54">
        <v>0</v>
      </c>
      <c r="BU54">
        <v>2438780</v>
      </c>
      <c r="BV54">
        <v>953754</v>
      </c>
      <c r="BW54">
        <v>0</v>
      </c>
      <c r="BX54">
        <v>0</v>
      </c>
      <c r="BY54">
        <v>0</v>
      </c>
      <c r="BZ54">
        <v>90000</v>
      </c>
      <c r="CA54">
        <v>0</v>
      </c>
      <c r="CB54">
        <v>0</v>
      </c>
      <c r="CC54">
        <v>0</v>
      </c>
      <c r="CD54">
        <v>7226460</v>
      </c>
      <c r="CE54">
        <v>0</v>
      </c>
      <c r="CF54">
        <v>0</v>
      </c>
      <c r="CG54">
        <v>0</v>
      </c>
      <c r="CH54">
        <v>1113731</v>
      </c>
      <c r="CI54">
        <v>262096</v>
      </c>
      <c r="CJ54">
        <v>270080</v>
      </c>
      <c r="CK54">
        <v>0</v>
      </c>
      <c r="CL54">
        <v>0</v>
      </c>
      <c r="CM54">
        <v>0</v>
      </c>
      <c r="CN54">
        <v>0</v>
      </c>
      <c r="CO54">
        <v>0</v>
      </c>
      <c r="CP54">
        <v>0</v>
      </c>
      <c r="CQ54">
        <v>0</v>
      </c>
      <c r="CR54">
        <v>165000</v>
      </c>
      <c r="CS54">
        <v>0</v>
      </c>
      <c r="CT54">
        <v>0</v>
      </c>
      <c r="CU54">
        <v>206912</v>
      </c>
      <c r="CV54">
        <v>0</v>
      </c>
      <c r="CW54">
        <v>0</v>
      </c>
      <c r="CX54">
        <v>6320</v>
      </c>
      <c r="CY54">
        <v>50000</v>
      </c>
    </row>
    <row r="55" spans="1:103" x14ac:dyDescent="0.3">
      <c r="A55">
        <v>353</v>
      </c>
      <c r="B55" t="s">
        <v>199</v>
      </c>
      <c r="D55">
        <v>0</v>
      </c>
      <c r="E55">
        <v>994919</v>
      </c>
      <c r="F55">
        <v>0</v>
      </c>
      <c r="G55">
        <v>0</v>
      </c>
      <c r="H55">
        <v>0</v>
      </c>
      <c r="I55">
        <v>0</v>
      </c>
      <c r="J55">
        <v>30000</v>
      </c>
      <c r="K55">
        <v>0</v>
      </c>
      <c r="L55">
        <v>0</v>
      </c>
      <c r="M55">
        <v>0</v>
      </c>
      <c r="N55">
        <v>0</v>
      </c>
      <c r="O55">
        <v>167660</v>
      </c>
      <c r="P55">
        <v>0</v>
      </c>
      <c r="Q55">
        <v>1000000</v>
      </c>
      <c r="R55">
        <v>0</v>
      </c>
      <c r="S55">
        <v>0</v>
      </c>
      <c r="U55">
        <v>0</v>
      </c>
      <c r="V55">
        <v>0</v>
      </c>
      <c r="X55">
        <v>0</v>
      </c>
      <c r="Y55">
        <v>0</v>
      </c>
      <c r="Z55">
        <v>0</v>
      </c>
      <c r="AA55">
        <v>680527</v>
      </c>
      <c r="AB55">
        <v>175037</v>
      </c>
      <c r="AC55">
        <v>0</v>
      </c>
      <c r="AD55">
        <v>2536255</v>
      </c>
      <c r="AE55">
        <v>0</v>
      </c>
      <c r="AF55">
        <v>0</v>
      </c>
      <c r="AG55">
        <v>0</v>
      </c>
      <c r="AH55">
        <v>0</v>
      </c>
      <c r="AI55">
        <v>0</v>
      </c>
      <c r="AJ55">
        <v>0</v>
      </c>
      <c r="AK55">
        <v>0</v>
      </c>
      <c r="AL55">
        <v>160905</v>
      </c>
      <c r="AM55">
        <v>0</v>
      </c>
      <c r="AN55">
        <v>0</v>
      </c>
      <c r="AP55">
        <v>0</v>
      </c>
      <c r="AQ55">
        <v>0</v>
      </c>
      <c r="AR55">
        <v>0</v>
      </c>
      <c r="AS55">
        <v>0</v>
      </c>
      <c r="AT55">
        <v>0</v>
      </c>
      <c r="AU55">
        <v>0</v>
      </c>
      <c r="AV55">
        <v>0</v>
      </c>
      <c r="AW55">
        <v>0</v>
      </c>
      <c r="AX55">
        <v>0</v>
      </c>
      <c r="AY55">
        <v>0</v>
      </c>
      <c r="AZ55">
        <v>0</v>
      </c>
      <c r="BA55">
        <v>0</v>
      </c>
      <c r="BB55">
        <v>10961320</v>
      </c>
      <c r="BC55">
        <v>85422</v>
      </c>
      <c r="BD55">
        <v>0</v>
      </c>
      <c r="BE55">
        <v>0</v>
      </c>
      <c r="BF55">
        <v>0</v>
      </c>
      <c r="BG55">
        <v>0</v>
      </c>
      <c r="BH55">
        <v>0</v>
      </c>
      <c r="BI55">
        <v>0</v>
      </c>
      <c r="BJ55">
        <v>0</v>
      </c>
      <c r="BK55">
        <v>0</v>
      </c>
      <c r="BL55">
        <v>0</v>
      </c>
      <c r="BM55">
        <v>0</v>
      </c>
      <c r="BN55">
        <v>96130</v>
      </c>
      <c r="BO55">
        <v>0</v>
      </c>
      <c r="BP55">
        <v>0</v>
      </c>
      <c r="BQ55">
        <v>0</v>
      </c>
      <c r="BR55">
        <v>0</v>
      </c>
      <c r="BS55">
        <v>0</v>
      </c>
      <c r="BT55">
        <v>150000</v>
      </c>
      <c r="BU55">
        <v>0</v>
      </c>
      <c r="BV55">
        <v>995882</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73511</v>
      </c>
      <c r="CS55">
        <v>0</v>
      </c>
      <c r="CT55">
        <v>0</v>
      </c>
      <c r="CU55">
        <v>0</v>
      </c>
      <c r="CV55">
        <v>0</v>
      </c>
      <c r="CW55">
        <v>0</v>
      </c>
      <c r="CX55">
        <v>0</v>
      </c>
      <c r="CY55">
        <v>0</v>
      </c>
    </row>
    <row r="56" spans="1:103" x14ac:dyDescent="0.3">
      <c r="A56">
        <v>368</v>
      </c>
      <c r="B56" t="s">
        <v>168</v>
      </c>
      <c r="D56">
        <v>0</v>
      </c>
      <c r="E56">
        <v>0</v>
      </c>
      <c r="F56">
        <v>0</v>
      </c>
      <c r="G56">
        <v>0</v>
      </c>
      <c r="H56">
        <v>0</v>
      </c>
      <c r="I56">
        <v>0</v>
      </c>
      <c r="J56">
        <v>0</v>
      </c>
      <c r="K56">
        <v>0</v>
      </c>
      <c r="L56">
        <v>0</v>
      </c>
      <c r="M56">
        <v>0</v>
      </c>
      <c r="N56">
        <v>34019</v>
      </c>
      <c r="O56">
        <v>0</v>
      </c>
      <c r="P56">
        <v>0</v>
      </c>
      <c r="Q56">
        <v>0</v>
      </c>
      <c r="R56">
        <v>0</v>
      </c>
      <c r="S56">
        <v>0</v>
      </c>
      <c r="U56">
        <v>0</v>
      </c>
      <c r="V56">
        <v>1015691</v>
      </c>
      <c r="X56">
        <v>0</v>
      </c>
      <c r="Y56">
        <v>0</v>
      </c>
      <c r="Z56">
        <v>0</v>
      </c>
      <c r="AA56">
        <v>0</v>
      </c>
      <c r="AB56">
        <v>135183</v>
      </c>
      <c r="AC56">
        <v>0</v>
      </c>
      <c r="AD56">
        <v>0</v>
      </c>
      <c r="AE56">
        <v>0</v>
      </c>
      <c r="AF56">
        <v>0</v>
      </c>
      <c r="AG56">
        <v>0</v>
      </c>
      <c r="AH56">
        <v>0</v>
      </c>
      <c r="AI56">
        <v>0</v>
      </c>
      <c r="AJ56">
        <v>0</v>
      </c>
      <c r="AK56">
        <v>0</v>
      </c>
      <c r="AL56">
        <v>1151593</v>
      </c>
      <c r="AM56">
        <v>0</v>
      </c>
      <c r="AN56">
        <v>0</v>
      </c>
      <c r="AP56">
        <v>0</v>
      </c>
      <c r="AQ56">
        <v>0</v>
      </c>
      <c r="AR56">
        <v>0</v>
      </c>
      <c r="AS56">
        <v>0</v>
      </c>
      <c r="AT56">
        <v>0</v>
      </c>
      <c r="AU56">
        <v>0</v>
      </c>
      <c r="AV56">
        <v>0</v>
      </c>
      <c r="AW56">
        <v>25000</v>
      </c>
      <c r="AX56">
        <v>15954</v>
      </c>
      <c r="AY56">
        <v>0</v>
      </c>
      <c r="AZ56">
        <v>115976</v>
      </c>
      <c r="BA56">
        <v>0</v>
      </c>
      <c r="BB56">
        <v>705006</v>
      </c>
      <c r="BC56">
        <v>0</v>
      </c>
      <c r="BD56">
        <v>0</v>
      </c>
      <c r="BE56">
        <v>0</v>
      </c>
      <c r="BF56">
        <v>0</v>
      </c>
      <c r="BG56">
        <v>764764</v>
      </c>
      <c r="BH56">
        <v>0</v>
      </c>
      <c r="BI56">
        <v>0</v>
      </c>
      <c r="BJ56">
        <v>0</v>
      </c>
      <c r="BK56">
        <v>0</v>
      </c>
      <c r="BL56">
        <v>0</v>
      </c>
      <c r="BM56">
        <v>0</v>
      </c>
      <c r="BN56">
        <v>0</v>
      </c>
      <c r="BO56">
        <v>0</v>
      </c>
      <c r="BP56">
        <v>0</v>
      </c>
      <c r="BQ56">
        <v>273000</v>
      </c>
      <c r="BR56">
        <v>0</v>
      </c>
      <c r="BS56">
        <v>0</v>
      </c>
      <c r="BT56">
        <v>0</v>
      </c>
      <c r="BU56">
        <v>0</v>
      </c>
      <c r="BV56">
        <v>0</v>
      </c>
      <c r="BW56">
        <v>0</v>
      </c>
      <c r="BX56">
        <v>0</v>
      </c>
      <c r="BY56">
        <v>0</v>
      </c>
      <c r="BZ56">
        <v>0</v>
      </c>
      <c r="CA56">
        <v>791233</v>
      </c>
      <c r="CB56">
        <v>0</v>
      </c>
      <c r="CC56">
        <v>0</v>
      </c>
      <c r="CD56">
        <v>0</v>
      </c>
      <c r="CE56">
        <v>0</v>
      </c>
      <c r="CF56">
        <v>0</v>
      </c>
      <c r="CG56">
        <v>0</v>
      </c>
      <c r="CH56">
        <v>53900</v>
      </c>
      <c r="CI56">
        <v>0</v>
      </c>
      <c r="CJ56">
        <v>53847</v>
      </c>
      <c r="CK56">
        <v>445157</v>
      </c>
      <c r="CL56">
        <v>0</v>
      </c>
      <c r="CM56">
        <v>0</v>
      </c>
      <c r="CN56">
        <v>0</v>
      </c>
      <c r="CO56">
        <v>562998</v>
      </c>
      <c r="CP56">
        <v>0</v>
      </c>
      <c r="CQ56">
        <v>0</v>
      </c>
      <c r="CR56">
        <v>34296</v>
      </c>
      <c r="CS56">
        <v>120680</v>
      </c>
      <c r="CT56">
        <v>515748</v>
      </c>
      <c r="CU56">
        <v>0</v>
      </c>
      <c r="CV56">
        <v>0</v>
      </c>
      <c r="CW56">
        <v>45931</v>
      </c>
      <c r="CX56">
        <v>0</v>
      </c>
      <c r="CY56">
        <v>601851</v>
      </c>
    </row>
    <row r="57" spans="1:103" x14ac:dyDescent="0.3">
      <c r="A57">
        <v>369</v>
      </c>
      <c r="B57" t="s">
        <v>172</v>
      </c>
      <c r="D57">
        <v>27244072</v>
      </c>
      <c r="E57">
        <v>5998024</v>
      </c>
      <c r="F57">
        <v>2714534</v>
      </c>
      <c r="G57">
        <v>5854318</v>
      </c>
      <c r="H57">
        <v>6218443</v>
      </c>
      <c r="I57">
        <v>3641967</v>
      </c>
      <c r="J57">
        <v>12142340</v>
      </c>
      <c r="K57">
        <v>7897528</v>
      </c>
      <c r="L57">
        <v>8301113</v>
      </c>
      <c r="M57">
        <v>26292610</v>
      </c>
      <c r="N57">
        <v>50774379</v>
      </c>
      <c r="O57">
        <v>20240084</v>
      </c>
      <c r="P57">
        <v>33362860</v>
      </c>
      <c r="Q57">
        <v>0</v>
      </c>
      <c r="R57">
        <v>1759217</v>
      </c>
      <c r="S57">
        <v>19450568</v>
      </c>
      <c r="U57">
        <v>40637043</v>
      </c>
      <c r="V57">
        <v>16113797</v>
      </c>
      <c r="X57">
        <v>2884370</v>
      </c>
      <c r="Y57">
        <v>6660437</v>
      </c>
      <c r="Z57">
        <v>26529213</v>
      </c>
      <c r="AA57">
        <v>22261016</v>
      </c>
      <c r="AB57">
        <v>32307134</v>
      </c>
      <c r="AC57">
        <v>74439884</v>
      </c>
      <c r="AD57">
        <v>3339476</v>
      </c>
      <c r="AE57">
        <v>9795159</v>
      </c>
      <c r="AF57">
        <v>24700200</v>
      </c>
      <c r="AG57">
        <v>11177079</v>
      </c>
      <c r="AH57">
        <v>11588242</v>
      </c>
      <c r="AI57">
        <v>71395486</v>
      </c>
      <c r="AJ57">
        <v>12966201</v>
      </c>
      <c r="AK57">
        <v>54799595</v>
      </c>
      <c r="AL57">
        <v>15644977</v>
      </c>
      <c r="AM57">
        <v>122315851</v>
      </c>
      <c r="AN57">
        <v>2299377</v>
      </c>
      <c r="AP57">
        <v>10000294</v>
      </c>
      <c r="AQ57">
        <v>3941989</v>
      </c>
      <c r="AR57">
        <v>96044822</v>
      </c>
      <c r="AS57">
        <v>15772812</v>
      </c>
      <c r="AT57">
        <v>24990747</v>
      </c>
      <c r="AU57">
        <v>15415310</v>
      </c>
      <c r="AV57">
        <v>20646791</v>
      </c>
      <c r="AW57">
        <v>4255771</v>
      </c>
      <c r="AX57">
        <v>10901040</v>
      </c>
      <c r="AY57">
        <v>2940721</v>
      </c>
      <c r="AZ57">
        <v>20519015</v>
      </c>
      <c r="BA57">
        <v>9061780</v>
      </c>
      <c r="BB57">
        <v>30772087</v>
      </c>
      <c r="BC57">
        <v>4022657</v>
      </c>
      <c r="BD57">
        <v>9868802</v>
      </c>
      <c r="BE57">
        <v>14179642</v>
      </c>
      <c r="BF57">
        <v>13525666</v>
      </c>
      <c r="BG57">
        <v>9698417</v>
      </c>
      <c r="BH57">
        <v>9015757</v>
      </c>
      <c r="BI57">
        <v>6838437</v>
      </c>
      <c r="BJ57">
        <v>8552689</v>
      </c>
      <c r="BK57">
        <v>156740577</v>
      </c>
      <c r="BL57">
        <v>3581260</v>
      </c>
      <c r="BM57">
        <v>5746719</v>
      </c>
      <c r="BN57">
        <v>16679347</v>
      </c>
      <c r="BO57">
        <v>18720367</v>
      </c>
      <c r="BP57">
        <v>42543825</v>
      </c>
      <c r="BQ57">
        <v>8121510</v>
      </c>
      <c r="BR57">
        <v>34269980</v>
      </c>
      <c r="BS57">
        <v>19363115</v>
      </c>
      <c r="BT57">
        <v>5224997</v>
      </c>
      <c r="BU57">
        <v>7332171</v>
      </c>
      <c r="BV57">
        <v>29887066</v>
      </c>
      <c r="BW57">
        <v>2430811</v>
      </c>
      <c r="BX57">
        <v>10379183</v>
      </c>
      <c r="BY57">
        <v>27178708</v>
      </c>
      <c r="BZ57">
        <v>4559230</v>
      </c>
      <c r="CA57">
        <v>19914128</v>
      </c>
      <c r="CB57">
        <v>13116135</v>
      </c>
      <c r="CC57">
        <v>34659737</v>
      </c>
      <c r="CD57">
        <v>16496507</v>
      </c>
      <c r="CE57">
        <v>24504934</v>
      </c>
      <c r="CF57">
        <v>10499236</v>
      </c>
      <c r="CG57">
        <v>15202258</v>
      </c>
      <c r="CH57">
        <v>9886774</v>
      </c>
      <c r="CI57">
        <v>11243659</v>
      </c>
      <c r="CJ57">
        <v>11149234</v>
      </c>
      <c r="CK57">
        <v>13390140</v>
      </c>
      <c r="CL57">
        <v>7588164</v>
      </c>
      <c r="CM57">
        <v>6951159</v>
      </c>
      <c r="CN57">
        <v>1716520</v>
      </c>
      <c r="CO57">
        <v>41585147</v>
      </c>
      <c r="CP57">
        <v>8689671</v>
      </c>
      <c r="CQ57">
        <v>88231409</v>
      </c>
      <c r="CR57">
        <v>5607899</v>
      </c>
      <c r="CS57">
        <v>3539692</v>
      </c>
      <c r="CT57">
        <v>10907254</v>
      </c>
      <c r="CU57">
        <v>21450663</v>
      </c>
      <c r="CV57">
        <v>15211324</v>
      </c>
      <c r="CW57">
        <v>19109825</v>
      </c>
      <c r="CX57">
        <v>6571349</v>
      </c>
      <c r="CY57">
        <v>4851341</v>
      </c>
    </row>
    <row r="58" spans="1:103" x14ac:dyDescent="0.3">
      <c r="A58">
        <v>370</v>
      </c>
      <c r="B58" t="s">
        <v>174</v>
      </c>
      <c r="D58">
        <v>22569269</v>
      </c>
      <c r="E58">
        <v>1054362</v>
      </c>
      <c r="F58">
        <v>925082</v>
      </c>
      <c r="G58">
        <v>864603</v>
      </c>
      <c r="H58">
        <v>1270508</v>
      </c>
      <c r="I58">
        <v>1378741</v>
      </c>
      <c r="J58">
        <v>2332343</v>
      </c>
      <c r="K58">
        <v>2459173</v>
      </c>
      <c r="L58">
        <v>1161710</v>
      </c>
      <c r="M58">
        <v>14268953</v>
      </c>
      <c r="N58">
        <v>21663083</v>
      </c>
      <c r="O58">
        <v>7585752</v>
      </c>
      <c r="P58">
        <v>61910763</v>
      </c>
      <c r="Q58">
        <v>4440217</v>
      </c>
      <c r="R58">
        <v>593642</v>
      </c>
      <c r="S58">
        <v>4890999</v>
      </c>
      <c r="U58">
        <v>18879070</v>
      </c>
      <c r="V58">
        <v>25818229</v>
      </c>
      <c r="X58">
        <v>0</v>
      </c>
      <c r="Y58">
        <v>1197999</v>
      </c>
      <c r="Z58">
        <v>1271103</v>
      </c>
      <c r="AA58">
        <v>654532</v>
      </c>
      <c r="AB58">
        <v>2851357</v>
      </c>
      <c r="AC58">
        <v>12135122</v>
      </c>
      <c r="AD58">
        <v>3028922</v>
      </c>
      <c r="AE58">
        <v>15576011</v>
      </c>
      <c r="AF58">
        <v>13689275</v>
      </c>
      <c r="AG58">
        <v>8725766</v>
      </c>
      <c r="AH58">
        <v>112688</v>
      </c>
      <c r="AI58">
        <v>12232766</v>
      </c>
      <c r="AJ58">
        <v>4717179</v>
      </c>
      <c r="AK58">
        <v>0</v>
      </c>
      <c r="AL58">
        <v>9226575</v>
      </c>
      <c r="AM58">
        <v>1042873</v>
      </c>
      <c r="AN58">
        <v>1710012</v>
      </c>
      <c r="AP58">
        <v>10608082</v>
      </c>
      <c r="AQ58">
        <v>674739</v>
      </c>
      <c r="AR58">
        <v>101055763</v>
      </c>
      <c r="AS58">
        <v>3271932</v>
      </c>
      <c r="AT58">
        <v>23756271</v>
      </c>
      <c r="AU58">
        <v>2008930</v>
      </c>
      <c r="AV58">
        <v>20216979</v>
      </c>
      <c r="AW58">
        <v>1834210</v>
      </c>
      <c r="AX58">
        <v>5503769</v>
      </c>
      <c r="AY58">
        <v>2907423</v>
      </c>
      <c r="AZ58">
        <v>30424094</v>
      </c>
      <c r="BA58">
        <v>5668005</v>
      </c>
      <c r="BB58">
        <v>41659270</v>
      </c>
      <c r="BC58">
        <v>1075072</v>
      </c>
      <c r="BD58">
        <v>11779460</v>
      </c>
      <c r="BE58">
        <v>6551975</v>
      </c>
      <c r="BF58">
        <v>15691447</v>
      </c>
      <c r="BG58">
        <v>259425</v>
      </c>
      <c r="BH58">
        <v>1192970</v>
      </c>
      <c r="BI58">
        <v>881993</v>
      </c>
      <c r="BJ58">
        <v>2000159</v>
      </c>
      <c r="BK58">
        <v>0</v>
      </c>
      <c r="BL58">
        <v>235481</v>
      </c>
      <c r="BM58">
        <v>1988485</v>
      </c>
      <c r="BN58">
        <v>25320661</v>
      </c>
      <c r="BO58">
        <v>7280287</v>
      </c>
      <c r="BP58">
        <v>1951807</v>
      </c>
      <c r="BQ58">
        <v>185824</v>
      </c>
      <c r="BR58">
        <v>37916015</v>
      </c>
      <c r="BS58">
        <v>4339852</v>
      </c>
      <c r="BT58">
        <v>824457</v>
      </c>
      <c r="BU58">
        <v>4121108</v>
      </c>
      <c r="BV58">
        <v>1817639</v>
      </c>
      <c r="BW58">
        <v>1190430</v>
      </c>
      <c r="BX58">
        <v>0</v>
      </c>
      <c r="BY58">
        <v>1042327</v>
      </c>
      <c r="BZ58">
        <v>1900981</v>
      </c>
      <c r="CA58">
        <v>17241459</v>
      </c>
      <c r="CB58">
        <v>3692476</v>
      </c>
      <c r="CC58">
        <v>5499171</v>
      </c>
      <c r="CD58">
        <v>385307</v>
      </c>
      <c r="CE58">
        <v>9758031</v>
      </c>
      <c r="CF58">
        <v>574682</v>
      </c>
      <c r="CG58">
        <v>8812481</v>
      </c>
      <c r="CH58">
        <v>4147015</v>
      </c>
      <c r="CI58">
        <v>3407160</v>
      </c>
      <c r="CJ58">
        <v>5727615</v>
      </c>
      <c r="CK58">
        <v>11832282</v>
      </c>
      <c r="CL58">
        <v>3322379</v>
      </c>
      <c r="CM58">
        <v>595887</v>
      </c>
      <c r="CN58">
        <v>169904</v>
      </c>
      <c r="CO58">
        <v>49602924</v>
      </c>
      <c r="CP58">
        <v>2643518</v>
      </c>
      <c r="CQ58">
        <v>2552468</v>
      </c>
      <c r="CR58">
        <v>1008255</v>
      </c>
      <c r="CS58">
        <v>26283</v>
      </c>
      <c r="CT58">
        <v>8195030</v>
      </c>
      <c r="CU58">
        <v>4480266</v>
      </c>
      <c r="CV58">
        <v>8652567</v>
      </c>
      <c r="CW58">
        <v>3275276</v>
      </c>
      <c r="CX58">
        <v>3672918</v>
      </c>
      <c r="CY58">
        <v>1680260</v>
      </c>
    </row>
    <row r="59" spans="1:103" x14ac:dyDescent="0.3">
      <c r="A59">
        <v>371</v>
      </c>
      <c r="B59" t="s">
        <v>207</v>
      </c>
      <c r="D59">
        <v>0</v>
      </c>
      <c r="E59">
        <v>0</v>
      </c>
      <c r="F59">
        <v>0</v>
      </c>
      <c r="G59">
        <v>0</v>
      </c>
      <c r="H59">
        <v>0</v>
      </c>
      <c r="I59">
        <v>0</v>
      </c>
      <c r="J59">
        <v>0</v>
      </c>
      <c r="K59">
        <v>0</v>
      </c>
      <c r="L59">
        <v>0</v>
      </c>
      <c r="M59">
        <v>0</v>
      </c>
      <c r="N59">
        <v>0</v>
      </c>
      <c r="O59">
        <v>0</v>
      </c>
      <c r="P59">
        <v>0</v>
      </c>
      <c r="Q59">
        <v>0</v>
      </c>
      <c r="R59">
        <v>0</v>
      </c>
      <c r="S59">
        <v>0</v>
      </c>
      <c r="U59">
        <v>0</v>
      </c>
      <c r="V59">
        <v>0</v>
      </c>
      <c r="X59">
        <v>1769931</v>
      </c>
      <c r="Y59">
        <v>0</v>
      </c>
      <c r="Z59">
        <v>4194216</v>
      </c>
      <c r="AA59">
        <v>3179384</v>
      </c>
      <c r="AB59">
        <v>6411739</v>
      </c>
      <c r="AC59">
        <v>0</v>
      </c>
      <c r="AD59">
        <v>0</v>
      </c>
      <c r="AE59">
        <v>0</v>
      </c>
      <c r="AF59">
        <v>0</v>
      </c>
      <c r="AG59">
        <v>0</v>
      </c>
      <c r="AH59">
        <v>1582142</v>
      </c>
      <c r="AI59">
        <v>104525553</v>
      </c>
      <c r="AJ59">
        <v>0</v>
      </c>
      <c r="AK59">
        <v>0</v>
      </c>
      <c r="AL59">
        <v>0</v>
      </c>
      <c r="AM59">
        <v>0</v>
      </c>
      <c r="AN59">
        <v>0</v>
      </c>
      <c r="AP59">
        <v>0</v>
      </c>
      <c r="AQ59">
        <v>0</v>
      </c>
      <c r="AR59">
        <v>0</v>
      </c>
      <c r="AS59">
        <v>0</v>
      </c>
      <c r="AT59">
        <v>0</v>
      </c>
      <c r="AU59">
        <v>0</v>
      </c>
      <c r="AV59">
        <v>0</v>
      </c>
      <c r="AW59">
        <v>0</v>
      </c>
      <c r="AX59">
        <v>0</v>
      </c>
      <c r="AY59">
        <v>0</v>
      </c>
      <c r="AZ59">
        <v>0</v>
      </c>
      <c r="BA59">
        <v>0</v>
      </c>
      <c r="BB59">
        <v>0</v>
      </c>
      <c r="BC59">
        <v>0</v>
      </c>
      <c r="BD59">
        <v>0</v>
      </c>
      <c r="BE59">
        <v>0</v>
      </c>
      <c r="BF59">
        <v>0</v>
      </c>
      <c r="BG59">
        <v>1266351</v>
      </c>
      <c r="BH59">
        <v>0</v>
      </c>
      <c r="BI59">
        <v>937301</v>
      </c>
      <c r="BJ59">
        <v>0</v>
      </c>
      <c r="BK59">
        <v>0</v>
      </c>
      <c r="BL59">
        <v>0</v>
      </c>
      <c r="BM59">
        <v>0</v>
      </c>
      <c r="BN59">
        <v>0</v>
      </c>
      <c r="BO59">
        <v>0</v>
      </c>
      <c r="BP59">
        <v>17336132</v>
      </c>
      <c r="BQ59">
        <v>1063965</v>
      </c>
      <c r="BR59">
        <v>0</v>
      </c>
      <c r="BS59">
        <v>0</v>
      </c>
      <c r="BT59">
        <v>0</v>
      </c>
      <c r="BU59">
        <v>0</v>
      </c>
      <c r="BV59">
        <v>0</v>
      </c>
      <c r="BW59">
        <v>0</v>
      </c>
      <c r="BX59">
        <v>0</v>
      </c>
      <c r="BY59">
        <v>5152729</v>
      </c>
      <c r="BZ59">
        <v>0</v>
      </c>
      <c r="CA59">
        <v>0</v>
      </c>
      <c r="CB59">
        <v>0</v>
      </c>
      <c r="CC59">
        <v>0</v>
      </c>
      <c r="CD59">
        <v>2074985</v>
      </c>
      <c r="CE59">
        <v>0</v>
      </c>
      <c r="CF59">
        <v>81700</v>
      </c>
      <c r="CG59">
        <v>0</v>
      </c>
      <c r="CH59">
        <v>0</v>
      </c>
      <c r="CI59">
        <v>0</v>
      </c>
      <c r="CJ59">
        <v>0</v>
      </c>
      <c r="CK59">
        <v>0</v>
      </c>
      <c r="CL59">
        <v>0</v>
      </c>
      <c r="CM59">
        <v>0</v>
      </c>
      <c r="CN59">
        <v>0</v>
      </c>
      <c r="CO59">
        <v>0</v>
      </c>
      <c r="CP59">
        <v>283207</v>
      </c>
      <c r="CQ59">
        <v>334421000</v>
      </c>
      <c r="CR59">
        <v>0</v>
      </c>
      <c r="CS59">
        <v>0</v>
      </c>
      <c r="CT59">
        <v>0</v>
      </c>
      <c r="CU59">
        <v>0</v>
      </c>
      <c r="CV59">
        <v>0</v>
      </c>
      <c r="CW59">
        <v>0</v>
      </c>
      <c r="CX59">
        <v>0</v>
      </c>
      <c r="CY59">
        <v>0</v>
      </c>
    </row>
    <row r="60" spans="1:103" x14ac:dyDescent="0.3">
      <c r="A60">
        <v>373</v>
      </c>
      <c r="B60" t="s">
        <v>257</v>
      </c>
      <c r="D60">
        <v>49651063</v>
      </c>
      <c r="E60">
        <v>20351437</v>
      </c>
      <c r="F60">
        <v>19818273</v>
      </c>
      <c r="G60">
        <v>19422104</v>
      </c>
      <c r="H60">
        <v>31390630</v>
      </c>
      <c r="I60">
        <v>20967158</v>
      </c>
      <c r="J60">
        <v>17892502</v>
      </c>
      <c r="K60">
        <v>15938132</v>
      </c>
      <c r="L60">
        <v>26273241</v>
      </c>
      <c r="M60">
        <v>134226584</v>
      </c>
      <c r="N60">
        <v>201640569</v>
      </c>
      <c r="O60">
        <v>40994342</v>
      </c>
      <c r="P60">
        <v>119384530</v>
      </c>
      <c r="Q60">
        <v>39408842</v>
      </c>
      <c r="R60">
        <v>10958265</v>
      </c>
      <c r="S60">
        <v>46447431</v>
      </c>
      <c r="U60">
        <v>0</v>
      </c>
      <c r="V60">
        <v>39931272</v>
      </c>
      <c r="X60">
        <v>30271722</v>
      </c>
      <c r="Y60">
        <v>25421019</v>
      </c>
      <c r="Z60">
        <v>70472939</v>
      </c>
      <c r="AA60">
        <v>36187026</v>
      </c>
      <c r="AB60">
        <v>72275637</v>
      </c>
      <c r="AC60">
        <v>181636530</v>
      </c>
      <c r="AD60">
        <v>94710513</v>
      </c>
      <c r="AE60">
        <v>129414861</v>
      </c>
      <c r="AF60">
        <v>61323878</v>
      </c>
      <c r="AG60">
        <v>25234798</v>
      </c>
      <c r="AH60">
        <v>26088085</v>
      </c>
      <c r="AI60">
        <v>221993152</v>
      </c>
      <c r="AJ60">
        <v>31827378</v>
      </c>
      <c r="AK60">
        <v>215679930</v>
      </c>
      <c r="AL60">
        <v>49040726</v>
      </c>
      <c r="AM60">
        <v>113755019</v>
      </c>
      <c r="AN60">
        <v>5109060</v>
      </c>
      <c r="AP60">
        <v>28726868</v>
      </c>
      <c r="AQ60">
        <v>12466647</v>
      </c>
      <c r="AR60">
        <v>208072478</v>
      </c>
      <c r="AS60">
        <v>32228205</v>
      </c>
      <c r="AT60">
        <v>72461868</v>
      </c>
      <c r="AU60">
        <v>63804768</v>
      </c>
      <c r="AV60">
        <v>76516840</v>
      </c>
      <c r="AW60">
        <v>12824789</v>
      </c>
      <c r="AX60">
        <v>17361773</v>
      </c>
      <c r="AY60">
        <v>13744555</v>
      </c>
      <c r="AZ60">
        <v>218370072</v>
      </c>
      <c r="BA60">
        <v>40068242</v>
      </c>
      <c r="BB60">
        <v>73698135</v>
      </c>
      <c r="BC60">
        <v>6169444</v>
      </c>
      <c r="BD60">
        <v>34091996</v>
      </c>
      <c r="BE60">
        <v>42959467</v>
      </c>
      <c r="BF60">
        <v>51994111</v>
      </c>
      <c r="BG60">
        <v>36457930</v>
      </c>
      <c r="BH60">
        <v>12722683</v>
      </c>
      <c r="BI60">
        <v>19870595</v>
      </c>
      <c r="BJ60">
        <v>28351975</v>
      </c>
      <c r="BK60">
        <v>679810356</v>
      </c>
      <c r="BL60">
        <v>8560811</v>
      </c>
      <c r="BM60">
        <v>25870847</v>
      </c>
      <c r="BN60">
        <v>72262566</v>
      </c>
      <c r="BO60">
        <v>0</v>
      </c>
      <c r="BP60">
        <v>172057282</v>
      </c>
      <c r="BQ60">
        <v>14667448</v>
      </c>
      <c r="BR60">
        <v>105071168</v>
      </c>
      <c r="BS60">
        <v>93344011</v>
      </c>
      <c r="BT60">
        <v>9393118</v>
      </c>
      <c r="BU60">
        <v>51272469</v>
      </c>
      <c r="BV60">
        <v>29871263</v>
      </c>
      <c r="BW60">
        <v>8431392</v>
      </c>
      <c r="BX60">
        <v>59078766</v>
      </c>
      <c r="BY60">
        <v>92007329</v>
      </c>
      <c r="BZ60">
        <v>19182287</v>
      </c>
      <c r="CA60">
        <v>50773083</v>
      </c>
      <c r="CB60">
        <v>36454680</v>
      </c>
      <c r="CC60">
        <v>43133579</v>
      </c>
      <c r="CD60">
        <v>64862775</v>
      </c>
      <c r="CE60">
        <v>79095943</v>
      </c>
      <c r="CF60">
        <v>48452124</v>
      </c>
      <c r="CG60">
        <v>78514251</v>
      </c>
      <c r="CH60">
        <v>17967160</v>
      </c>
      <c r="CI60">
        <v>31827295</v>
      </c>
      <c r="CJ60">
        <v>40377576</v>
      </c>
      <c r="CK60">
        <v>34138957</v>
      </c>
      <c r="CL60">
        <v>17156043</v>
      </c>
      <c r="CM60">
        <v>32111548</v>
      </c>
      <c r="CN60">
        <v>3918365</v>
      </c>
      <c r="CO60">
        <v>110027342</v>
      </c>
      <c r="CP60">
        <v>22252122</v>
      </c>
      <c r="CQ60">
        <v>445321320</v>
      </c>
      <c r="CR60">
        <v>20955753</v>
      </c>
      <c r="CS60">
        <v>8157580</v>
      </c>
      <c r="CT60">
        <v>52599354</v>
      </c>
      <c r="CU60">
        <v>82621895</v>
      </c>
      <c r="CV60">
        <v>27799289</v>
      </c>
      <c r="CW60">
        <v>36953511</v>
      </c>
      <c r="CX60">
        <v>24531580</v>
      </c>
      <c r="CY60">
        <v>12613209</v>
      </c>
    </row>
    <row r="61" spans="1:103" x14ac:dyDescent="0.3">
      <c r="A61">
        <v>375</v>
      </c>
      <c r="B61" t="s">
        <v>189</v>
      </c>
      <c r="D61">
        <v>0</v>
      </c>
      <c r="E61">
        <v>8907105</v>
      </c>
      <c r="F61">
        <v>0</v>
      </c>
      <c r="G61">
        <v>10695593</v>
      </c>
      <c r="H61">
        <v>0</v>
      </c>
      <c r="I61">
        <v>0</v>
      </c>
      <c r="J61">
        <v>25183331</v>
      </c>
      <c r="K61">
        <v>498251</v>
      </c>
      <c r="L61">
        <v>2384398</v>
      </c>
      <c r="M61">
        <v>97592447</v>
      </c>
      <c r="N61">
        <v>0</v>
      </c>
      <c r="O61">
        <v>741123</v>
      </c>
      <c r="P61">
        <v>0</v>
      </c>
      <c r="Q61">
        <v>8036906</v>
      </c>
      <c r="R61">
        <v>3412965</v>
      </c>
      <c r="S61">
        <v>1982840</v>
      </c>
      <c r="U61">
        <v>0</v>
      </c>
      <c r="V61">
        <v>30483854</v>
      </c>
      <c r="X61">
        <v>3106349</v>
      </c>
      <c r="Y61">
        <v>300085</v>
      </c>
      <c r="Z61">
        <v>0</v>
      </c>
      <c r="AA61">
        <v>4893817</v>
      </c>
      <c r="AB61">
        <v>12887853</v>
      </c>
      <c r="AC61">
        <v>2078051</v>
      </c>
      <c r="AD61">
        <v>23232186</v>
      </c>
      <c r="AE61">
        <v>-7795677</v>
      </c>
      <c r="AF61">
        <v>1827449</v>
      </c>
      <c r="AG61">
        <v>14574189</v>
      </c>
      <c r="AH61">
        <v>10412926</v>
      </c>
      <c r="AI61">
        <v>45980820</v>
      </c>
      <c r="AJ61">
        <v>5244343</v>
      </c>
      <c r="AK61">
        <v>0</v>
      </c>
      <c r="AL61">
        <v>26359887</v>
      </c>
      <c r="AM61">
        <v>0</v>
      </c>
      <c r="AN61">
        <v>1611470</v>
      </c>
      <c r="AP61">
        <v>0</v>
      </c>
      <c r="AQ61">
        <v>1934352</v>
      </c>
      <c r="AR61">
        <v>0</v>
      </c>
      <c r="AS61">
        <v>5077245</v>
      </c>
      <c r="AT61">
        <v>88453970</v>
      </c>
      <c r="AU61">
        <v>0</v>
      </c>
      <c r="AV61">
        <v>0</v>
      </c>
      <c r="AW61">
        <v>3288826</v>
      </c>
      <c r="AX61">
        <v>5396467</v>
      </c>
      <c r="AY61">
        <v>505130</v>
      </c>
      <c r="AZ61">
        <v>0</v>
      </c>
      <c r="BA61">
        <v>0</v>
      </c>
      <c r="BB61">
        <v>58372544</v>
      </c>
      <c r="BC61">
        <v>5260402</v>
      </c>
      <c r="BD61">
        <v>0</v>
      </c>
      <c r="BE61">
        <v>0</v>
      </c>
      <c r="BF61">
        <v>36410458</v>
      </c>
      <c r="BG61">
        <v>0</v>
      </c>
      <c r="BH61">
        <v>0</v>
      </c>
      <c r="BI61">
        <v>173923</v>
      </c>
      <c r="BJ61">
        <v>266654</v>
      </c>
      <c r="BK61">
        <v>0</v>
      </c>
      <c r="BL61">
        <v>0</v>
      </c>
      <c r="BM61">
        <v>10425774</v>
      </c>
      <c r="BN61">
        <v>24495447</v>
      </c>
      <c r="BO61">
        <v>2052197</v>
      </c>
      <c r="BP61">
        <v>0</v>
      </c>
      <c r="BQ61">
        <v>1338744</v>
      </c>
      <c r="BR61">
        <v>0</v>
      </c>
      <c r="BS61">
        <v>0</v>
      </c>
      <c r="BT61">
        <v>3189913</v>
      </c>
      <c r="BU61">
        <v>10338942</v>
      </c>
      <c r="BV61">
        <v>11324948</v>
      </c>
      <c r="BW61">
        <v>1748489</v>
      </c>
      <c r="BX61">
        <v>0</v>
      </c>
      <c r="BY61">
        <v>0</v>
      </c>
      <c r="BZ61">
        <v>209020</v>
      </c>
      <c r="CA61">
        <v>0</v>
      </c>
      <c r="CB61">
        <v>13735319</v>
      </c>
      <c r="CC61">
        <v>13022355</v>
      </c>
      <c r="CD61">
        <v>7712483</v>
      </c>
      <c r="CE61">
        <v>672409</v>
      </c>
      <c r="CF61">
        <v>0</v>
      </c>
      <c r="CG61">
        <v>10138046</v>
      </c>
      <c r="CH61">
        <v>3275073</v>
      </c>
      <c r="CI61">
        <v>1976300</v>
      </c>
      <c r="CJ61">
        <v>715955</v>
      </c>
      <c r="CK61">
        <v>-1406547</v>
      </c>
      <c r="CL61">
        <v>0</v>
      </c>
      <c r="CM61">
        <v>0</v>
      </c>
      <c r="CN61">
        <v>1701673</v>
      </c>
      <c r="CO61">
        <v>167261329</v>
      </c>
      <c r="CP61">
        <v>1441528</v>
      </c>
      <c r="CQ61">
        <v>0</v>
      </c>
      <c r="CR61">
        <v>7836952</v>
      </c>
      <c r="CS61">
        <v>1218926</v>
      </c>
      <c r="CT61">
        <v>0</v>
      </c>
      <c r="CU61">
        <v>209390</v>
      </c>
      <c r="CV61">
        <v>0</v>
      </c>
      <c r="CW61">
        <v>5349651</v>
      </c>
      <c r="CX61">
        <v>390788</v>
      </c>
      <c r="CY61">
        <v>-584443</v>
      </c>
    </row>
    <row r="62" spans="1:103" x14ac:dyDescent="0.3">
      <c r="A62">
        <v>376</v>
      </c>
      <c r="B62" t="s">
        <v>90</v>
      </c>
      <c r="D62">
        <v>6827015</v>
      </c>
      <c r="E62">
        <v>2526675</v>
      </c>
      <c r="F62">
        <v>-2669</v>
      </c>
      <c r="G62">
        <v>0</v>
      </c>
      <c r="H62">
        <v>0</v>
      </c>
      <c r="I62">
        <v>0</v>
      </c>
      <c r="J62">
        <v>0</v>
      </c>
      <c r="K62">
        <v>190120</v>
      </c>
      <c r="L62">
        <v>0</v>
      </c>
      <c r="M62">
        <v>0</v>
      </c>
      <c r="N62">
        <v>-2872469</v>
      </c>
      <c r="O62">
        <v>0</v>
      </c>
      <c r="P62">
        <v>0</v>
      </c>
      <c r="Q62">
        <v>6323037</v>
      </c>
      <c r="R62">
        <v>0</v>
      </c>
      <c r="S62">
        <v>0</v>
      </c>
      <c r="U62">
        <v>10284006</v>
      </c>
      <c r="V62">
        <v>0</v>
      </c>
      <c r="X62">
        <v>0</v>
      </c>
      <c r="Y62">
        <v>0</v>
      </c>
      <c r="Z62">
        <v>39267</v>
      </c>
      <c r="AA62">
        <v>-11400000</v>
      </c>
      <c r="AB62">
        <v>0</v>
      </c>
      <c r="AC62">
        <v>0</v>
      </c>
      <c r="AD62">
        <v>0</v>
      </c>
      <c r="AE62">
        <v>-1070</v>
      </c>
      <c r="AF62">
        <v>9612462</v>
      </c>
      <c r="AG62">
        <v>2542230</v>
      </c>
      <c r="AH62">
        <v>12875073</v>
      </c>
      <c r="AI62">
        <v>0</v>
      </c>
      <c r="AJ62">
        <v>-7570430</v>
      </c>
      <c r="AK62">
        <v>0</v>
      </c>
      <c r="AL62">
        <v>0</v>
      </c>
      <c r="AM62">
        <v>16625949</v>
      </c>
      <c r="AN62">
        <v>0</v>
      </c>
      <c r="AP62">
        <v>-13188</v>
      </c>
      <c r="AQ62">
        <v>350</v>
      </c>
      <c r="AR62">
        <v>0</v>
      </c>
      <c r="AS62">
        <v>0</v>
      </c>
      <c r="AT62">
        <v>0</v>
      </c>
      <c r="AU62">
        <v>0</v>
      </c>
      <c r="AV62">
        <v>0</v>
      </c>
      <c r="AW62">
        <v>94085</v>
      </c>
      <c r="AX62">
        <v>0</v>
      </c>
      <c r="AY62">
        <v>-11610</v>
      </c>
      <c r="AZ62">
        <v>0</v>
      </c>
      <c r="BA62">
        <v>0</v>
      </c>
      <c r="BB62">
        <v>0</v>
      </c>
      <c r="BC62">
        <v>0</v>
      </c>
      <c r="BD62">
        <v>0</v>
      </c>
      <c r="BE62">
        <v>-948283</v>
      </c>
      <c r="BF62">
        <v>0</v>
      </c>
      <c r="BG62">
        <v>2312455</v>
      </c>
      <c r="BH62">
        <v>0</v>
      </c>
      <c r="BI62">
        <v>0</v>
      </c>
      <c r="BJ62">
        <v>0</v>
      </c>
      <c r="BK62">
        <v>-91482446</v>
      </c>
      <c r="BL62">
        <v>0</v>
      </c>
      <c r="BM62">
        <v>-2</v>
      </c>
      <c r="BN62">
        <v>-2785261</v>
      </c>
      <c r="BO62">
        <v>258572</v>
      </c>
      <c r="BP62">
        <v>0</v>
      </c>
      <c r="BQ62">
        <v>79257</v>
      </c>
      <c r="BR62">
        <v>48977</v>
      </c>
      <c r="BS62">
        <v>1117922</v>
      </c>
      <c r="BT62">
        <v>0</v>
      </c>
      <c r="BU62">
        <v>0</v>
      </c>
      <c r="BV62">
        <v>3017857</v>
      </c>
      <c r="BW62">
        <v>0</v>
      </c>
      <c r="BX62">
        <v>39500</v>
      </c>
      <c r="BY62">
        <v>7121057</v>
      </c>
      <c r="BZ62">
        <v>1318524</v>
      </c>
      <c r="CA62">
        <v>0</v>
      </c>
      <c r="CB62">
        <v>0</v>
      </c>
      <c r="CC62">
        <v>0</v>
      </c>
      <c r="CD62">
        <v>0</v>
      </c>
      <c r="CE62">
        <v>12146917</v>
      </c>
      <c r="CF62">
        <v>-1060137</v>
      </c>
      <c r="CG62">
        <v>0</v>
      </c>
      <c r="CH62">
        <v>25659</v>
      </c>
      <c r="CI62">
        <v>1868371</v>
      </c>
      <c r="CJ62">
        <v>3091182</v>
      </c>
      <c r="CK62">
        <v>0</v>
      </c>
      <c r="CL62">
        <v>0</v>
      </c>
      <c r="CM62">
        <v>3204670</v>
      </c>
      <c r="CN62">
        <v>0</v>
      </c>
      <c r="CO62">
        <v>0</v>
      </c>
      <c r="CP62">
        <v>245400</v>
      </c>
      <c r="CQ62">
        <v>108737246</v>
      </c>
      <c r="CR62">
        <v>0</v>
      </c>
      <c r="CS62">
        <v>88056</v>
      </c>
      <c r="CT62">
        <v>0</v>
      </c>
      <c r="CU62">
        <v>9607869</v>
      </c>
      <c r="CV62">
        <v>9894393</v>
      </c>
      <c r="CW62">
        <v>3202739</v>
      </c>
      <c r="CX62">
        <v>951851</v>
      </c>
      <c r="CY62">
        <v>0</v>
      </c>
    </row>
    <row r="63" spans="1:103" x14ac:dyDescent="0.3">
      <c r="A63">
        <v>377</v>
      </c>
      <c r="B63" t="s">
        <v>91</v>
      </c>
      <c r="D63">
        <v>0</v>
      </c>
      <c r="E63">
        <v>0</v>
      </c>
      <c r="F63">
        <v>0</v>
      </c>
      <c r="G63">
        <v>0</v>
      </c>
      <c r="H63">
        <v>0</v>
      </c>
      <c r="I63">
        <v>0</v>
      </c>
      <c r="J63">
        <v>0</v>
      </c>
      <c r="K63">
        <v>295919</v>
      </c>
      <c r="L63">
        <v>0</v>
      </c>
      <c r="M63">
        <v>0</v>
      </c>
      <c r="N63">
        <v>0</v>
      </c>
      <c r="O63">
        <v>0</v>
      </c>
      <c r="P63">
        <v>0</v>
      </c>
      <c r="Q63">
        <v>0</v>
      </c>
      <c r="R63">
        <v>0</v>
      </c>
      <c r="S63">
        <v>0</v>
      </c>
      <c r="U63">
        <v>0</v>
      </c>
      <c r="V63">
        <v>0</v>
      </c>
      <c r="X63">
        <v>0</v>
      </c>
      <c r="Y63">
        <v>0</v>
      </c>
      <c r="Z63">
        <v>0</v>
      </c>
      <c r="AA63">
        <v>11400000</v>
      </c>
      <c r="AB63">
        <v>0</v>
      </c>
      <c r="AC63">
        <v>0</v>
      </c>
      <c r="AD63">
        <v>0</v>
      </c>
      <c r="AE63">
        <v>0</v>
      </c>
      <c r="AF63">
        <v>0</v>
      </c>
      <c r="AG63">
        <v>-1368823</v>
      </c>
      <c r="AH63">
        <v>162336</v>
      </c>
      <c r="AI63">
        <v>0</v>
      </c>
      <c r="AJ63">
        <v>2027232</v>
      </c>
      <c r="AK63">
        <v>0</v>
      </c>
      <c r="AL63">
        <v>0</v>
      </c>
      <c r="AM63">
        <v>0</v>
      </c>
      <c r="AN63">
        <v>0</v>
      </c>
      <c r="AP63">
        <v>0</v>
      </c>
      <c r="AQ63">
        <v>275780</v>
      </c>
      <c r="AR63">
        <v>0</v>
      </c>
      <c r="AS63">
        <v>0</v>
      </c>
      <c r="AT63">
        <v>0</v>
      </c>
      <c r="AU63">
        <v>0</v>
      </c>
      <c r="AV63">
        <v>0</v>
      </c>
      <c r="AW63">
        <v>0</v>
      </c>
      <c r="AX63">
        <v>0</v>
      </c>
      <c r="AY63">
        <v>154629</v>
      </c>
      <c r="AZ63">
        <v>0</v>
      </c>
      <c r="BA63">
        <v>0</v>
      </c>
      <c r="BB63">
        <v>0</v>
      </c>
      <c r="BC63">
        <v>0</v>
      </c>
      <c r="BD63">
        <v>326749</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93394</v>
      </c>
      <c r="CQ63">
        <v>0</v>
      </c>
      <c r="CR63">
        <v>0</v>
      </c>
      <c r="CS63">
        <v>0</v>
      </c>
      <c r="CT63">
        <v>0</v>
      </c>
      <c r="CU63">
        <v>0</v>
      </c>
      <c r="CV63">
        <v>0</v>
      </c>
      <c r="CW63">
        <v>0</v>
      </c>
      <c r="CX63">
        <v>0</v>
      </c>
      <c r="CY63">
        <v>0</v>
      </c>
    </row>
    <row r="64" spans="1:103" x14ac:dyDescent="0.3">
      <c r="A64">
        <v>379</v>
      </c>
      <c r="B64" t="s">
        <v>98</v>
      </c>
      <c r="D64">
        <v>104899426</v>
      </c>
      <c r="E64">
        <v>27728997</v>
      </c>
      <c r="F64">
        <v>14062687</v>
      </c>
      <c r="G64">
        <v>33011590</v>
      </c>
      <c r="H64">
        <v>23906789</v>
      </c>
      <c r="I64">
        <v>36615470</v>
      </c>
      <c r="J64">
        <v>45080210</v>
      </c>
      <c r="K64">
        <v>7861446</v>
      </c>
      <c r="L64">
        <v>55313570</v>
      </c>
      <c r="M64">
        <v>161939112</v>
      </c>
      <c r="N64">
        <v>165478377</v>
      </c>
      <c r="O64">
        <v>43894630</v>
      </c>
      <c r="P64">
        <v>216995657</v>
      </c>
      <c r="Q64">
        <v>28026194</v>
      </c>
      <c r="R64">
        <v>21219344</v>
      </c>
      <c r="S64">
        <v>99838326</v>
      </c>
      <c r="U64">
        <v>156205321</v>
      </c>
      <c r="V64">
        <v>77070747</v>
      </c>
      <c r="X64">
        <v>15864736</v>
      </c>
      <c r="Y64">
        <v>14275172</v>
      </c>
      <c r="Z64">
        <v>73091923</v>
      </c>
      <c r="AA64">
        <v>40258488</v>
      </c>
      <c r="AB64">
        <v>72157689</v>
      </c>
      <c r="AC64">
        <v>349202799</v>
      </c>
      <c r="AD64">
        <v>43967496</v>
      </c>
      <c r="AE64">
        <v>116823509</v>
      </c>
      <c r="AF64">
        <v>166533533</v>
      </c>
      <c r="AG64">
        <v>29581813</v>
      </c>
      <c r="AH64">
        <v>56793284</v>
      </c>
      <c r="AI64">
        <v>324461581</v>
      </c>
      <c r="AJ64">
        <v>40821587</v>
      </c>
      <c r="AK64">
        <v>253797745</v>
      </c>
      <c r="AL64">
        <v>73428787</v>
      </c>
      <c r="AM64">
        <v>173821885</v>
      </c>
      <c r="AN64">
        <v>8835733</v>
      </c>
      <c r="AP64">
        <v>53565551</v>
      </c>
      <c r="AQ64">
        <v>18457009</v>
      </c>
      <c r="AR64">
        <v>324280923</v>
      </c>
      <c r="AS64">
        <v>60551229</v>
      </c>
      <c r="AT64">
        <v>136990341</v>
      </c>
      <c r="AU64">
        <v>66246077</v>
      </c>
      <c r="AV64">
        <v>121806478</v>
      </c>
      <c r="AW64">
        <v>19493539</v>
      </c>
      <c r="AX64">
        <v>63434157</v>
      </c>
      <c r="AY64">
        <v>9541409</v>
      </c>
      <c r="AZ64">
        <v>219504403</v>
      </c>
      <c r="BA64">
        <v>55424645</v>
      </c>
      <c r="BB64">
        <v>249090120</v>
      </c>
      <c r="BC64">
        <v>17953172</v>
      </c>
      <c r="BD64">
        <v>46467143</v>
      </c>
      <c r="BE64">
        <v>54148235</v>
      </c>
      <c r="BF64">
        <v>80178286</v>
      </c>
      <c r="BG64">
        <v>56757828</v>
      </c>
      <c r="BH64">
        <v>27188824</v>
      </c>
      <c r="BI64">
        <v>23836516</v>
      </c>
      <c r="BJ64">
        <v>25983522</v>
      </c>
      <c r="BK64">
        <v>843819914</v>
      </c>
      <c r="BL64">
        <v>15859882</v>
      </c>
      <c r="BM64">
        <v>45119015</v>
      </c>
      <c r="BN64">
        <v>69607624</v>
      </c>
      <c r="BO64">
        <v>60907150</v>
      </c>
      <c r="BP64">
        <v>505948628</v>
      </c>
      <c r="BQ64">
        <v>31467480</v>
      </c>
      <c r="BR64">
        <v>208992191</v>
      </c>
      <c r="BS64">
        <v>91410372</v>
      </c>
      <c r="BT64">
        <v>15463856</v>
      </c>
      <c r="BU64">
        <v>60611740</v>
      </c>
      <c r="BV64">
        <v>83609614</v>
      </c>
      <c r="BW64">
        <v>10812094</v>
      </c>
      <c r="BX64">
        <v>46903890</v>
      </c>
      <c r="BY64">
        <v>91954524</v>
      </c>
      <c r="BZ64">
        <v>16996270</v>
      </c>
      <c r="CA64">
        <v>92103202</v>
      </c>
      <c r="CB64">
        <v>27385083</v>
      </c>
      <c r="CC64">
        <v>84393852</v>
      </c>
      <c r="CD64">
        <v>79263372</v>
      </c>
      <c r="CE64">
        <v>146241572</v>
      </c>
      <c r="CF64">
        <v>60708714</v>
      </c>
      <c r="CG64">
        <v>56141584</v>
      </c>
      <c r="CH64">
        <v>40424672</v>
      </c>
      <c r="CI64">
        <v>62625411</v>
      </c>
      <c r="CJ64">
        <v>30725935</v>
      </c>
      <c r="CK64">
        <v>74304928</v>
      </c>
      <c r="CL64">
        <v>13111888</v>
      </c>
      <c r="CM64">
        <v>45702214</v>
      </c>
      <c r="CN64">
        <v>3347913</v>
      </c>
      <c r="CO64">
        <v>336431975</v>
      </c>
      <c r="CP64">
        <v>33901960</v>
      </c>
      <c r="CQ64">
        <v>660471071</v>
      </c>
      <c r="CR64">
        <v>31232216</v>
      </c>
      <c r="CS64">
        <v>16458733</v>
      </c>
      <c r="CT64">
        <v>84988408</v>
      </c>
      <c r="CU64">
        <v>77904106</v>
      </c>
      <c r="CV64">
        <v>51415089</v>
      </c>
      <c r="CW64">
        <v>62799995</v>
      </c>
      <c r="CX64">
        <v>25216954</v>
      </c>
      <c r="CY64">
        <v>12249641</v>
      </c>
    </row>
    <row r="65" spans="1:103" x14ac:dyDescent="0.3">
      <c r="A65">
        <v>380</v>
      </c>
      <c r="B65" t="s">
        <v>101</v>
      </c>
      <c r="D65">
        <v>10018779</v>
      </c>
      <c r="E65">
        <v>1052860</v>
      </c>
      <c r="F65">
        <v>392622</v>
      </c>
      <c r="G65">
        <v>2358403</v>
      </c>
      <c r="H65">
        <v>1369995</v>
      </c>
      <c r="I65">
        <v>522005</v>
      </c>
      <c r="J65">
        <v>1530060</v>
      </c>
      <c r="K65">
        <v>1491946</v>
      </c>
      <c r="L65">
        <v>5223626</v>
      </c>
      <c r="M65">
        <v>1495356</v>
      </c>
      <c r="N65">
        <v>17818404</v>
      </c>
      <c r="O65">
        <v>1309261</v>
      </c>
      <c r="P65">
        <v>4354172</v>
      </c>
      <c r="Q65">
        <v>1657412</v>
      </c>
      <c r="R65">
        <v>302667</v>
      </c>
      <c r="S65">
        <v>3354445</v>
      </c>
      <c r="U65">
        <v>4950437</v>
      </c>
      <c r="V65">
        <v>2498089</v>
      </c>
      <c r="X65">
        <v>166714</v>
      </c>
      <c r="Y65">
        <v>435228</v>
      </c>
      <c r="Z65">
        <v>6114352</v>
      </c>
      <c r="AA65">
        <v>1229825</v>
      </c>
      <c r="AB65">
        <v>1170987</v>
      </c>
      <c r="AC65">
        <v>2491363</v>
      </c>
      <c r="AD65">
        <v>885327</v>
      </c>
      <c r="AE65">
        <v>776380</v>
      </c>
      <c r="AF65">
        <v>1522618</v>
      </c>
      <c r="AG65">
        <v>1611678</v>
      </c>
      <c r="AH65">
        <v>9453017</v>
      </c>
      <c r="AI65">
        <v>15309598</v>
      </c>
      <c r="AJ65">
        <v>3481209</v>
      </c>
      <c r="AK65">
        <v>19293463</v>
      </c>
      <c r="AL65">
        <v>2586076</v>
      </c>
      <c r="AM65">
        <v>1478849</v>
      </c>
      <c r="AN65">
        <v>333582</v>
      </c>
      <c r="AP65">
        <v>2354175</v>
      </c>
      <c r="AQ65">
        <v>422699</v>
      </c>
      <c r="AR65">
        <v>10392191</v>
      </c>
      <c r="AS65">
        <v>1404189</v>
      </c>
      <c r="AT65">
        <v>743251</v>
      </c>
      <c r="AU65">
        <v>3979602</v>
      </c>
      <c r="AV65">
        <v>17675111</v>
      </c>
      <c r="AW65">
        <v>977339</v>
      </c>
      <c r="AX65">
        <v>1423901</v>
      </c>
      <c r="AY65">
        <v>1497625</v>
      </c>
      <c r="AZ65">
        <v>3853717</v>
      </c>
      <c r="BA65">
        <v>208117</v>
      </c>
      <c r="BB65">
        <v>619126</v>
      </c>
      <c r="BC65">
        <v>686979</v>
      </c>
      <c r="BD65">
        <v>1630715</v>
      </c>
      <c r="BE65">
        <v>986255</v>
      </c>
      <c r="BF65">
        <v>1080513</v>
      </c>
      <c r="BG65">
        <v>1924529</v>
      </c>
      <c r="BH65">
        <v>838529</v>
      </c>
      <c r="BI65">
        <v>3523974</v>
      </c>
      <c r="BJ65">
        <v>1182851</v>
      </c>
      <c r="BK65">
        <v>23404819</v>
      </c>
      <c r="BL65">
        <v>518223</v>
      </c>
      <c r="BM65">
        <v>977681</v>
      </c>
      <c r="BN65">
        <v>500737</v>
      </c>
      <c r="BO65">
        <v>2218393</v>
      </c>
      <c r="BP65">
        <v>5092907</v>
      </c>
      <c r="BQ65">
        <v>1455645</v>
      </c>
      <c r="BR65">
        <v>3433964</v>
      </c>
      <c r="BS65">
        <v>3032125</v>
      </c>
      <c r="BT65">
        <v>664770</v>
      </c>
      <c r="BU65">
        <v>4914007</v>
      </c>
      <c r="BV65">
        <v>5843486</v>
      </c>
      <c r="BW65">
        <v>424635</v>
      </c>
      <c r="BX65">
        <v>1869036</v>
      </c>
      <c r="BY65">
        <v>1299333</v>
      </c>
      <c r="BZ65">
        <v>287226</v>
      </c>
      <c r="CA65">
        <v>2029208</v>
      </c>
      <c r="CB65">
        <v>962963</v>
      </c>
      <c r="CC65">
        <v>8908460</v>
      </c>
      <c r="CD65">
        <v>3600244</v>
      </c>
      <c r="CE65">
        <v>4772285</v>
      </c>
      <c r="CF65">
        <v>1513153</v>
      </c>
      <c r="CG65">
        <v>1788262</v>
      </c>
      <c r="CH65">
        <v>21986952</v>
      </c>
      <c r="CI65">
        <v>1101397</v>
      </c>
      <c r="CJ65">
        <v>1534638</v>
      </c>
      <c r="CK65">
        <v>1195339</v>
      </c>
      <c r="CL65">
        <v>963615</v>
      </c>
      <c r="CM65">
        <v>117787</v>
      </c>
      <c r="CN65">
        <v>491716</v>
      </c>
      <c r="CO65">
        <v>160409674</v>
      </c>
      <c r="CP65">
        <v>1224234</v>
      </c>
      <c r="CQ65">
        <v>11420107</v>
      </c>
      <c r="CR65">
        <v>1106769</v>
      </c>
      <c r="CS65">
        <v>2292099</v>
      </c>
      <c r="CT65">
        <v>16814944</v>
      </c>
      <c r="CU65">
        <v>1783110</v>
      </c>
      <c r="CV65">
        <v>2700797</v>
      </c>
      <c r="CW65">
        <v>1496752</v>
      </c>
      <c r="CX65">
        <v>1109777</v>
      </c>
      <c r="CY65">
        <v>359120</v>
      </c>
    </row>
    <row r="66" spans="1:103" x14ac:dyDescent="0.3">
      <c r="A66">
        <v>381</v>
      </c>
      <c r="B66" t="s">
        <v>94</v>
      </c>
      <c r="D66">
        <v>0</v>
      </c>
      <c r="E66">
        <v>32276406</v>
      </c>
      <c r="F66">
        <v>0</v>
      </c>
      <c r="G66">
        <v>35167705</v>
      </c>
      <c r="H66">
        <v>0</v>
      </c>
      <c r="I66">
        <v>0</v>
      </c>
      <c r="J66">
        <v>73209907</v>
      </c>
      <c r="K66">
        <v>31013506</v>
      </c>
      <c r="L66">
        <v>27713532</v>
      </c>
      <c r="M66">
        <v>802105975</v>
      </c>
      <c r="N66">
        <v>0</v>
      </c>
      <c r="O66">
        <v>15664484</v>
      </c>
      <c r="P66">
        <v>0</v>
      </c>
      <c r="Q66">
        <v>15062074</v>
      </c>
      <c r="R66">
        <v>26774992</v>
      </c>
      <c r="S66">
        <v>7991332</v>
      </c>
      <c r="U66">
        <v>0</v>
      </c>
      <c r="V66">
        <v>81243369</v>
      </c>
      <c r="X66">
        <v>6917851</v>
      </c>
      <c r="Y66">
        <v>4258186</v>
      </c>
      <c r="Z66">
        <v>0</v>
      </c>
      <c r="AA66">
        <v>44322065</v>
      </c>
      <c r="AB66">
        <v>57086212</v>
      </c>
      <c r="AC66">
        <v>13764701</v>
      </c>
      <c r="AD66">
        <v>83600023</v>
      </c>
      <c r="AE66">
        <v>104241696</v>
      </c>
      <c r="AF66">
        <v>20228108</v>
      </c>
      <c r="AG66">
        <v>62654711</v>
      </c>
      <c r="AH66">
        <v>51950110</v>
      </c>
      <c r="AI66">
        <v>128908678</v>
      </c>
      <c r="AJ66">
        <v>60992433</v>
      </c>
      <c r="AK66">
        <v>0</v>
      </c>
      <c r="AL66">
        <v>74595169</v>
      </c>
      <c r="AM66">
        <v>0</v>
      </c>
      <c r="AN66">
        <v>10960953</v>
      </c>
      <c r="AP66">
        <v>0</v>
      </c>
      <c r="AQ66">
        <v>52301670</v>
      </c>
      <c r="AR66">
        <v>0</v>
      </c>
      <c r="AS66">
        <v>29783256</v>
      </c>
      <c r="AT66">
        <v>431265743</v>
      </c>
      <c r="AU66">
        <v>0</v>
      </c>
      <c r="AV66">
        <v>910325</v>
      </c>
      <c r="AW66">
        <v>16935543</v>
      </c>
      <c r="AX66">
        <v>71619032</v>
      </c>
      <c r="AY66">
        <v>11129004</v>
      </c>
      <c r="AZ66">
        <v>0</v>
      </c>
      <c r="BA66">
        <v>0</v>
      </c>
      <c r="BB66">
        <v>543355919</v>
      </c>
      <c r="BC66">
        <v>22132199</v>
      </c>
      <c r="BD66">
        <v>0</v>
      </c>
      <c r="BE66">
        <v>0</v>
      </c>
      <c r="BF66">
        <v>175999474</v>
      </c>
      <c r="BG66">
        <v>0</v>
      </c>
      <c r="BH66">
        <v>0</v>
      </c>
      <c r="BI66">
        <v>15222637</v>
      </c>
      <c r="BJ66">
        <v>6162084</v>
      </c>
      <c r="BK66">
        <v>0</v>
      </c>
      <c r="BL66">
        <v>0</v>
      </c>
      <c r="BM66">
        <v>37335699</v>
      </c>
      <c r="BN66">
        <v>117793363</v>
      </c>
      <c r="BO66">
        <v>41729957</v>
      </c>
      <c r="BP66">
        <v>0</v>
      </c>
      <c r="BQ66">
        <v>22653497</v>
      </c>
      <c r="BR66">
        <v>0</v>
      </c>
      <c r="BS66">
        <v>0</v>
      </c>
      <c r="BT66">
        <v>14889251</v>
      </c>
      <c r="BU66">
        <v>39096546</v>
      </c>
      <c r="BV66">
        <v>115192293</v>
      </c>
      <c r="BW66">
        <v>10186152</v>
      </c>
      <c r="BX66">
        <v>0</v>
      </c>
      <c r="BY66">
        <v>0</v>
      </c>
      <c r="BZ66">
        <v>11280986</v>
      </c>
      <c r="CA66">
        <v>0</v>
      </c>
      <c r="CB66">
        <v>48327242</v>
      </c>
      <c r="CC66">
        <v>53383298</v>
      </c>
      <c r="CD66">
        <v>33590869</v>
      </c>
      <c r="CE66">
        <v>4331608</v>
      </c>
      <c r="CF66">
        <v>0</v>
      </c>
      <c r="CG66">
        <v>44648825</v>
      </c>
      <c r="CH66">
        <v>10361823</v>
      </c>
      <c r="CI66">
        <v>35748929</v>
      </c>
      <c r="CJ66">
        <v>5226321</v>
      </c>
      <c r="CK66">
        <v>10221347</v>
      </c>
      <c r="CL66">
        <v>0</v>
      </c>
      <c r="CM66">
        <v>0</v>
      </c>
      <c r="CN66">
        <v>19523897</v>
      </c>
      <c r="CO66">
        <v>924649673</v>
      </c>
      <c r="CP66">
        <v>15834284</v>
      </c>
      <c r="CQ66">
        <v>0</v>
      </c>
      <c r="CR66">
        <v>36856721</v>
      </c>
      <c r="CS66">
        <v>8010989</v>
      </c>
      <c r="CT66">
        <v>0</v>
      </c>
      <c r="CU66">
        <v>4356997</v>
      </c>
      <c r="CV66">
        <v>0</v>
      </c>
      <c r="CW66">
        <v>23429717</v>
      </c>
      <c r="CX66">
        <v>9203515</v>
      </c>
      <c r="CY66">
        <v>8529430</v>
      </c>
    </row>
    <row r="67" spans="1:103" x14ac:dyDescent="0.3">
      <c r="A67">
        <v>383</v>
      </c>
      <c r="B67" t="s">
        <v>188</v>
      </c>
      <c r="D67">
        <v>0</v>
      </c>
      <c r="E67">
        <v>0</v>
      </c>
      <c r="F67">
        <v>0</v>
      </c>
      <c r="G67">
        <v>0</v>
      </c>
      <c r="H67">
        <v>0</v>
      </c>
      <c r="I67">
        <v>0</v>
      </c>
      <c r="J67">
        <v>0</v>
      </c>
      <c r="K67">
        <v>0</v>
      </c>
      <c r="L67">
        <v>0</v>
      </c>
      <c r="M67">
        <v>1904164</v>
      </c>
      <c r="N67">
        <v>0</v>
      </c>
      <c r="O67">
        <v>0</v>
      </c>
      <c r="P67">
        <v>0</v>
      </c>
      <c r="Q67">
        <v>0</v>
      </c>
      <c r="R67">
        <v>0</v>
      </c>
      <c r="S67">
        <v>0</v>
      </c>
      <c r="U67">
        <v>0</v>
      </c>
      <c r="V67">
        <v>0</v>
      </c>
      <c r="X67">
        <v>0</v>
      </c>
      <c r="Y67">
        <v>0</v>
      </c>
      <c r="Z67">
        <v>0</v>
      </c>
      <c r="AA67">
        <v>0</v>
      </c>
      <c r="AB67">
        <v>0</v>
      </c>
      <c r="AC67">
        <v>0</v>
      </c>
      <c r="AD67">
        <v>2818</v>
      </c>
      <c r="AE67">
        <v>18515</v>
      </c>
      <c r="AF67">
        <v>0</v>
      </c>
      <c r="AG67">
        <v>0</v>
      </c>
      <c r="AH67">
        <v>0</v>
      </c>
      <c r="AI67">
        <v>0</v>
      </c>
      <c r="AJ67">
        <v>0</v>
      </c>
      <c r="AK67">
        <v>0</v>
      </c>
      <c r="AL67">
        <v>0</v>
      </c>
      <c r="AM67">
        <v>0</v>
      </c>
      <c r="AN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303258</v>
      </c>
      <c r="BO67">
        <v>0</v>
      </c>
      <c r="BP67">
        <v>0</v>
      </c>
      <c r="BQ67">
        <v>0</v>
      </c>
      <c r="BR67">
        <v>0</v>
      </c>
      <c r="BS67">
        <v>0</v>
      </c>
      <c r="BT67">
        <v>0</v>
      </c>
      <c r="BU67">
        <v>0</v>
      </c>
      <c r="BV67">
        <v>0</v>
      </c>
      <c r="BW67">
        <v>0</v>
      </c>
      <c r="BX67">
        <v>0</v>
      </c>
      <c r="BY67">
        <v>0</v>
      </c>
      <c r="BZ67">
        <v>0</v>
      </c>
      <c r="CA67">
        <v>0</v>
      </c>
      <c r="CB67">
        <v>0</v>
      </c>
      <c r="CC67">
        <v>0</v>
      </c>
      <c r="CD67">
        <v>0</v>
      </c>
      <c r="CE67">
        <v>0</v>
      </c>
      <c r="CF67">
        <v>0</v>
      </c>
      <c r="CG67">
        <v>0</v>
      </c>
      <c r="CH67">
        <v>365771</v>
      </c>
      <c r="CI67">
        <v>0</v>
      </c>
      <c r="CJ67">
        <v>0</v>
      </c>
      <c r="CK67">
        <v>0</v>
      </c>
      <c r="CL67">
        <v>0</v>
      </c>
      <c r="CM67">
        <v>0</v>
      </c>
      <c r="CN67">
        <v>0</v>
      </c>
      <c r="CO67">
        <v>0</v>
      </c>
      <c r="CP67">
        <v>0</v>
      </c>
      <c r="CQ67">
        <v>0</v>
      </c>
      <c r="CR67">
        <v>0</v>
      </c>
      <c r="CS67">
        <v>0</v>
      </c>
      <c r="CT67">
        <v>0</v>
      </c>
      <c r="CU67">
        <v>0</v>
      </c>
      <c r="CV67">
        <v>0</v>
      </c>
      <c r="CW67">
        <v>0</v>
      </c>
      <c r="CX67">
        <v>0</v>
      </c>
      <c r="CY67">
        <v>0</v>
      </c>
    </row>
    <row r="68" spans="1:103" x14ac:dyDescent="0.3">
      <c r="A68">
        <v>385</v>
      </c>
      <c r="B68" t="s">
        <v>95</v>
      </c>
      <c r="D68">
        <v>334955470</v>
      </c>
      <c r="E68">
        <v>79155325</v>
      </c>
      <c r="F68">
        <v>43218630</v>
      </c>
      <c r="G68">
        <v>67885128</v>
      </c>
      <c r="H68">
        <v>95798367</v>
      </c>
      <c r="I68">
        <v>100572956</v>
      </c>
      <c r="J68">
        <v>104161244</v>
      </c>
      <c r="K68">
        <v>51570654</v>
      </c>
      <c r="L68">
        <v>140824047</v>
      </c>
      <c r="M68">
        <v>537021501</v>
      </c>
      <c r="N68">
        <v>673010414</v>
      </c>
      <c r="O68">
        <v>182038340</v>
      </c>
      <c r="P68">
        <v>756070211</v>
      </c>
      <c r="Q68">
        <v>131845541</v>
      </c>
      <c r="R68">
        <v>50100910</v>
      </c>
      <c r="S68">
        <v>216507797</v>
      </c>
      <c r="U68">
        <v>514727008</v>
      </c>
      <c r="V68">
        <v>364317784</v>
      </c>
      <c r="X68">
        <v>57946196</v>
      </c>
      <c r="Y68">
        <v>47010827</v>
      </c>
      <c r="Z68">
        <v>348215907</v>
      </c>
      <c r="AA68">
        <v>223256160</v>
      </c>
      <c r="AB68">
        <v>223364787</v>
      </c>
      <c r="AC68">
        <v>696824950</v>
      </c>
      <c r="AD68">
        <v>290485940</v>
      </c>
      <c r="AE68">
        <v>510052725</v>
      </c>
      <c r="AF68">
        <v>396562594</v>
      </c>
      <c r="AG68">
        <v>99258992</v>
      </c>
      <c r="AH68">
        <v>145751348</v>
      </c>
      <c r="AI68">
        <v>1204728926</v>
      </c>
      <c r="AJ68">
        <v>101243952</v>
      </c>
      <c r="AK68">
        <v>1108224799</v>
      </c>
      <c r="AL68">
        <v>199721961</v>
      </c>
      <c r="AM68">
        <v>559492002</v>
      </c>
      <c r="AN68">
        <v>24740579</v>
      </c>
      <c r="AP68">
        <v>156282100</v>
      </c>
      <c r="AQ68">
        <v>49073817</v>
      </c>
      <c r="AR68">
        <v>967797982</v>
      </c>
      <c r="AS68">
        <v>106217644</v>
      </c>
      <c r="AT68">
        <v>376453561</v>
      </c>
      <c r="AU68">
        <v>222113305</v>
      </c>
      <c r="AV68">
        <v>335010673</v>
      </c>
      <c r="AW68">
        <v>67789385</v>
      </c>
      <c r="AX68">
        <v>181447277</v>
      </c>
      <c r="AY68">
        <v>39870603</v>
      </c>
      <c r="AZ68">
        <v>786390928</v>
      </c>
      <c r="BA68">
        <v>216639713</v>
      </c>
      <c r="BB68">
        <v>487091845</v>
      </c>
      <c r="BC68">
        <v>72195369</v>
      </c>
      <c r="BD68">
        <v>136929712</v>
      </c>
      <c r="BE68">
        <v>108682693</v>
      </c>
      <c r="BF68">
        <v>326888905</v>
      </c>
      <c r="BG68">
        <v>134302916</v>
      </c>
      <c r="BH68">
        <v>47706414</v>
      </c>
      <c r="BI68">
        <v>85698097</v>
      </c>
      <c r="BJ68">
        <v>103634719</v>
      </c>
      <c r="BK68">
        <v>3575399700</v>
      </c>
      <c r="BL68">
        <v>44815486</v>
      </c>
      <c r="BM68">
        <v>177097140</v>
      </c>
      <c r="BN68">
        <v>331552935</v>
      </c>
      <c r="BO68">
        <v>230793202</v>
      </c>
      <c r="BP68">
        <v>1114512427</v>
      </c>
      <c r="BQ68">
        <v>81211195</v>
      </c>
      <c r="BR68">
        <v>470611057</v>
      </c>
      <c r="BS68">
        <v>430181227</v>
      </c>
      <c r="BT68">
        <v>31186430</v>
      </c>
      <c r="BU68">
        <v>112240255</v>
      </c>
      <c r="BV68">
        <v>171903961</v>
      </c>
      <c r="BW68">
        <v>28010336</v>
      </c>
      <c r="BX68">
        <v>150565178</v>
      </c>
      <c r="BY68">
        <v>457557663</v>
      </c>
      <c r="BZ68">
        <v>76351376</v>
      </c>
      <c r="CA68">
        <v>341151736</v>
      </c>
      <c r="CB68">
        <v>81788528</v>
      </c>
      <c r="CC68">
        <v>200904006</v>
      </c>
      <c r="CD68">
        <v>207864590</v>
      </c>
      <c r="CE68">
        <v>321301149</v>
      </c>
      <c r="CF68">
        <v>196984198</v>
      </c>
      <c r="CG68">
        <v>236554377</v>
      </c>
      <c r="CH68">
        <v>82180246</v>
      </c>
      <c r="CI68">
        <v>140540719</v>
      </c>
      <c r="CJ68">
        <v>120790456</v>
      </c>
      <c r="CK68">
        <v>207851040</v>
      </c>
      <c r="CL68">
        <v>99945687</v>
      </c>
      <c r="CM68">
        <v>135872980</v>
      </c>
      <c r="CN68">
        <v>10786276</v>
      </c>
      <c r="CO68">
        <v>841818974</v>
      </c>
      <c r="CP68">
        <v>96468905</v>
      </c>
      <c r="CQ68">
        <v>2870819064</v>
      </c>
      <c r="CR68">
        <v>59786200</v>
      </c>
      <c r="CS68">
        <v>71561470</v>
      </c>
      <c r="CT68">
        <v>322420746</v>
      </c>
      <c r="CU68">
        <v>479699013</v>
      </c>
      <c r="CV68">
        <v>155596518</v>
      </c>
      <c r="CW68">
        <v>161799477</v>
      </c>
      <c r="CX68">
        <v>103941908</v>
      </c>
      <c r="CY68">
        <v>46073895</v>
      </c>
    </row>
    <row r="69" spans="1:103" x14ac:dyDescent="0.3">
      <c r="A69">
        <v>386</v>
      </c>
      <c r="B69" t="s">
        <v>162</v>
      </c>
      <c r="D69">
        <v>0</v>
      </c>
      <c r="E69">
        <v>4199506</v>
      </c>
      <c r="F69">
        <v>0</v>
      </c>
      <c r="G69">
        <v>0</v>
      </c>
      <c r="H69">
        <v>0</v>
      </c>
      <c r="I69">
        <v>0</v>
      </c>
      <c r="J69">
        <v>8404885</v>
      </c>
      <c r="K69">
        <v>0</v>
      </c>
      <c r="L69">
        <v>0</v>
      </c>
      <c r="M69">
        <v>0</v>
      </c>
      <c r="N69">
        <v>0</v>
      </c>
      <c r="O69">
        <v>38212191</v>
      </c>
      <c r="P69">
        <v>0</v>
      </c>
      <c r="Q69">
        <v>7267919</v>
      </c>
      <c r="R69">
        <v>0</v>
      </c>
      <c r="S69">
        <v>0</v>
      </c>
      <c r="U69">
        <v>18040338</v>
      </c>
      <c r="V69">
        <v>0</v>
      </c>
      <c r="X69">
        <v>0</v>
      </c>
      <c r="Y69">
        <v>0</v>
      </c>
      <c r="Z69">
        <v>20715702</v>
      </c>
      <c r="AA69">
        <v>680527</v>
      </c>
      <c r="AB69">
        <v>0</v>
      </c>
      <c r="AC69">
        <v>0</v>
      </c>
      <c r="AD69">
        <v>0</v>
      </c>
      <c r="AE69">
        <v>0</v>
      </c>
      <c r="AF69">
        <v>0</v>
      </c>
      <c r="AG69">
        <v>0</v>
      </c>
      <c r="AH69">
        <v>412101</v>
      </c>
      <c r="AI69">
        <v>0</v>
      </c>
      <c r="AJ69">
        <v>6484602</v>
      </c>
      <c r="AK69">
        <v>0</v>
      </c>
      <c r="AL69">
        <v>250905</v>
      </c>
      <c r="AM69">
        <v>140467661</v>
      </c>
      <c r="AN69">
        <v>0</v>
      </c>
      <c r="AP69">
        <v>14487820</v>
      </c>
      <c r="AQ69">
        <v>0</v>
      </c>
      <c r="AR69">
        <v>0</v>
      </c>
      <c r="AS69">
        <v>1224</v>
      </c>
      <c r="AT69">
        <v>0</v>
      </c>
      <c r="AU69">
        <v>0</v>
      </c>
      <c r="AV69">
        <v>0</v>
      </c>
      <c r="AW69">
        <v>2211401</v>
      </c>
      <c r="AX69">
        <v>0</v>
      </c>
      <c r="AY69">
        <v>359196</v>
      </c>
      <c r="AZ69">
        <v>125000</v>
      </c>
      <c r="BA69">
        <v>0</v>
      </c>
      <c r="BB69">
        <v>13326725</v>
      </c>
      <c r="BC69">
        <v>85422</v>
      </c>
      <c r="BD69">
        <v>6111185</v>
      </c>
      <c r="BE69">
        <v>88000</v>
      </c>
      <c r="BF69">
        <v>0</v>
      </c>
      <c r="BG69">
        <v>0</v>
      </c>
      <c r="BH69">
        <v>0</v>
      </c>
      <c r="BI69">
        <v>0</v>
      </c>
      <c r="BJ69">
        <v>4032302</v>
      </c>
      <c r="BK69">
        <v>623615</v>
      </c>
      <c r="BL69">
        <v>0</v>
      </c>
      <c r="BM69">
        <v>0</v>
      </c>
      <c r="BN69">
        <v>0</v>
      </c>
      <c r="BO69">
        <v>10332674</v>
      </c>
      <c r="BP69">
        <v>627621</v>
      </c>
      <c r="BQ69">
        <v>0</v>
      </c>
      <c r="BR69">
        <v>0</v>
      </c>
      <c r="BS69">
        <v>0</v>
      </c>
      <c r="BT69">
        <v>150000</v>
      </c>
      <c r="BU69">
        <v>6702802</v>
      </c>
      <c r="BV69">
        <v>448667</v>
      </c>
      <c r="BW69">
        <v>0</v>
      </c>
      <c r="BX69">
        <v>23577474</v>
      </c>
      <c r="BY69">
        <v>20771373</v>
      </c>
      <c r="BZ69">
        <v>0</v>
      </c>
      <c r="CA69">
        <v>0</v>
      </c>
      <c r="CB69">
        <v>0</v>
      </c>
      <c r="CC69">
        <v>0</v>
      </c>
      <c r="CD69">
        <v>23800243</v>
      </c>
      <c r="CE69">
        <v>8543729</v>
      </c>
      <c r="CF69">
        <v>0</v>
      </c>
      <c r="CG69">
        <v>0</v>
      </c>
      <c r="CH69">
        <v>0</v>
      </c>
      <c r="CI69">
        <v>2144474</v>
      </c>
      <c r="CJ69">
        <v>7181117</v>
      </c>
      <c r="CK69">
        <v>0</v>
      </c>
      <c r="CL69">
        <v>0</v>
      </c>
      <c r="CM69">
        <v>13806438</v>
      </c>
      <c r="CN69">
        <v>0</v>
      </c>
      <c r="CO69">
        <v>0</v>
      </c>
      <c r="CP69">
        <v>10363198</v>
      </c>
      <c r="CQ69">
        <v>528619017</v>
      </c>
      <c r="CR69">
        <v>0</v>
      </c>
      <c r="CS69">
        <v>1950457</v>
      </c>
      <c r="CT69">
        <v>0</v>
      </c>
      <c r="CU69">
        <v>0</v>
      </c>
      <c r="CV69">
        <v>0</v>
      </c>
      <c r="CW69">
        <v>0</v>
      </c>
      <c r="CX69">
        <v>6132676</v>
      </c>
      <c r="CY69">
        <v>0</v>
      </c>
    </row>
    <row r="70" spans="1:103" x14ac:dyDescent="0.3">
      <c r="A70">
        <v>387</v>
      </c>
      <c r="B70" t="s">
        <v>163</v>
      </c>
      <c r="D70">
        <v>0</v>
      </c>
      <c r="E70">
        <v>4217698</v>
      </c>
      <c r="F70">
        <v>0</v>
      </c>
      <c r="G70">
        <v>957403</v>
      </c>
      <c r="H70">
        <v>325000</v>
      </c>
      <c r="I70">
        <v>0</v>
      </c>
      <c r="J70">
        <v>8374885</v>
      </c>
      <c r="K70">
        <v>0</v>
      </c>
      <c r="L70">
        <v>424556</v>
      </c>
      <c r="M70">
        <v>6873012</v>
      </c>
      <c r="N70">
        <v>0</v>
      </c>
      <c r="O70">
        <v>41785191</v>
      </c>
      <c r="P70">
        <v>621872</v>
      </c>
      <c r="Q70">
        <v>6267919</v>
      </c>
      <c r="R70">
        <v>0</v>
      </c>
      <c r="S70">
        <v>0</v>
      </c>
      <c r="U70">
        <v>20735365</v>
      </c>
      <c r="V70">
        <v>0</v>
      </c>
      <c r="X70">
        <v>1084029</v>
      </c>
      <c r="Y70">
        <v>0</v>
      </c>
      <c r="Z70">
        <v>20200367</v>
      </c>
      <c r="AA70">
        <v>0</v>
      </c>
      <c r="AB70">
        <v>4524295</v>
      </c>
      <c r="AC70">
        <v>13577116</v>
      </c>
      <c r="AD70">
        <v>4893842</v>
      </c>
      <c r="AE70">
        <v>0</v>
      </c>
      <c r="AF70">
        <v>884525</v>
      </c>
      <c r="AG70">
        <v>234303</v>
      </c>
      <c r="AH70">
        <v>0</v>
      </c>
      <c r="AI70">
        <v>0</v>
      </c>
      <c r="AJ70">
        <v>7110720</v>
      </c>
      <c r="AK70">
        <v>0</v>
      </c>
      <c r="AL70">
        <v>0</v>
      </c>
      <c r="AM70">
        <v>140467661</v>
      </c>
      <c r="AN70">
        <v>0</v>
      </c>
      <c r="AP70">
        <v>21180070</v>
      </c>
      <c r="AQ70">
        <v>0</v>
      </c>
      <c r="AR70">
        <v>0</v>
      </c>
      <c r="AS70">
        <v>0</v>
      </c>
      <c r="AT70">
        <v>0</v>
      </c>
      <c r="AU70">
        <v>0</v>
      </c>
      <c r="AV70">
        <v>1500000</v>
      </c>
      <c r="AW70">
        <v>2263956</v>
      </c>
      <c r="AX70">
        <v>0</v>
      </c>
      <c r="AY70">
        <v>359196</v>
      </c>
      <c r="AZ70">
        <v>0</v>
      </c>
      <c r="BA70">
        <v>275000</v>
      </c>
      <c r="BB70">
        <v>14671543</v>
      </c>
      <c r="BC70">
        <v>0</v>
      </c>
      <c r="BD70">
        <v>6111185</v>
      </c>
      <c r="BE70">
        <v>0</v>
      </c>
      <c r="BF70">
        <v>0</v>
      </c>
      <c r="BG70">
        <v>158334</v>
      </c>
      <c r="BH70">
        <v>0</v>
      </c>
      <c r="BI70">
        <v>0</v>
      </c>
      <c r="BJ70">
        <v>5644513</v>
      </c>
      <c r="BK70">
        <v>0</v>
      </c>
      <c r="BL70">
        <v>0</v>
      </c>
      <c r="BM70">
        <v>0</v>
      </c>
      <c r="BN70">
        <v>146570</v>
      </c>
      <c r="BO70">
        <v>10332674</v>
      </c>
      <c r="BP70">
        <v>0</v>
      </c>
      <c r="BQ70">
        <v>20000</v>
      </c>
      <c r="BR70">
        <v>975396</v>
      </c>
      <c r="BS70">
        <v>0</v>
      </c>
      <c r="BT70">
        <v>0</v>
      </c>
      <c r="BU70">
        <v>9041582</v>
      </c>
      <c r="BV70">
        <v>0</v>
      </c>
      <c r="BW70">
        <v>20000</v>
      </c>
      <c r="BX70">
        <v>23577474</v>
      </c>
      <c r="BY70">
        <v>20514494</v>
      </c>
      <c r="BZ70">
        <v>90000</v>
      </c>
      <c r="CA70">
        <v>1281000</v>
      </c>
      <c r="CB70">
        <v>0</v>
      </c>
      <c r="CC70">
        <v>0</v>
      </c>
      <c r="CD70">
        <v>31018217</v>
      </c>
      <c r="CE70">
        <v>9570404</v>
      </c>
      <c r="CF70">
        <v>350000</v>
      </c>
      <c r="CG70">
        <v>0</v>
      </c>
      <c r="CH70">
        <v>1113731</v>
      </c>
      <c r="CI70">
        <v>2824362</v>
      </c>
      <c r="CJ70">
        <v>7441197</v>
      </c>
      <c r="CK70">
        <v>237239</v>
      </c>
      <c r="CL70">
        <v>47346</v>
      </c>
      <c r="CM70">
        <v>14969110</v>
      </c>
      <c r="CN70">
        <v>0</v>
      </c>
      <c r="CO70">
        <v>0</v>
      </c>
      <c r="CP70">
        <v>10456592</v>
      </c>
      <c r="CQ70">
        <v>528619017</v>
      </c>
      <c r="CR70">
        <v>48489</v>
      </c>
      <c r="CS70">
        <v>1985457</v>
      </c>
      <c r="CT70">
        <v>0</v>
      </c>
      <c r="CU70">
        <v>2095868</v>
      </c>
      <c r="CV70">
        <v>1000000</v>
      </c>
      <c r="CW70">
        <v>0</v>
      </c>
      <c r="CX70">
        <v>6158996</v>
      </c>
      <c r="CY70">
        <v>50000</v>
      </c>
    </row>
    <row r="71" spans="1:103" x14ac:dyDescent="0.3">
      <c r="A71">
        <v>388</v>
      </c>
      <c r="B71" t="s">
        <v>157</v>
      </c>
      <c r="D71">
        <v>246702015</v>
      </c>
      <c r="E71">
        <v>49755431</v>
      </c>
      <c r="F71">
        <v>19716573</v>
      </c>
      <c r="G71">
        <v>35863673</v>
      </c>
      <c r="H71">
        <v>45556280</v>
      </c>
      <c r="I71">
        <v>36384351</v>
      </c>
      <c r="J71">
        <v>71813089</v>
      </c>
      <c r="K71">
        <v>27586579</v>
      </c>
      <c r="L71">
        <v>54297427</v>
      </c>
      <c r="M71">
        <v>255349190</v>
      </c>
      <c r="N71">
        <v>549307612</v>
      </c>
      <c r="O71">
        <v>104703002</v>
      </c>
      <c r="P71">
        <v>357455926</v>
      </c>
      <c r="Q71">
        <v>106150155</v>
      </c>
      <c r="R71">
        <v>16424736</v>
      </c>
      <c r="S71">
        <v>139139015</v>
      </c>
      <c r="U71">
        <v>240636877</v>
      </c>
      <c r="V71">
        <v>149927143</v>
      </c>
      <c r="X71">
        <v>21873115</v>
      </c>
      <c r="Y71">
        <v>24332209</v>
      </c>
      <c r="Z71">
        <v>169117117</v>
      </c>
      <c r="AA71">
        <v>88126998</v>
      </c>
      <c r="AB71">
        <v>136991488</v>
      </c>
      <c r="AC71">
        <v>353338487</v>
      </c>
      <c r="AD71">
        <v>91649947</v>
      </c>
      <c r="AE71">
        <v>168189949</v>
      </c>
      <c r="AF71">
        <v>181572036</v>
      </c>
      <c r="AG71">
        <v>72535153</v>
      </c>
      <c r="AH71">
        <v>83962992</v>
      </c>
      <c r="AI71">
        <v>649581159</v>
      </c>
      <c r="AJ71">
        <v>67131755</v>
      </c>
      <c r="AK71">
        <v>533584672</v>
      </c>
      <c r="AL71">
        <v>101756371</v>
      </c>
      <c r="AM71">
        <v>334765897</v>
      </c>
      <c r="AN71">
        <v>14836972</v>
      </c>
      <c r="AP71">
        <v>72882949</v>
      </c>
      <c r="AQ71">
        <v>26257839</v>
      </c>
      <c r="AR71">
        <v>778580921</v>
      </c>
      <c r="AS71">
        <v>77179287</v>
      </c>
      <c r="AT71">
        <v>191968860</v>
      </c>
      <c r="AU71">
        <v>110654391</v>
      </c>
      <c r="AV71">
        <v>186924123</v>
      </c>
      <c r="AW71">
        <v>28464423</v>
      </c>
      <c r="AX71">
        <v>63029532</v>
      </c>
      <c r="AY71">
        <v>17919254</v>
      </c>
      <c r="AZ71">
        <v>268970614</v>
      </c>
      <c r="BA71">
        <v>75965518</v>
      </c>
      <c r="BB71">
        <v>293049182</v>
      </c>
      <c r="BC71">
        <v>19562510</v>
      </c>
      <c r="BD71">
        <v>80701492</v>
      </c>
      <c r="BE71">
        <v>72020550</v>
      </c>
      <c r="BF71">
        <v>137304320</v>
      </c>
      <c r="BG71">
        <v>65934021</v>
      </c>
      <c r="BH71">
        <v>35464949</v>
      </c>
      <c r="BI71">
        <v>33307944</v>
      </c>
      <c r="BJ71">
        <v>67214731</v>
      </c>
      <c r="BK71">
        <v>2235094943</v>
      </c>
      <c r="BL71">
        <v>24298827</v>
      </c>
      <c r="BM71">
        <v>34709366</v>
      </c>
      <c r="BN71">
        <v>143317685</v>
      </c>
      <c r="BO71">
        <v>109357368</v>
      </c>
      <c r="BP71">
        <v>441470948</v>
      </c>
      <c r="BQ71">
        <v>36839053</v>
      </c>
      <c r="BR71">
        <v>240403693</v>
      </c>
      <c r="BS71">
        <v>321416634</v>
      </c>
      <c r="BT71">
        <v>25405248</v>
      </c>
      <c r="BU71">
        <v>55990903</v>
      </c>
      <c r="BV71">
        <v>105102431</v>
      </c>
      <c r="BW71">
        <v>26494937</v>
      </c>
      <c r="BX71">
        <v>71651706</v>
      </c>
      <c r="BY71">
        <v>206724689</v>
      </c>
      <c r="BZ71">
        <v>41875546</v>
      </c>
      <c r="CA71">
        <v>181840184</v>
      </c>
      <c r="CB71">
        <v>64835730</v>
      </c>
      <c r="CC71">
        <v>167951562</v>
      </c>
      <c r="CD71">
        <v>138429127</v>
      </c>
      <c r="CE71">
        <v>175519970</v>
      </c>
      <c r="CF71">
        <v>82157120</v>
      </c>
      <c r="CG71">
        <v>96484281</v>
      </c>
      <c r="CH71">
        <v>53197466</v>
      </c>
      <c r="CI71">
        <v>81138522</v>
      </c>
      <c r="CJ71">
        <v>63420451</v>
      </c>
      <c r="CK71">
        <v>105811078</v>
      </c>
      <c r="CL71">
        <v>26217451</v>
      </c>
      <c r="CM71">
        <v>68919156</v>
      </c>
      <c r="CN71">
        <v>8530480</v>
      </c>
      <c r="CO71">
        <v>367584842</v>
      </c>
      <c r="CP71">
        <v>54061410</v>
      </c>
      <c r="CQ71">
        <v>2032686602</v>
      </c>
      <c r="CR71">
        <v>35570423</v>
      </c>
      <c r="CS71">
        <v>16290644</v>
      </c>
      <c r="CT71">
        <v>76838865</v>
      </c>
      <c r="CU71">
        <v>141258482</v>
      </c>
      <c r="CV71">
        <v>107043783</v>
      </c>
      <c r="CW71">
        <v>131191388</v>
      </c>
      <c r="CX71">
        <v>44654121</v>
      </c>
      <c r="CY71">
        <v>34413670</v>
      </c>
    </row>
    <row r="72" spans="1:103" x14ac:dyDescent="0.3">
      <c r="A72">
        <v>389</v>
      </c>
      <c r="B72" t="s">
        <v>164</v>
      </c>
      <c r="D72">
        <v>0</v>
      </c>
      <c r="E72">
        <v>0</v>
      </c>
      <c r="F72">
        <v>0</v>
      </c>
      <c r="G72">
        <v>0</v>
      </c>
      <c r="H72">
        <v>0</v>
      </c>
      <c r="I72">
        <v>0</v>
      </c>
      <c r="J72">
        <v>0</v>
      </c>
      <c r="K72">
        <v>0</v>
      </c>
      <c r="L72">
        <v>0</v>
      </c>
      <c r="M72">
        <v>0</v>
      </c>
      <c r="N72">
        <v>0</v>
      </c>
      <c r="O72">
        <v>0</v>
      </c>
      <c r="P72">
        <v>0</v>
      </c>
      <c r="Q72">
        <v>0</v>
      </c>
      <c r="R72">
        <v>0</v>
      </c>
      <c r="S72">
        <v>0</v>
      </c>
      <c r="U72">
        <v>0</v>
      </c>
      <c r="V72">
        <v>0</v>
      </c>
      <c r="X72">
        <v>0</v>
      </c>
      <c r="Y72">
        <v>0</v>
      </c>
      <c r="Z72">
        <v>0</v>
      </c>
      <c r="AA72">
        <v>0</v>
      </c>
      <c r="AB72">
        <v>0</v>
      </c>
      <c r="AC72">
        <v>0</v>
      </c>
      <c r="AD72">
        <v>0</v>
      </c>
      <c r="AE72">
        <v>0</v>
      </c>
      <c r="AF72">
        <v>0</v>
      </c>
      <c r="AG72">
        <v>0</v>
      </c>
      <c r="AH72">
        <v>0</v>
      </c>
      <c r="AI72">
        <v>0</v>
      </c>
      <c r="AJ72">
        <v>0</v>
      </c>
      <c r="AK72">
        <v>0</v>
      </c>
      <c r="AL72">
        <v>0</v>
      </c>
      <c r="AM72">
        <v>0</v>
      </c>
      <c r="AN72">
        <v>0</v>
      </c>
      <c r="AP72">
        <v>0</v>
      </c>
      <c r="AQ72">
        <v>0</v>
      </c>
      <c r="AR72">
        <v>0</v>
      </c>
      <c r="AS72">
        <v>0</v>
      </c>
      <c r="AT72">
        <v>0</v>
      </c>
      <c r="AU72">
        <v>-4864809</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-961000</v>
      </c>
      <c r="CE72">
        <v>0</v>
      </c>
      <c r="CF72">
        <v>0</v>
      </c>
      <c r="CG72">
        <v>0</v>
      </c>
      <c r="CH72">
        <v>0</v>
      </c>
      <c r="CI72">
        <v>0</v>
      </c>
      <c r="CJ72">
        <v>0</v>
      </c>
      <c r="CK72">
        <v>-5214711</v>
      </c>
      <c r="CL72">
        <v>0</v>
      </c>
      <c r="CM72">
        <v>0</v>
      </c>
      <c r="CN72">
        <v>0</v>
      </c>
      <c r="CO72">
        <v>0</v>
      </c>
      <c r="CP72">
        <v>-62925</v>
      </c>
      <c r="CQ72">
        <v>0</v>
      </c>
      <c r="CR72">
        <v>0</v>
      </c>
      <c r="CS72">
        <v>-758892</v>
      </c>
      <c r="CT72">
        <v>0</v>
      </c>
      <c r="CU72">
        <v>0</v>
      </c>
      <c r="CV72">
        <v>0</v>
      </c>
      <c r="CW72">
        <v>0</v>
      </c>
      <c r="CX72">
        <v>0</v>
      </c>
      <c r="CY72">
        <v>0</v>
      </c>
    </row>
    <row r="73" spans="1:103" x14ac:dyDescent="0.3">
      <c r="A73">
        <v>391</v>
      </c>
      <c r="B73" t="s">
        <v>169</v>
      </c>
      <c r="D73">
        <v>15366079</v>
      </c>
      <c r="E73">
        <v>4314953</v>
      </c>
      <c r="F73">
        <v>1336890</v>
      </c>
      <c r="G73">
        <v>3008527</v>
      </c>
      <c r="H73">
        <v>3930209</v>
      </c>
      <c r="I73">
        <v>3899034</v>
      </c>
      <c r="J73">
        <v>6469708</v>
      </c>
      <c r="K73">
        <v>2974552</v>
      </c>
      <c r="L73">
        <v>7250213</v>
      </c>
      <c r="M73">
        <v>14972716</v>
      </c>
      <c r="N73">
        <v>36078890</v>
      </c>
      <c r="O73">
        <v>5063323</v>
      </c>
      <c r="P73">
        <v>32731628</v>
      </c>
      <c r="Q73">
        <v>5741719</v>
      </c>
      <c r="R73">
        <v>1377565</v>
      </c>
      <c r="S73">
        <v>14427134</v>
      </c>
      <c r="U73">
        <v>24393747</v>
      </c>
      <c r="V73">
        <v>11469973</v>
      </c>
      <c r="X73">
        <v>1751852</v>
      </c>
      <c r="Y73">
        <v>1620701</v>
      </c>
      <c r="Z73">
        <v>11442113</v>
      </c>
      <c r="AA73">
        <v>18137082</v>
      </c>
      <c r="AB73">
        <v>11913799</v>
      </c>
      <c r="AC73">
        <v>42111209</v>
      </c>
      <c r="AD73">
        <v>4180584</v>
      </c>
      <c r="AE73">
        <v>17864589</v>
      </c>
      <c r="AF73">
        <v>18941356</v>
      </c>
      <c r="AG73">
        <v>9467994</v>
      </c>
      <c r="AH73">
        <v>3453599</v>
      </c>
      <c r="AI73">
        <v>69860130</v>
      </c>
      <c r="AJ73">
        <v>12422905</v>
      </c>
      <c r="AK73">
        <v>44694994</v>
      </c>
      <c r="AL73">
        <v>8137400</v>
      </c>
      <c r="AM73">
        <v>18909434</v>
      </c>
      <c r="AN73">
        <v>1699341</v>
      </c>
      <c r="AP73">
        <v>6151810</v>
      </c>
      <c r="AQ73">
        <v>2820687</v>
      </c>
      <c r="AR73">
        <v>64211658</v>
      </c>
      <c r="AS73">
        <v>7778491</v>
      </c>
      <c r="AT73">
        <v>19310705</v>
      </c>
      <c r="AU73">
        <v>10159135</v>
      </c>
      <c r="AV73">
        <v>15264138</v>
      </c>
      <c r="AW73">
        <v>6186349</v>
      </c>
      <c r="AX73">
        <v>7682250</v>
      </c>
      <c r="AY73">
        <v>2499446</v>
      </c>
      <c r="AZ73">
        <v>65711527</v>
      </c>
      <c r="BA73">
        <v>6432253</v>
      </c>
      <c r="BB73">
        <v>29469338</v>
      </c>
      <c r="BC73">
        <v>4323659</v>
      </c>
      <c r="BD73">
        <v>12870064</v>
      </c>
      <c r="BE73">
        <v>8151577</v>
      </c>
      <c r="BF73">
        <v>11484497</v>
      </c>
      <c r="BG73">
        <v>5640570</v>
      </c>
      <c r="BH73">
        <v>3542698</v>
      </c>
      <c r="BI73">
        <v>2457595</v>
      </c>
      <c r="BJ73">
        <v>5997008</v>
      </c>
      <c r="BK73">
        <v>213091071</v>
      </c>
      <c r="BL73">
        <v>1770124</v>
      </c>
      <c r="BM73">
        <v>3725101</v>
      </c>
      <c r="BN73">
        <v>13997918</v>
      </c>
      <c r="BO73">
        <v>11551529</v>
      </c>
      <c r="BP73">
        <v>45593409</v>
      </c>
      <c r="BQ73">
        <v>2526185</v>
      </c>
      <c r="BR73">
        <v>26649097</v>
      </c>
      <c r="BS73">
        <v>21845304</v>
      </c>
      <c r="BT73">
        <v>1725113</v>
      </c>
      <c r="BU73">
        <v>7272847</v>
      </c>
      <c r="BV73">
        <v>7368140</v>
      </c>
      <c r="BW73">
        <v>2078627</v>
      </c>
      <c r="BX73">
        <v>9212194</v>
      </c>
      <c r="BY73">
        <v>10672517</v>
      </c>
      <c r="BZ73">
        <v>3140659</v>
      </c>
      <c r="CA73">
        <v>27730300</v>
      </c>
      <c r="CB73">
        <v>5066284</v>
      </c>
      <c r="CC73">
        <v>8192251</v>
      </c>
      <c r="CD73">
        <v>8857240</v>
      </c>
      <c r="CE73">
        <v>19260336</v>
      </c>
      <c r="CF73">
        <v>7021492</v>
      </c>
      <c r="CG73">
        <v>10229153</v>
      </c>
      <c r="CH73">
        <v>4673448</v>
      </c>
      <c r="CI73">
        <v>9148921</v>
      </c>
      <c r="CJ73">
        <v>3585010</v>
      </c>
      <c r="CK73">
        <v>14098129</v>
      </c>
      <c r="CL73">
        <v>1884840</v>
      </c>
      <c r="CM73">
        <v>8292013</v>
      </c>
      <c r="CN73">
        <v>420005</v>
      </c>
      <c r="CO73">
        <v>29266101</v>
      </c>
      <c r="CP73">
        <v>5909167</v>
      </c>
      <c r="CQ73">
        <v>128586068</v>
      </c>
      <c r="CR73">
        <v>2428342</v>
      </c>
      <c r="CS73">
        <v>1545624</v>
      </c>
      <c r="CT73">
        <v>15486170</v>
      </c>
      <c r="CU73">
        <v>17042897</v>
      </c>
      <c r="CV73">
        <v>5944652</v>
      </c>
      <c r="CW73">
        <v>9797900</v>
      </c>
      <c r="CX73">
        <v>4266336</v>
      </c>
      <c r="CY73">
        <v>3205057</v>
      </c>
    </row>
    <row r="74" spans="1:103" x14ac:dyDescent="0.3">
      <c r="A74">
        <v>500</v>
      </c>
      <c r="B74" t="s">
        <v>152</v>
      </c>
      <c r="D74">
        <v>69645617</v>
      </c>
      <c r="E74">
        <v>9160330</v>
      </c>
      <c r="F74">
        <v>120716</v>
      </c>
      <c r="G74">
        <v>4157050</v>
      </c>
      <c r="H74">
        <v>7936191</v>
      </c>
      <c r="I74">
        <v>39097</v>
      </c>
      <c r="J74">
        <v>2412157</v>
      </c>
      <c r="K74">
        <v>3023321</v>
      </c>
      <c r="L74">
        <v>3953264</v>
      </c>
      <c r="M74">
        <v>64276934</v>
      </c>
      <c r="N74">
        <v>55238009</v>
      </c>
      <c r="O74">
        <v>446520</v>
      </c>
      <c r="P74">
        <v>67209821</v>
      </c>
      <c r="Q74">
        <v>22903303</v>
      </c>
      <c r="R74">
        <v>7525553</v>
      </c>
      <c r="S74">
        <v>25520227</v>
      </c>
      <c r="U74">
        <v>72141926</v>
      </c>
      <c r="V74">
        <v>11184180</v>
      </c>
      <c r="X74">
        <v>2693543</v>
      </c>
      <c r="Y74">
        <v>2564877</v>
      </c>
      <c r="Z74">
        <v>70733535</v>
      </c>
      <c r="AA74">
        <v>40083955</v>
      </c>
      <c r="AB74">
        <v>7552101</v>
      </c>
      <c r="AC74">
        <v>98071078</v>
      </c>
      <c r="AD74">
        <v>2079699</v>
      </c>
      <c r="AE74">
        <v>53468168</v>
      </c>
      <c r="AF74">
        <v>14941568</v>
      </c>
      <c r="AG74">
        <v>5994493</v>
      </c>
      <c r="AH74">
        <v>32695</v>
      </c>
      <c r="AI74">
        <v>77924874</v>
      </c>
      <c r="AJ74">
        <v>5549096</v>
      </c>
      <c r="AK74">
        <v>340369055</v>
      </c>
      <c r="AL74">
        <v>26998750</v>
      </c>
      <c r="AM74">
        <v>59720536</v>
      </c>
      <c r="AN74">
        <v>641268</v>
      </c>
      <c r="AP74">
        <v>10193895</v>
      </c>
      <c r="AQ74">
        <v>3170618</v>
      </c>
      <c r="AR74">
        <v>0</v>
      </c>
      <c r="AS74">
        <v>1839051</v>
      </c>
      <c r="AT74">
        <v>41120827</v>
      </c>
      <c r="AU74">
        <v>8501167</v>
      </c>
      <c r="AV74">
        <v>28955045</v>
      </c>
      <c r="AW74">
        <v>4901287</v>
      </c>
      <c r="AX74">
        <v>30917266</v>
      </c>
      <c r="AY74">
        <v>2627305</v>
      </c>
      <c r="AZ74">
        <v>28526225</v>
      </c>
      <c r="BA74">
        <v>18568757</v>
      </c>
      <c r="BB74">
        <v>55829905</v>
      </c>
      <c r="BC74">
        <v>2523499</v>
      </c>
      <c r="BD74">
        <v>6925900</v>
      </c>
      <c r="BE74">
        <v>6148170</v>
      </c>
      <c r="BF74">
        <v>20096828</v>
      </c>
      <c r="BG74">
        <v>5046033</v>
      </c>
      <c r="BH74">
        <v>2162290</v>
      </c>
      <c r="BI74">
        <v>16255851</v>
      </c>
      <c r="BJ74">
        <v>11763756</v>
      </c>
      <c r="BK74">
        <v>261819418</v>
      </c>
      <c r="BL74">
        <v>8375204</v>
      </c>
      <c r="BM74">
        <v>495295</v>
      </c>
      <c r="BN74">
        <v>59037107</v>
      </c>
      <c r="BO74">
        <v>19174993</v>
      </c>
      <c r="BP74">
        <v>362473436</v>
      </c>
      <c r="BQ74">
        <v>11169851</v>
      </c>
      <c r="BR74">
        <v>81230112</v>
      </c>
      <c r="BS74">
        <v>84445469</v>
      </c>
      <c r="BT74">
        <v>225372</v>
      </c>
      <c r="BU74">
        <v>2511146</v>
      </c>
      <c r="BV74">
        <v>13088569</v>
      </c>
      <c r="BW74">
        <v>2032463</v>
      </c>
      <c r="BX74">
        <v>31143556</v>
      </c>
      <c r="BY74">
        <v>46480689</v>
      </c>
      <c r="BZ74">
        <v>8820620</v>
      </c>
      <c r="CA74">
        <v>64271752</v>
      </c>
      <c r="CB74">
        <v>4594742</v>
      </c>
      <c r="CC74">
        <v>24193666</v>
      </c>
      <c r="CD74">
        <v>32977521</v>
      </c>
      <c r="CE74">
        <v>48805925</v>
      </c>
      <c r="CF74">
        <v>16129358</v>
      </c>
      <c r="CG74">
        <v>25731208</v>
      </c>
      <c r="CH74">
        <v>9775092</v>
      </c>
      <c r="CI74">
        <v>18875530</v>
      </c>
      <c r="CJ74">
        <v>20644152</v>
      </c>
      <c r="CK74">
        <v>17056601</v>
      </c>
      <c r="CL74">
        <v>58416782</v>
      </c>
      <c r="CM74">
        <v>618916</v>
      </c>
      <c r="CN74">
        <v>1337662</v>
      </c>
      <c r="CO74">
        <v>235506697</v>
      </c>
      <c r="CP74">
        <v>13049391</v>
      </c>
      <c r="CQ74">
        <v>296888722</v>
      </c>
      <c r="CR74">
        <v>5237242</v>
      </c>
      <c r="CS74">
        <v>22265895</v>
      </c>
      <c r="CT74">
        <v>7630411</v>
      </c>
      <c r="CU74">
        <v>156965367</v>
      </c>
      <c r="CV74">
        <v>15606556</v>
      </c>
      <c r="CW74">
        <v>19492876</v>
      </c>
      <c r="CX74">
        <v>1958317</v>
      </c>
      <c r="CY74">
        <v>9064820</v>
      </c>
    </row>
    <row r="75" spans="1:103" x14ac:dyDescent="0.3">
      <c r="A75">
        <v>502</v>
      </c>
      <c r="B75" t="s">
        <v>154</v>
      </c>
      <c r="D75">
        <v>30236697</v>
      </c>
      <c r="E75">
        <v>10151652</v>
      </c>
      <c r="F75">
        <v>634560</v>
      </c>
      <c r="G75">
        <v>7845158</v>
      </c>
      <c r="H75">
        <v>5064859</v>
      </c>
      <c r="I75">
        <v>0</v>
      </c>
      <c r="J75">
        <v>13747877</v>
      </c>
      <c r="K75">
        <v>1904706</v>
      </c>
      <c r="L75">
        <v>4176629</v>
      </c>
      <c r="M75">
        <v>124241266</v>
      </c>
      <c r="N75">
        <v>21682502</v>
      </c>
      <c r="O75">
        <v>5733516</v>
      </c>
      <c r="P75">
        <v>7763521</v>
      </c>
      <c r="Q75">
        <v>7388577</v>
      </c>
      <c r="R75">
        <v>3506293</v>
      </c>
      <c r="S75">
        <v>2645491</v>
      </c>
      <c r="U75">
        <v>42412593</v>
      </c>
      <c r="V75">
        <v>34971336</v>
      </c>
      <c r="X75">
        <v>3622716</v>
      </c>
      <c r="Y75">
        <v>478324</v>
      </c>
      <c r="Z75">
        <v>6483152</v>
      </c>
      <c r="AA75">
        <v>14371466</v>
      </c>
      <c r="AB75">
        <v>12896847</v>
      </c>
      <c r="AC75">
        <v>61646735</v>
      </c>
      <c r="AD75">
        <v>29627686</v>
      </c>
      <c r="AE75">
        <v>2676172</v>
      </c>
      <c r="AF75">
        <v>28385870</v>
      </c>
      <c r="AG75">
        <v>10900743</v>
      </c>
      <c r="AH75">
        <v>18203074</v>
      </c>
      <c r="AI75">
        <v>49954705</v>
      </c>
      <c r="AJ75">
        <v>4988749</v>
      </c>
      <c r="AK75">
        <v>0</v>
      </c>
      <c r="AL75">
        <v>30879403</v>
      </c>
      <c r="AM75">
        <v>18446533</v>
      </c>
      <c r="AN75">
        <v>3099850</v>
      </c>
      <c r="AP75">
        <v>6046478</v>
      </c>
      <c r="AQ75">
        <v>3454591</v>
      </c>
      <c r="AR75">
        <v>0</v>
      </c>
      <c r="AS75">
        <v>8944393</v>
      </c>
      <c r="AT75">
        <v>102181178</v>
      </c>
      <c r="AU75">
        <v>0</v>
      </c>
      <c r="AV75">
        <v>2342358</v>
      </c>
      <c r="AW75">
        <v>3813416</v>
      </c>
      <c r="AX75">
        <v>12937975</v>
      </c>
      <c r="AY75">
        <v>688449</v>
      </c>
      <c r="AZ75">
        <v>31611723</v>
      </c>
      <c r="BA75">
        <v>1883559</v>
      </c>
      <c r="BB75">
        <v>80271774</v>
      </c>
      <c r="BC75">
        <v>5222714</v>
      </c>
      <c r="BD75">
        <v>932680</v>
      </c>
      <c r="BE75">
        <v>3900520</v>
      </c>
      <c r="BF75">
        <v>50596201</v>
      </c>
      <c r="BG75">
        <v>14080375</v>
      </c>
      <c r="BH75">
        <v>448527</v>
      </c>
      <c r="BI75">
        <v>21547</v>
      </c>
      <c r="BJ75">
        <v>1289228</v>
      </c>
      <c r="BK75">
        <v>70772712</v>
      </c>
      <c r="BL75">
        <v>0</v>
      </c>
      <c r="BM75">
        <v>8660140</v>
      </c>
      <c r="BN75">
        <v>29051022</v>
      </c>
      <c r="BO75">
        <v>7780636</v>
      </c>
      <c r="BP75">
        <v>19823253</v>
      </c>
      <c r="BQ75">
        <v>2287334</v>
      </c>
      <c r="BR75">
        <v>48715433</v>
      </c>
      <c r="BS75">
        <v>18744533</v>
      </c>
      <c r="BT75">
        <v>3049366</v>
      </c>
      <c r="BU75">
        <v>12426673</v>
      </c>
      <c r="BV75">
        <v>17956138</v>
      </c>
      <c r="BW75">
        <v>1914165</v>
      </c>
      <c r="BX75">
        <v>568613</v>
      </c>
      <c r="BY75">
        <v>828977</v>
      </c>
      <c r="BZ75">
        <v>1348969</v>
      </c>
      <c r="CA75">
        <v>106873</v>
      </c>
      <c r="CB75">
        <v>19660670</v>
      </c>
      <c r="CC75">
        <v>31266065</v>
      </c>
      <c r="CD75">
        <v>22933589</v>
      </c>
      <c r="CE75">
        <v>34378359</v>
      </c>
      <c r="CF75">
        <v>8145341</v>
      </c>
      <c r="CG75">
        <v>9718760</v>
      </c>
      <c r="CH75">
        <v>5286278</v>
      </c>
      <c r="CI75">
        <v>3376537</v>
      </c>
      <c r="CJ75">
        <v>752025</v>
      </c>
      <c r="CK75">
        <v>3222959</v>
      </c>
      <c r="CL75">
        <v>308638</v>
      </c>
      <c r="CM75">
        <v>6676714</v>
      </c>
      <c r="CN75">
        <v>2153758</v>
      </c>
      <c r="CO75">
        <v>181456545</v>
      </c>
      <c r="CP75">
        <v>1356278</v>
      </c>
      <c r="CQ75">
        <v>69171481</v>
      </c>
      <c r="CR75">
        <v>8695242</v>
      </c>
      <c r="CS75">
        <v>3071116</v>
      </c>
      <c r="CT75">
        <v>8653706</v>
      </c>
      <c r="CU75">
        <v>16014485</v>
      </c>
      <c r="CV75">
        <v>1079446</v>
      </c>
      <c r="CW75">
        <v>25873407</v>
      </c>
      <c r="CX75">
        <v>691379</v>
      </c>
      <c r="CY75">
        <v>0</v>
      </c>
    </row>
    <row r="76" spans="1:103" x14ac:dyDescent="0.3">
      <c r="A76">
        <v>503</v>
      </c>
      <c r="B76" t="s">
        <v>155</v>
      </c>
      <c r="D76">
        <v>0</v>
      </c>
      <c r="E76">
        <v>0</v>
      </c>
      <c r="F76">
        <v>0</v>
      </c>
      <c r="G76">
        <v>3753475</v>
      </c>
      <c r="H76">
        <v>0</v>
      </c>
      <c r="I76">
        <v>0</v>
      </c>
      <c r="J76">
        <v>297950</v>
      </c>
      <c r="K76">
        <v>341203</v>
      </c>
      <c r="L76">
        <v>266204</v>
      </c>
      <c r="M76">
        <v>59223855</v>
      </c>
      <c r="N76">
        <v>1289816</v>
      </c>
      <c r="O76">
        <v>149476</v>
      </c>
      <c r="P76">
        <v>0</v>
      </c>
      <c r="Q76">
        <v>97800</v>
      </c>
      <c r="R76">
        <v>0</v>
      </c>
      <c r="S76">
        <v>43932</v>
      </c>
      <c r="U76">
        <v>0</v>
      </c>
      <c r="V76">
        <v>511591</v>
      </c>
      <c r="X76">
        <v>29030</v>
      </c>
      <c r="Y76">
        <v>128684</v>
      </c>
      <c r="Z76">
        <v>0</v>
      </c>
      <c r="AA76">
        <v>351077</v>
      </c>
      <c r="AB76">
        <v>323560</v>
      </c>
      <c r="AC76">
        <v>1579512</v>
      </c>
      <c r="AD76">
        <v>2082184</v>
      </c>
      <c r="AE76">
        <v>21251560</v>
      </c>
      <c r="AF76">
        <v>0</v>
      </c>
      <c r="AG76">
        <v>376766</v>
      </c>
      <c r="AH76">
        <v>0</v>
      </c>
      <c r="AI76">
        <v>8746694</v>
      </c>
      <c r="AJ76">
        <v>2966509</v>
      </c>
      <c r="AK76">
        <v>0</v>
      </c>
      <c r="AL76">
        <v>0</v>
      </c>
      <c r="AM76">
        <v>1396254</v>
      </c>
      <c r="AN76">
        <v>0</v>
      </c>
      <c r="AP76">
        <v>0</v>
      </c>
      <c r="AQ76">
        <v>8385339</v>
      </c>
      <c r="AR76">
        <v>0</v>
      </c>
      <c r="AS76">
        <v>101059</v>
      </c>
      <c r="AT76">
        <v>2001899</v>
      </c>
      <c r="AU76">
        <v>0</v>
      </c>
      <c r="AV76">
        <v>0</v>
      </c>
      <c r="AW76">
        <v>111904</v>
      </c>
      <c r="AX76">
        <v>1631008</v>
      </c>
      <c r="AY76">
        <v>265637</v>
      </c>
      <c r="AZ76">
        <v>12912265</v>
      </c>
      <c r="BA76">
        <v>0</v>
      </c>
      <c r="BB76">
        <v>38385605</v>
      </c>
      <c r="BC76">
        <v>206791</v>
      </c>
      <c r="BD76">
        <v>0</v>
      </c>
      <c r="BE76">
        <v>0</v>
      </c>
      <c r="BF76">
        <v>2464236</v>
      </c>
      <c r="BG76">
        <v>654041</v>
      </c>
      <c r="BH76">
        <v>0</v>
      </c>
      <c r="BI76">
        <v>0</v>
      </c>
      <c r="BJ76">
        <v>52570</v>
      </c>
      <c r="BK76">
        <v>878664</v>
      </c>
      <c r="BL76">
        <v>0</v>
      </c>
      <c r="BM76">
        <v>0</v>
      </c>
      <c r="BN76">
        <v>7449605</v>
      </c>
      <c r="BO76">
        <v>144386</v>
      </c>
      <c r="BP76">
        <v>2095496</v>
      </c>
      <c r="BQ76">
        <v>302347</v>
      </c>
      <c r="BR76">
        <v>42141710</v>
      </c>
      <c r="BS76">
        <v>969837</v>
      </c>
      <c r="BT76">
        <v>92075</v>
      </c>
      <c r="BU76">
        <v>1505855</v>
      </c>
      <c r="BV76">
        <v>945978</v>
      </c>
      <c r="BW76">
        <v>70838</v>
      </c>
      <c r="BX76">
        <v>0</v>
      </c>
      <c r="BY76">
        <v>0</v>
      </c>
      <c r="BZ76">
        <v>0</v>
      </c>
      <c r="CA76">
        <v>0</v>
      </c>
      <c r="CB76">
        <v>208703</v>
      </c>
      <c r="CC76">
        <v>9493</v>
      </c>
      <c r="CD76">
        <v>0</v>
      </c>
      <c r="CE76">
        <v>22664925</v>
      </c>
      <c r="CF76">
        <v>0</v>
      </c>
      <c r="CG76">
        <v>0</v>
      </c>
      <c r="CH76">
        <v>0</v>
      </c>
      <c r="CI76">
        <v>31237992</v>
      </c>
      <c r="CJ76">
        <v>2891</v>
      </c>
      <c r="CK76">
        <v>2781487</v>
      </c>
      <c r="CL76">
        <v>0</v>
      </c>
      <c r="CM76">
        <v>6722512</v>
      </c>
      <c r="CN76">
        <v>202378</v>
      </c>
      <c r="CO76">
        <v>22882795</v>
      </c>
      <c r="CP76">
        <v>490094</v>
      </c>
      <c r="CQ76">
        <v>0</v>
      </c>
      <c r="CR76">
        <v>0</v>
      </c>
      <c r="CS76">
        <v>172033</v>
      </c>
      <c r="CT76">
        <v>0</v>
      </c>
      <c r="CU76">
        <v>29730</v>
      </c>
      <c r="CV76">
        <v>6012792</v>
      </c>
      <c r="CW76">
        <v>357142</v>
      </c>
      <c r="CX76">
        <v>0</v>
      </c>
      <c r="CY76">
        <v>0</v>
      </c>
    </row>
    <row r="77" spans="1:103" x14ac:dyDescent="0.3">
      <c r="A77">
        <v>504</v>
      </c>
      <c r="B77" t="s">
        <v>159</v>
      </c>
      <c r="D77">
        <v>43432105</v>
      </c>
      <c r="E77">
        <v>8321177</v>
      </c>
      <c r="F77">
        <v>4607270</v>
      </c>
      <c r="G77">
        <v>10956849</v>
      </c>
      <c r="H77">
        <v>11509632</v>
      </c>
      <c r="I77">
        <v>4184234</v>
      </c>
      <c r="J77">
        <v>13427038</v>
      </c>
      <c r="K77">
        <v>3538991</v>
      </c>
      <c r="L77">
        <v>10367665</v>
      </c>
      <c r="M77">
        <v>32085718</v>
      </c>
      <c r="N77">
        <v>71647262</v>
      </c>
      <c r="O77">
        <v>34943566</v>
      </c>
      <c r="P77">
        <v>64667845</v>
      </c>
      <c r="Q77">
        <v>20315499</v>
      </c>
      <c r="R77">
        <v>4958724</v>
      </c>
      <c r="S77">
        <v>27266246</v>
      </c>
      <c r="U77">
        <v>43644291</v>
      </c>
      <c r="V77">
        <v>27794427</v>
      </c>
      <c r="X77">
        <v>3992061</v>
      </c>
      <c r="Y77">
        <v>5933983</v>
      </c>
      <c r="Z77">
        <v>31836700</v>
      </c>
      <c r="AA77">
        <v>38431888</v>
      </c>
      <c r="AB77">
        <v>44254417</v>
      </c>
      <c r="AC77">
        <v>82366667</v>
      </c>
      <c r="AD77">
        <v>6670352</v>
      </c>
      <c r="AE77">
        <v>16204865</v>
      </c>
      <c r="AF77">
        <v>72296395</v>
      </c>
      <c r="AG77">
        <v>14986942</v>
      </c>
      <c r="AH77">
        <v>23689940</v>
      </c>
      <c r="AI77">
        <v>73948904</v>
      </c>
      <c r="AJ77">
        <v>18556009</v>
      </c>
      <c r="AK77">
        <v>88059984</v>
      </c>
      <c r="AL77">
        <v>26758226</v>
      </c>
      <c r="AM77">
        <v>17140991</v>
      </c>
      <c r="AN77">
        <v>3648256</v>
      </c>
      <c r="AP77">
        <v>19634887</v>
      </c>
      <c r="AQ77">
        <v>4659618</v>
      </c>
      <c r="AR77">
        <v>144490041</v>
      </c>
      <c r="AS77">
        <v>25047820</v>
      </c>
      <c r="AT77">
        <v>29480854</v>
      </c>
      <c r="AU77">
        <v>23644288</v>
      </c>
      <c r="AV77">
        <v>28548374</v>
      </c>
      <c r="AW77">
        <v>6373032</v>
      </c>
      <c r="AX77">
        <v>20438073</v>
      </c>
      <c r="AY77">
        <v>4380969</v>
      </c>
      <c r="AZ77">
        <v>53947407</v>
      </c>
      <c r="BA77">
        <v>21212679</v>
      </c>
      <c r="BB77">
        <v>27677727</v>
      </c>
      <c r="BC77">
        <v>3834166</v>
      </c>
      <c r="BD77">
        <v>17269518</v>
      </c>
      <c r="BE77">
        <v>19463549</v>
      </c>
      <c r="BF77">
        <v>37220415</v>
      </c>
      <c r="BG77">
        <v>14317916</v>
      </c>
      <c r="BH77">
        <v>11660840</v>
      </c>
      <c r="BI77">
        <v>6763206</v>
      </c>
      <c r="BJ77">
        <v>11695341</v>
      </c>
      <c r="BK77">
        <v>231696982</v>
      </c>
      <c r="BL77">
        <v>4984329</v>
      </c>
      <c r="BM77">
        <v>6347333</v>
      </c>
      <c r="BN77">
        <v>12721947</v>
      </c>
      <c r="BO77">
        <v>23346783</v>
      </c>
      <c r="BP77">
        <v>78043373</v>
      </c>
      <c r="BQ77">
        <v>8572275</v>
      </c>
      <c r="BR77">
        <v>35799519</v>
      </c>
      <c r="BS77">
        <v>34103111</v>
      </c>
      <c r="BT77">
        <v>6526072</v>
      </c>
      <c r="BU77">
        <v>14167671</v>
      </c>
      <c r="BV77">
        <v>13507027</v>
      </c>
      <c r="BW77">
        <v>5789760</v>
      </c>
      <c r="BX77">
        <v>17066228</v>
      </c>
      <c r="BY77">
        <v>35228728</v>
      </c>
      <c r="BZ77">
        <v>5422606</v>
      </c>
      <c r="CA77">
        <v>35419399</v>
      </c>
      <c r="CB77">
        <v>17945525</v>
      </c>
      <c r="CC77">
        <v>37270383</v>
      </c>
      <c r="CD77">
        <v>22558807</v>
      </c>
      <c r="CE77">
        <v>43176782</v>
      </c>
      <c r="CF77">
        <v>12560827</v>
      </c>
      <c r="CG77">
        <v>27776862</v>
      </c>
      <c r="CH77">
        <v>11412992</v>
      </c>
      <c r="CI77">
        <v>12750260</v>
      </c>
      <c r="CJ77">
        <v>13660154</v>
      </c>
      <c r="CK77">
        <v>23278830</v>
      </c>
      <c r="CL77">
        <v>5781970</v>
      </c>
      <c r="CM77">
        <v>12510059</v>
      </c>
      <c r="CN77">
        <v>1762044</v>
      </c>
      <c r="CO77">
        <v>68495234</v>
      </c>
      <c r="CP77">
        <v>11656589</v>
      </c>
      <c r="CQ77">
        <v>180883765</v>
      </c>
      <c r="CR77">
        <v>9508597</v>
      </c>
      <c r="CS77">
        <v>4461317</v>
      </c>
      <c r="CT77">
        <v>4756016</v>
      </c>
      <c r="CU77">
        <v>53771646</v>
      </c>
      <c r="CV77">
        <v>24864628</v>
      </c>
      <c r="CW77">
        <v>24206679</v>
      </c>
      <c r="CX77">
        <v>6830374</v>
      </c>
      <c r="CY77">
        <v>5212170</v>
      </c>
    </row>
    <row r="78" spans="1:103" x14ac:dyDescent="0.3">
      <c r="A78">
        <v>505</v>
      </c>
      <c r="B78" t="s">
        <v>160</v>
      </c>
      <c r="D78">
        <v>1471056</v>
      </c>
      <c r="E78">
        <v>1151165</v>
      </c>
      <c r="F78">
        <v>127830</v>
      </c>
      <c r="G78">
        <v>0</v>
      </c>
      <c r="H78">
        <v>8777134</v>
      </c>
      <c r="I78">
        <v>750000</v>
      </c>
      <c r="J78">
        <v>474000</v>
      </c>
      <c r="K78">
        <v>0</v>
      </c>
      <c r="L78">
        <v>25503320</v>
      </c>
      <c r="M78">
        <v>640000</v>
      </c>
      <c r="N78">
        <v>2834870</v>
      </c>
      <c r="O78">
        <v>1368549</v>
      </c>
      <c r="P78">
        <v>2895148</v>
      </c>
      <c r="Q78">
        <v>0</v>
      </c>
      <c r="R78">
        <v>439677</v>
      </c>
      <c r="S78">
        <v>22009141</v>
      </c>
      <c r="U78">
        <v>63712</v>
      </c>
      <c r="V78">
        <v>0</v>
      </c>
      <c r="X78">
        <v>0</v>
      </c>
      <c r="Y78">
        <v>2629963</v>
      </c>
      <c r="Z78">
        <v>29281002</v>
      </c>
      <c r="AA78">
        <v>19711501</v>
      </c>
      <c r="AB78">
        <v>6941866</v>
      </c>
      <c r="AC78">
        <v>3550227</v>
      </c>
      <c r="AD78">
        <v>1045961</v>
      </c>
      <c r="AE78">
        <v>33733098</v>
      </c>
      <c r="AF78">
        <v>7250216</v>
      </c>
      <c r="AG78">
        <v>3780165</v>
      </c>
      <c r="AH78">
        <v>365694</v>
      </c>
      <c r="AI78">
        <v>4467661</v>
      </c>
      <c r="AJ78">
        <v>567702</v>
      </c>
      <c r="AK78">
        <v>10725650</v>
      </c>
      <c r="AL78">
        <v>10340461</v>
      </c>
      <c r="AM78">
        <v>61297556</v>
      </c>
      <c r="AN78">
        <v>52710</v>
      </c>
      <c r="AP78">
        <v>449481</v>
      </c>
      <c r="AQ78">
        <v>244857</v>
      </c>
      <c r="AR78">
        <v>2980</v>
      </c>
      <c r="AS78">
        <v>0</v>
      </c>
      <c r="AT78">
        <v>0</v>
      </c>
      <c r="AU78">
        <v>560483</v>
      </c>
      <c r="AV78">
        <v>0</v>
      </c>
      <c r="AW78">
        <v>0</v>
      </c>
      <c r="AX78">
        <v>5215925</v>
      </c>
      <c r="AY78">
        <v>315836</v>
      </c>
      <c r="AZ78">
        <v>0</v>
      </c>
      <c r="BA78">
        <v>0</v>
      </c>
      <c r="BB78">
        <v>2878379</v>
      </c>
      <c r="BC78">
        <v>2376921</v>
      </c>
      <c r="BD78">
        <v>201515</v>
      </c>
      <c r="BE78">
        <v>0</v>
      </c>
      <c r="BF78">
        <v>1044314</v>
      </c>
      <c r="BG78">
        <v>1369491</v>
      </c>
      <c r="BH78">
        <v>0</v>
      </c>
      <c r="BI78">
        <v>4118435</v>
      </c>
      <c r="BJ78">
        <v>1975599</v>
      </c>
      <c r="BK78">
        <v>15357515</v>
      </c>
      <c r="BL78">
        <v>1361442</v>
      </c>
      <c r="BM78">
        <v>58346</v>
      </c>
      <c r="BN78">
        <v>413136</v>
      </c>
      <c r="BO78">
        <v>6350450</v>
      </c>
      <c r="BP78">
        <v>834785</v>
      </c>
      <c r="BQ78">
        <v>7187972</v>
      </c>
      <c r="BR78">
        <v>2184029</v>
      </c>
      <c r="BS78">
        <v>0</v>
      </c>
      <c r="BT78">
        <v>591430</v>
      </c>
      <c r="BU78">
        <v>7725</v>
      </c>
      <c r="BV78">
        <v>2282520</v>
      </c>
      <c r="BW78">
        <v>2100000</v>
      </c>
      <c r="BX78">
        <v>2450223</v>
      </c>
      <c r="BY78">
        <v>6050736</v>
      </c>
      <c r="BZ78">
        <v>807683</v>
      </c>
      <c r="CA78">
        <v>2490980</v>
      </c>
      <c r="CB78">
        <v>1259996</v>
      </c>
      <c r="CC78">
        <v>0</v>
      </c>
      <c r="CD78">
        <v>0</v>
      </c>
      <c r="CE78">
        <v>888908</v>
      </c>
      <c r="CF78">
        <v>1280631</v>
      </c>
      <c r="CG78">
        <v>0</v>
      </c>
      <c r="CH78">
        <v>2850500</v>
      </c>
      <c r="CI78">
        <v>741916</v>
      </c>
      <c r="CJ78">
        <v>277150</v>
      </c>
      <c r="CK78">
        <v>859202</v>
      </c>
      <c r="CL78">
        <v>290463</v>
      </c>
      <c r="CM78">
        <v>600000</v>
      </c>
      <c r="CN78">
        <v>473500</v>
      </c>
      <c r="CO78">
        <v>0</v>
      </c>
      <c r="CP78">
        <v>560818</v>
      </c>
      <c r="CQ78">
        <v>0</v>
      </c>
      <c r="CR78">
        <v>411646</v>
      </c>
      <c r="CS78">
        <v>2346721</v>
      </c>
      <c r="CT78">
        <v>5445391</v>
      </c>
      <c r="CU78">
        <v>0</v>
      </c>
      <c r="CV78">
        <v>19469804</v>
      </c>
      <c r="CW78">
        <v>4950598</v>
      </c>
      <c r="CX78">
        <v>854142</v>
      </c>
      <c r="CY78">
        <v>3021434</v>
      </c>
    </row>
    <row r="79" spans="1:103" x14ac:dyDescent="0.3">
      <c r="A79">
        <v>506</v>
      </c>
      <c r="B79" t="s">
        <v>166</v>
      </c>
      <c r="D79">
        <v>73161213</v>
      </c>
      <c r="E79">
        <v>21832453</v>
      </c>
      <c r="F79">
        <v>12239840</v>
      </c>
      <c r="G79">
        <v>23476206</v>
      </c>
      <c r="H79">
        <v>18059093</v>
      </c>
      <c r="I79">
        <v>32682323</v>
      </c>
      <c r="J79">
        <v>37315970</v>
      </c>
      <c r="K79">
        <v>3030743</v>
      </c>
      <c r="L79">
        <v>40277805</v>
      </c>
      <c r="M79">
        <v>143203097</v>
      </c>
      <c r="N79">
        <v>113116079</v>
      </c>
      <c r="O79">
        <v>37413155</v>
      </c>
      <c r="P79">
        <v>179259172</v>
      </c>
      <c r="Q79">
        <v>19969836</v>
      </c>
      <c r="R79">
        <v>19539112</v>
      </c>
      <c r="S79">
        <v>84788392</v>
      </c>
      <c r="U79">
        <v>106436833</v>
      </c>
      <c r="V79">
        <v>61349979</v>
      </c>
      <c r="X79">
        <v>13383265</v>
      </c>
      <c r="Y79">
        <v>11926685</v>
      </c>
      <c r="Z79">
        <v>54605843</v>
      </c>
      <c r="AA79">
        <v>20617410</v>
      </c>
      <c r="AB79">
        <v>58907147</v>
      </c>
      <c r="AC79">
        <v>282101839</v>
      </c>
      <c r="AD79">
        <v>37346508</v>
      </c>
      <c r="AE79">
        <v>99894663</v>
      </c>
      <c r="AF79">
        <v>134792597</v>
      </c>
      <c r="AG79">
        <v>18082668</v>
      </c>
      <c r="AH79">
        <v>44398232</v>
      </c>
      <c r="AI79">
        <v>253676083</v>
      </c>
      <c r="AJ79">
        <v>23348365</v>
      </c>
      <c r="AK79">
        <v>193916132</v>
      </c>
      <c r="AL79">
        <v>55971674</v>
      </c>
      <c r="AM79">
        <v>116810089</v>
      </c>
      <c r="AN79">
        <v>6224182</v>
      </c>
      <c r="AP79">
        <v>37884428</v>
      </c>
      <c r="AQ79">
        <v>15214486</v>
      </c>
      <c r="AR79">
        <v>257429683</v>
      </c>
      <c r="AS79">
        <v>49529498</v>
      </c>
      <c r="AT79">
        <v>108580190</v>
      </c>
      <c r="AU79">
        <v>51340729</v>
      </c>
      <c r="AV79">
        <v>87534643</v>
      </c>
      <c r="AW79">
        <v>7515591</v>
      </c>
      <c r="AX79">
        <v>52966834</v>
      </c>
      <c r="AY79">
        <v>4836301</v>
      </c>
      <c r="AZ79">
        <v>185353444</v>
      </c>
      <c r="BA79">
        <v>48500144</v>
      </c>
      <c r="BB79">
        <v>219517994</v>
      </c>
      <c r="BC79">
        <v>12752554</v>
      </c>
      <c r="BD79">
        <v>31393544</v>
      </c>
      <c r="BE79">
        <v>45010403</v>
      </c>
      <c r="BF79">
        <v>69176399</v>
      </c>
      <c r="BG79">
        <v>48008903</v>
      </c>
      <c r="BH79">
        <v>20559121</v>
      </c>
      <c r="BI79">
        <v>15234051</v>
      </c>
      <c r="BJ79">
        <v>18004835</v>
      </c>
      <c r="BK79">
        <v>680716948</v>
      </c>
      <c r="BL79">
        <v>13484276</v>
      </c>
      <c r="BM79">
        <v>39388730</v>
      </c>
      <c r="BN79">
        <v>52260582</v>
      </c>
      <c r="BO79">
        <v>47930963</v>
      </c>
      <c r="BP79">
        <v>145983420</v>
      </c>
      <c r="BQ79">
        <v>27277914</v>
      </c>
      <c r="BR79">
        <v>180482329</v>
      </c>
      <c r="BS79">
        <v>67532871</v>
      </c>
      <c r="BT79">
        <v>13074914</v>
      </c>
      <c r="BU79">
        <v>46678170</v>
      </c>
      <c r="BV79">
        <v>69805003</v>
      </c>
      <c r="BW79">
        <v>8707754</v>
      </c>
      <c r="BX79">
        <v>35239472</v>
      </c>
      <c r="BY79">
        <v>77399004</v>
      </c>
      <c r="BZ79">
        <v>13188657</v>
      </c>
      <c r="CA79">
        <v>63048801</v>
      </c>
      <c r="CB79">
        <v>20834854</v>
      </c>
      <c r="CC79">
        <v>66787293</v>
      </c>
      <c r="CD79">
        <v>56701380</v>
      </c>
      <c r="CE79">
        <v>116941375</v>
      </c>
      <c r="CF79">
        <v>50577612</v>
      </c>
      <c r="CG79">
        <v>43039888</v>
      </c>
      <c r="CH79">
        <v>13037782</v>
      </c>
      <c r="CI79">
        <v>52362102</v>
      </c>
      <c r="CJ79">
        <v>20867315</v>
      </c>
      <c r="CK79">
        <v>55800103</v>
      </c>
      <c r="CL79">
        <v>10095085</v>
      </c>
      <c r="CM79">
        <v>33265713</v>
      </c>
      <c r="CN79">
        <v>2106407</v>
      </c>
      <c r="CO79">
        <v>133613911</v>
      </c>
      <c r="CP79">
        <v>26649542</v>
      </c>
      <c r="CQ79">
        <v>528428935</v>
      </c>
      <c r="CR79">
        <v>22417638</v>
      </c>
      <c r="CS79">
        <v>12381973</v>
      </c>
      <c r="CT79">
        <v>60681894</v>
      </c>
      <c r="CU79">
        <v>43673883</v>
      </c>
      <c r="CV79">
        <v>42713105</v>
      </c>
      <c r="CW79">
        <v>41232013</v>
      </c>
      <c r="CX79">
        <v>19838249</v>
      </c>
      <c r="CY79">
        <v>7631453</v>
      </c>
    </row>
    <row r="80" spans="1:103" x14ac:dyDescent="0.3">
      <c r="A80">
        <v>507</v>
      </c>
      <c r="B80" t="s">
        <v>611</v>
      </c>
      <c r="D80">
        <v>0</v>
      </c>
      <c r="E80">
        <v>0</v>
      </c>
      <c r="F80">
        <v>0</v>
      </c>
      <c r="G80">
        <v>0</v>
      </c>
      <c r="H80">
        <v>0</v>
      </c>
      <c r="I80">
        <v>0</v>
      </c>
      <c r="J80">
        <v>0</v>
      </c>
      <c r="K80">
        <v>70447</v>
      </c>
      <c r="L80">
        <v>0</v>
      </c>
      <c r="M80">
        <v>0</v>
      </c>
      <c r="N80">
        <v>0</v>
      </c>
      <c r="O80">
        <v>-26510</v>
      </c>
      <c r="P80">
        <v>0</v>
      </c>
      <c r="Q80">
        <v>0</v>
      </c>
      <c r="R80">
        <v>0</v>
      </c>
      <c r="S80">
        <v>0</v>
      </c>
      <c r="U80">
        <v>0</v>
      </c>
      <c r="V80">
        <v>0</v>
      </c>
      <c r="X80">
        <v>0</v>
      </c>
      <c r="Y80">
        <v>0</v>
      </c>
      <c r="Z80">
        <v>0</v>
      </c>
      <c r="AA80">
        <v>0</v>
      </c>
      <c r="AB80">
        <v>0</v>
      </c>
      <c r="AC80">
        <v>0</v>
      </c>
      <c r="AD80">
        <v>0</v>
      </c>
      <c r="AE80">
        <v>0</v>
      </c>
      <c r="AF80">
        <v>0</v>
      </c>
      <c r="AG80">
        <v>0</v>
      </c>
      <c r="AH80">
        <v>0</v>
      </c>
      <c r="AI80">
        <v>0</v>
      </c>
      <c r="AJ80">
        <v>629203</v>
      </c>
      <c r="AK80">
        <v>0</v>
      </c>
      <c r="AL80">
        <v>-28582</v>
      </c>
      <c r="AM80">
        <v>0</v>
      </c>
      <c r="AN80">
        <v>0</v>
      </c>
      <c r="AP80">
        <v>-13188</v>
      </c>
      <c r="AQ80">
        <v>0</v>
      </c>
      <c r="AR80">
        <v>0</v>
      </c>
      <c r="AS80">
        <v>0</v>
      </c>
      <c r="AT80">
        <v>0</v>
      </c>
      <c r="AU80">
        <v>0</v>
      </c>
      <c r="AV80">
        <v>0</v>
      </c>
      <c r="AW80">
        <v>0</v>
      </c>
      <c r="AX80">
        <v>0</v>
      </c>
      <c r="AY80">
        <v>0</v>
      </c>
      <c r="AZ80">
        <v>0</v>
      </c>
      <c r="BA80">
        <v>0</v>
      </c>
      <c r="BB80">
        <v>0</v>
      </c>
      <c r="BC80">
        <v>248344</v>
      </c>
      <c r="BD80">
        <v>0</v>
      </c>
      <c r="BE80">
        <v>-707868</v>
      </c>
      <c r="BF80">
        <v>0</v>
      </c>
      <c r="BG80">
        <v>0</v>
      </c>
      <c r="BH80">
        <v>0</v>
      </c>
      <c r="BI80">
        <v>0</v>
      </c>
      <c r="BJ80">
        <v>0</v>
      </c>
      <c r="BK80">
        <v>0</v>
      </c>
      <c r="BL80">
        <v>0</v>
      </c>
      <c r="BM80">
        <v>0</v>
      </c>
      <c r="BN80">
        <v>0</v>
      </c>
      <c r="BO80">
        <v>-385268</v>
      </c>
      <c r="BP80">
        <v>0</v>
      </c>
      <c r="BQ80">
        <v>0</v>
      </c>
      <c r="BR80">
        <v>48977</v>
      </c>
      <c r="BS80">
        <v>0</v>
      </c>
      <c r="BT80">
        <v>0</v>
      </c>
      <c r="BU80">
        <v>0</v>
      </c>
      <c r="BV80">
        <v>0</v>
      </c>
      <c r="BW80">
        <v>0</v>
      </c>
      <c r="BX80">
        <v>0</v>
      </c>
      <c r="BY80">
        <v>0</v>
      </c>
      <c r="BZ80">
        <v>0</v>
      </c>
      <c r="CA80">
        <v>0</v>
      </c>
      <c r="CB80">
        <v>0</v>
      </c>
      <c r="CC80">
        <v>0</v>
      </c>
      <c r="CD80">
        <v>0</v>
      </c>
      <c r="CE80">
        <v>-6145</v>
      </c>
      <c r="CF80">
        <v>0</v>
      </c>
      <c r="CG80">
        <v>0</v>
      </c>
      <c r="CH80">
        <v>0</v>
      </c>
      <c r="CI80">
        <v>1586643</v>
      </c>
      <c r="CJ80">
        <v>0</v>
      </c>
      <c r="CK80">
        <v>0</v>
      </c>
      <c r="CL80">
        <v>0</v>
      </c>
      <c r="CM80">
        <v>0</v>
      </c>
      <c r="CN80">
        <v>0</v>
      </c>
      <c r="CO80">
        <v>0</v>
      </c>
      <c r="CP80">
        <v>-92008</v>
      </c>
      <c r="CQ80">
        <v>0</v>
      </c>
      <c r="CR80">
        <v>0</v>
      </c>
      <c r="CS80">
        <v>0</v>
      </c>
      <c r="CT80">
        <v>-182</v>
      </c>
      <c r="CU80">
        <v>127147</v>
      </c>
      <c r="CV80">
        <v>0</v>
      </c>
      <c r="CW80">
        <v>0</v>
      </c>
      <c r="CX80">
        <v>951841</v>
      </c>
      <c r="CY80">
        <v>0</v>
      </c>
    </row>
    <row r="81" spans="1:103" x14ac:dyDescent="0.3">
      <c r="A81">
        <v>508</v>
      </c>
      <c r="B81" t="s">
        <v>180</v>
      </c>
      <c r="D81">
        <v>0</v>
      </c>
      <c r="E81">
        <v>0</v>
      </c>
      <c r="F81">
        <v>0</v>
      </c>
      <c r="G81">
        <v>0</v>
      </c>
      <c r="H81">
        <v>0</v>
      </c>
      <c r="I81">
        <v>0</v>
      </c>
      <c r="J81">
        <v>0</v>
      </c>
      <c r="K81">
        <v>0</v>
      </c>
      <c r="L81">
        <v>0</v>
      </c>
      <c r="M81">
        <v>0</v>
      </c>
      <c r="N81">
        <v>0</v>
      </c>
      <c r="O81">
        <v>0</v>
      </c>
      <c r="P81">
        <v>0</v>
      </c>
      <c r="Q81">
        <v>0</v>
      </c>
      <c r="R81">
        <v>0</v>
      </c>
      <c r="S81">
        <v>0</v>
      </c>
      <c r="U81">
        <v>0</v>
      </c>
      <c r="V81">
        <v>0</v>
      </c>
      <c r="X81">
        <v>0</v>
      </c>
      <c r="Y81">
        <v>0</v>
      </c>
      <c r="Z81">
        <v>0</v>
      </c>
      <c r="AA81">
        <v>0</v>
      </c>
      <c r="AB81">
        <v>0</v>
      </c>
      <c r="AC81">
        <v>0</v>
      </c>
      <c r="AD81">
        <v>0</v>
      </c>
      <c r="AE81">
        <v>0</v>
      </c>
      <c r="AF81">
        <v>0</v>
      </c>
      <c r="AG81">
        <v>0</v>
      </c>
      <c r="AH81">
        <v>0</v>
      </c>
      <c r="AI81">
        <v>0</v>
      </c>
      <c r="AJ81">
        <v>0</v>
      </c>
      <c r="AK81">
        <v>0</v>
      </c>
      <c r="AL81">
        <v>0</v>
      </c>
      <c r="AM81">
        <v>0</v>
      </c>
      <c r="AN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0</v>
      </c>
      <c r="CO81">
        <v>152223</v>
      </c>
      <c r="CP81">
        <v>0</v>
      </c>
      <c r="CQ81">
        <v>0</v>
      </c>
      <c r="CR81">
        <v>0</v>
      </c>
      <c r="CS81">
        <v>0</v>
      </c>
      <c r="CT81">
        <v>0</v>
      </c>
      <c r="CU81">
        <v>0</v>
      </c>
      <c r="CV81">
        <v>0</v>
      </c>
      <c r="CW81">
        <v>0</v>
      </c>
      <c r="CX81">
        <v>0</v>
      </c>
      <c r="CY81">
        <v>0</v>
      </c>
    </row>
    <row r="82" spans="1:103" x14ac:dyDescent="0.3">
      <c r="A82">
        <v>509</v>
      </c>
      <c r="B82" t="s">
        <v>181</v>
      </c>
      <c r="D82">
        <v>0</v>
      </c>
      <c r="E82">
        <v>0</v>
      </c>
      <c r="F82">
        <v>0</v>
      </c>
      <c r="G82">
        <v>0</v>
      </c>
      <c r="H82">
        <v>0</v>
      </c>
      <c r="I82">
        <v>0</v>
      </c>
      <c r="J82">
        <v>0</v>
      </c>
      <c r="K82">
        <v>0</v>
      </c>
      <c r="L82">
        <v>0</v>
      </c>
      <c r="M82">
        <v>0</v>
      </c>
      <c r="N82">
        <v>0</v>
      </c>
      <c r="O82">
        <v>0</v>
      </c>
      <c r="P82">
        <v>0</v>
      </c>
      <c r="Q82">
        <v>0</v>
      </c>
      <c r="R82">
        <v>0</v>
      </c>
      <c r="S82">
        <v>0</v>
      </c>
      <c r="U82">
        <v>0</v>
      </c>
      <c r="V82">
        <v>0</v>
      </c>
      <c r="X82">
        <v>0</v>
      </c>
      <c r="Y82">
        <v>0</v>
      </c>
      <c r="Z82">
        <v>0</v>
      </c>
      <c r="AA82">
        <v>0</v>
      </c>
      <c r="AB82">
        <v>0</v>
      </c>
      <c r="AC82">
        <v>0</v>
      </c>
      <c r="AD82">
        <v>0</v>
      </c>
      <c r="AE82">
        <v>0</v>
      </c>
      <c r="AF82">
        <v>0</v>
      </c>
      <c r="AG82">
        <v>0</v>
      </c>
      <c r="AH82">
        <v>0</v>
      </c>
      <c r="AI82">
        <v>0</v>
      </c>
      <c r="AJ82">
        <v>0</v>
      </c>
      <c r="AK82">
        <v>0</v>
      </c>
      <c r="AL82">
        <v>0</v>
      </c>
      <c r="AM82">
        <v>0</v>
      </c>
      <c r="AN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c r="CW82">
        <v>0</v>
      </c>
      <c r="CX82">
        <v>0</v>
      </c>
      <c r="CY82">
        <v>0</v>
      </c>
    </row>
    <row r="83" spans="1:103" x14ac:dyDescent="0.3">
      <c r="A83">
        <v>510</v>
      </c>
      <c r="B83" t="s">
        <v>187</v>
      </c>
      <c r="D83">
        <v>0</v>
      </c>
      <c r="E83">
        <v>0</v>
      </c>
      <c r="F83">
        <v>0</v>
      </c>
      <c r="G83">
        <v>277390</v>
      </c>
      <c r="H83">
        <v>0</v>
      </c>
      <c r="I83">
        <v>0</v>
      </c>
      <c r="J83">
        <v>0</v>
      </c>
      <c r="K83">
        <v>0</v>
      </c>
      <c r="L83">
        <v>0</v>
      </c>
      <c r="M83">
        <v>2196250</v>
      </c>
      <c r="N83">
        <v>0</v>
      </c>
      <c r="O83">
        <v>0</v>
      </c>
      <c r="P83">
        <v>0</v>
      </c>
      <c r="Q83">
        <v>264306</v>
      </c>
      <c r="R83">
        <v>0</v>
      </c>
      <c r="S83">
        <v>0</v>
      </c>
      <c r="U83">
        <v>0</v>
      </c>
      <c r="V83">
        <v>0</v>
      </c>
      <c r="X83">
        <v>113374</v>
      </c>
      <c r="Y83">
        <v>0</v>
      </c>
      <c r="Z83">
        <v>0</v>
      </c>
      <c r="AA83">
        <v>6320</v>
      </c>
      <c r="AB83">
        <v>116886</v>
      </c>
      <c r="AC83">
        <v>0</v>
      </c>
      <c r="AD83">
        <v>0</v>
      </c>
      <c r="AE83">
        <v>626516</v>
      </c>
      <c r="AF83">
        <v>0</v>
      </c>
      <c r="AG83">
        <v>0</v>
      </c>
      <c r="AH83">
        <v>41237</v>
      </c>
      <c r="AI83">
        <v>26667</v>
      </c>
      <c r="AJ83">
        <v>0</v>
      </c>
      <c r="AK83">
        <v>0</v>
      </c>
      <c r="AL83">
        <v>0</v>
      </c>
      <c r="AM83">
        <v>0</v>
      </c>
      <c r="AN83">
        <v>32703</v>
      </c>
      <c r="AP83">
        <v>0</v>
      </c>
      <c r="AQ83">
        <v>0</v>
      </c>
      <c r="AR83">
        <v>0</v>
      </c>
      <c r="AS83">
        <v>69959</v>
      </c>
      <c r="AT83">
        <v>897750</v>
      </c>
      <c r="AU83">
        <v>0</v>
      </c>
      <c r="AV83">
        <v>0</v>
      </c>
      <c r="AW83">
        <v>40322</v>
      </c>
      <c r="AX83">
        <v>199503</v>
      </c>
      <c r="AY83">
        <v>0</v>
      </c>
      <c r="AZ83">
        <v>0</v>
      </c>
      <c r="BA83">
        <v>0</v>
      </c>
      <c r="BB83">
        <v>0</v>
      </c>
      <c r="BC83">
        <v>53756</v>
      </c>
      <c r="BD83">
        <v>0</v>
      </c>
      <c r="BE83">
        <v>0</v>
      </c>
      <c r="BF83">
        <v>754</v>
      </c>
      <c r="BG83">
        <v>0</v>
      </c>
      <c r="BH83">
        <v>0</v>
      </c>
      <c r="BI83">
        <v>3102</v>
      </c>
      <c r="BJ83">
        <v>0</v>
      </c>
      <c r="BK83">
        <v>0</v>
      </c>
      <c r="BL83">
        <v>0</v>
      </c>
      <c r="BM83">
        <v>215982</v>
      </c>
      <c r="BN83">
        <v>1030857</v>
      </c>
      <c r="BO83">
        <v>0</v>
      </c>
      <c r="BP83">
        <v>0</v>
      </c>
      <c r="BQ83">
        <v>0</v>
      </c>
      <c r="BR83">
        <v>0</v>
      </c>
      <c r="BS83">
        <v>0</v>
      </c>
      <c r="BT83">
        <v>157065</v>
      </c>
      <c r="BU83">
        <v>301441</v>
      </c>
      <c r="BV83">
        <v>0</v>
      </c>
      <c r="BW83">
        <v>119767</v>
      </c>
      <c r="BX83">
        <v>0</v>
      </c>
      <c r="BY83">
        <v>0</v>
      </c>
      <c r="BZ83">
        <v>0</v>
      </c>
      <c r="CA83">
        <v>0</v>
      </c>
      <c r="CB83">
        <v>0</v>
      </c>
      <c r="CC83">
        <v>0</v>
      </c>
      <c r="CD83">
        <v>0</v>
      </c>
      <c r="CE83">
        <v>0</v>
      </c>
      <c r="CF83">
        <v>0</v>
      </c>
      <c r="CG83">
        <v>369538</v>
      </c>
      <c r="CH83">
        <v>3440</v>
      </c>
      <c r="CI83">
        <v>90134</v>
      </c>
      <c r="CJ83">
        <v>0</v>
      </c>
      <c r="CK83">
        <v>0</v>
      </c>
      <c r="CL83">
        <v>0</v>
      </c>
      <c r="CM83">
        <v>0</v>
      </c>
      <c r="CN83">
        <v>69962</v>
      </c>
      <c r="CO83">
        <v>1265955</v>
      </c>
      <c r="CP83">
        <v>0</v>
      </c>
      <c r="CQ83">
        <v>0</v>
      </c>
      <c r="CR83">
        <v>0</v>
      </c>
      <c r="CS83">
        <v>29625</v>
      </c>
      <c r="CT83">
        <v>0</v>
      </c>
      <c r="CU83">
        <v>0</v>
      </c>
      <c r="CV83">
        <v>0</v>
      </c>
      <c r="CW83">
        <v>0</v>
      </c>
      <c r="CX83">
        <v>21466</v>
      </c>
      <c r="CY83">
        <v>0</v>
      </c>
    </row>
    <row r="84" spans="1:103" x14ac:dyDescent="0.3">
      <c r="A84">
        <v>512</v>
      </c>
      <c r="B84" t="s">
        <v>203</v>
      </c>
      <c r="D84">
        <v>761925</v>
      </c>
      <c r="E84">
        <v>24286</v>
      </c>
      <c r="F84">
        <v>6494</v>
      </c>
      <c r="G84">
        <v>198670</v>
      </c>
      <c r="H84">
        <v>873401</v>
      </c>
      <c r="I84">
        <v>163666</v>
      </c>
      <c r="J84">
        <v>102700</v>
      </c>
      <c r="K84">
        <v>937</v>
      </c>
      <c r="L84">
        <v>90161</v>
      </c>
      <c r="M84">
        <v>3466960</v>
      </c>
      <c r="N84">
        <v>41272244</v>
      </c>
      <c r="O84">
        <v>17138</v>
      </c>
      <c r="P84">
        <v>5675262</v>
      </c>
      <c r="Q84">
        <v>45913</v>
      </c>
      <c r="R84">
        <v>0</v>
      </c>
      <c r="S84">
        <v>505075</v>
      </c>
      <c r="U84">
        <v>0</v>
      </c>
      <c r="V84">
        <v>64835</v>
      </c>
      <c r="X84">
        <v>62908</v>
      </c>
      <c r="Y84">
        <v>8762</v>
      </c>
      <c r="Z84">
        <v>399593</v>
      </c>
      <c r="AA84">
        <v>659858</v>
      </c>
      <c r="AB84">
        <v>52487</v>
      </c>
      <c r="AC84">
        <v>4403630</v>
      </c>
      <c r="AD84">
        <v>1456274</v>
      </c>
      <c r="AE84">
        <v>9689751</v>
      </c>
      <c r="AF84">
        <v>1396897</v>
      </c>
      <c r="AG84">
        <v>0</v>
      </c>
      <c r="AH84">
        <v>0</v>
      </c>
      <c r="AI84">
        <v>2802036</v>
      </c>
      <c r="AJ84">
        <v>345531</v>
      </c>
      <c r="AK84">
        <v>46765280</v>
      </c>
      <c r="AL84">
        <v>49131</v>
      </c>
      <c r="AM84">
        <v>349703</v>
      </c>
      <c r="AN84">
        <v>8046</v>
      </c>
      <c r="AP84">
        <v>133717</v>
      </c>
      <c r="AQ84">
        <v>24608</v>
      </c>
      <c r="AR84">
        <v>24649317</v>
      </c>
      <c r="AS84">
        <v>121471</v>
      </c>
      <c r="AT84">
        <v>1775626</v>
      </c>
      <c r="AU84">
        <v>117511</v>
      </c>
      <c r="AV84">
        <v>489796</v>
      </c>
      <c r="AW84">
        <v>41815</v>
      </c>
      <c r="AX84">
        <v>63325</v>
      </c>
      <c r="AY84">
        <v>0</v>
      </c>
      <c r="AZ84">
        <v>675574</v>
      </c>
      <c r="BA84">
        <v>225972</v>
      </c>
      <c r="BB84">
        <v>2303827</v>
      </c>
      <c r="BC84">
        <v>38001</v>
      </c>
      <c r="BD84">
        <v>120446</v>
      </c>
      <c r="BE84">
        <v>0</v>
      </c>
      <c r="BF84">
        <v>185468</v>
      </c>
      <c r="BG84">
        <v>29275</v>
      </c>
      <c r="BH84">
        <v>10876</v>
      </c>
      <c r="BI84">
        <v>565088</v>
      </c>
      <c r="BJ84">
        <v>225782</v>
      </c>
      <c r="BK84">
        <v>231007751</v>
      </c>
      <c r="BL84">
        <v>184978</v>
      </c>
      <c r="BM84">
        <v>78450</v>
      </c>
      <c r="BN84">
        <v>150053</v>
      </c>
      <c r="BO84">
        <v>0</v>
      </c>
      <c r="BP84">
        <v>291451530</v>
      </c>
      <c r="BQ84">
        <v>242898</v>
      </c>
      <c r="BR84">
        <v>298203</v>
      </c>
      <c r="BS84">
        <v>632764</v>
      </c>
      <c r="BT84">
        <v>139358</v>
      </c>
      <c r="BU84">
        <v>98887</v>
      </c>
      <c r="BV84">
        <v>96218</v>
      </c>
      <c r="BW84">
        <v>0</v>
      </c>
      <c r="BX84">
        <v>73546</v>
      </c>
      <c r="BY84">
        <v>323719</v>
      </c>
      <c r="BZ84">
        <v>72541</v>
      </c>
      <c r="CA84">
        <v>131242</v>
      </c>
      <c r="CB84">
        <v>205151</v>
      </c>
      <c r="CC84">
        <v>233249</v>
      </c>
      <c r="CD84">
        <v>379864</v>
      </c>
      <c r="CE84">
        <v>628208</v>
      </c>
      <c r="CF84">
        <v>143478</v>
      </c>
      <c r="CG84">
        <v>192804</v>
      </c>
      <c r="CH84">
        <v>152550</v>
      </c>
      <c r="CI84">
        <v>156321</v>
      </c>
      <c r="CJ84">
        <v>84009</v>
      </c>
      <c r="CK84">
        <v>72288</v>
      </c>
      <c r="CL84">
        <v>122046</v>
      </c>
      <c r="CM84">
        <v>99831</v>
      </c>
      <c r="CN84">
        <v>0</v>
      </c>
      <c r="CO84">
        <v>66899100</v>
      </c>
      <c r="CP84">
        <v>14487</v>
      </c>
      <c r="CQ84">
        <v>18094065</v>
      </c>
      <c r="CR84">
        <v>4923</v>
      </c>
      <c r="CS84">
        <v>117411</v>
      </c>
      <c r="CT84">
        <v>3464742</v>
      </c>
      <c r="CU84">
        <v>104717</v>
      </c>
      <c r="CV84">
        <v>117130</v>
      </c>
      <c r="CW84">
        <v>80431</v>
      </c>
      <c r="CX84">
        <v>65038</v>
      </c>
      <c r="CY84">
        <v>44468</v>
      </c>
    </row>
    <row r="85" spans="1:103" x14ac:dyDescent="0.3">
      <c r="A85">
        <v>515</v>
      </c>
      <c r="B85" t="s">
        <v>219</v>
      </c>
      <c r="D85">
        <v>0</v>
      </c>
      <c r="E85">
        <v>0</v>
      </c>
      <c r="F85">
        <v>0</v>
      </c>
      <c r="G85">
        <v>6381215</v>
      </c>
      <c r="H85">
        <v>0</v>
      </c>
      <c r="I85">
        <v>0</v>
      </c>
      <c r="J85">
        <v>0</v>
      </c>
      <c r="K85">
        <v>0</v>
      </c>
      <c r="L85">
        <v>171761</v>
      </c>
      <c r="M85">
        <v>221055639</v>
      </c>
      <c r="N85">
        <v>0</v>
      </c>
      <c r="O85">
        <v>452401</v>
      </c>
      <c r="P85">
        <v>0</v>
      </c>
      <c r="Q85">
        <v>173863</v>
      </c>
      <c r="R85">
        <v>0</v>
      </c>
      <c r="S85">
        <v>2119264</v>
      </c>
      <c r="U85">
        <v>0</v>
      </c>
      <c r="V85">
        <v>5474057</v>
      </c>
      <c r="X85">
        <v>1512335</v>
      </c>
      <c r="Y85">
        <v>45494</v>
      </c>
      <c r="Z85">
        <v>0</v>
      </c>
      <c r="AA85">
        <v>0</v>
      </c>
      <c r="AB85">
        <v>60963379</v>
      </c>
      <c r="AC85">
        <v>0</v>
      </c>
      <c r="AD85">
        <v>49056180</v>
      </c>
      <c r="AE85">
        <v>61382694</v>
      </c>
      <c r="AF85">
        <v>0</v>
      </c>
      <c r="AG85">
        <v>16012458</v>
      </c>
      <c r="AH85">
        <v>0</v>
      </c>
      <c r="AI85">
        <v>56854766</v>
      </c>
      <c r="AJ85">
        <v>1166880</v>
      </c>
      <c r="AK85">
        <v>0</v>
      </c>
      <c r="AL85">
        <v>0</v>
      </c>
      <c r="AM85">
        <v>0</v>
      </c>
      <c r="AN85">
        <v>0</v>
      </c>
      <c r="AP85">
        <v>0</v>
      </c>
      <c r="AQ85">
        <v>0</v>
      </c>
      <c r="AR85">
        <v>0</v>
      </c>
      <c r="AS85">
        <v>0</v>
      </c>
      <c r="AT85">
        <v>16118978</v>
      </c>
      <c r="AU85">
        <v>0</v>
      </c>
      <c r="AV85">
        <v>0</v>
      </c>
      <c r="AW85">
        <v>211250</v>
      </c>
      <c r="AX85">
        <v>124620</v>
      </c>
      <c r="AY85">
        <v>0</v>
      </c>
      <c r="AZ85">
        <v>0</v>
      </c>
      <c r="BA85">
        <v>0</v>
      </c>
      <c r="BB85">
        <v>0</v>
      </c>
      <c r="BC85">
        <v>0</v>
      </c>
      <c r="BD85">
        <v>0</v>
      </c>
      <c r="BE85">
        <v>0</v>
      </c>
      <c r="BF85">
        <v>41787579</v>
      </c>
      <c r="BG85">
        <v>0</v>
      </c>
      <c r="BH85">
        <v>0</v>
      </c>
      <c r="BI85">
        <v>0</v>
      </c>
      <c r="BJ85">
        <v>0</v>
      </c>
      <c r="BK85">
        <v>0</v>
      </c>
      <c r="BL85">
        <v>0</v>
      </c>
      <c r="BM85">
        <v>5602979</v>
      </c>
      <c r="BN85">
        <v>23082231</v>
      </c>
      <c r="BO85">
        <v>0</v>
      </c>
      <c r="BP85">
        <v>0</v>
      </c>
      <c r="BQ85">
        <v>0</v>
      </c>
      <c r="BR85">
        <v>0</v>
      </c>
      <c r="BS85">
        <v>0</v>
      </c>
      <c r="BT85">
        <v>7288895</v>
      </c>
      <c r="BU85">
        <v>14881284</v>
      </c>
      <c r="BV85">
        <v>0</v>
      </c>
      <c r="BW85">
        <v>0</v>
      </c>
      <c r="BX85">
        <v>0</v>
      </c>
      <c r="BY85">
        <v>0</v>
      </c>
      <c r="BZ85">
        <v>0</v>
      </c>
      <c r="CA85">
        <v>0</v>
      </c>
      <c r="CB85">
        <v>653587</v>
      </c>
      <c r="CC85">
        <v>1379921</v>
      </c>
      <c r="CD85">
        <v>34072103</v>
      </c>
      <c r="CE85">
        <v>0</v>
      </c>
      <c r="CF85">
        <v>0</v>
      </c>
      <c r="CG85">
        <v>0</v>
      </c>
      <c r="CH85">
        <v>0</v>
      </c>
      <c r="CI85">
        <v>0</v>
      </c>
      <c r="CJ85">
        <v>0</v>
      </c>
      <c r="CK85">
        <v>0</v>
      </c>
      <c r="CL85">
        <v>0</v>
      </c>
      <c r="CM85">
        <v>0</v>
      </c>
      <c r="CN85">
        <v>21837</v>
      </c>
      <c r="CO85">
        <v>10833210</v>
      </c>
      <c r="CP85">
        <v>0</v>
      </c>
      <c r="CQ85">
        <v>0</v>
      </c>
      <c r="CR85">
        <v>0</v>
      </c>
      <c r="CS85">
        <v>0</v>
      </c>
      <c r="CT85">
        <v>0</v>
      </c>
      <c r="CU85">
        <v>150762</v>
      </c>
      <c r="CV85">
        <v>0</v>
      </c>
      <c r="CW85">
        <v>0</v>
      </c>
      <c r="CX85">
        <v>0</v>
      </c>
      <c r="CY85">
        <v>0</v>
      </c>
    </row>
    <row r="86" spans="1:103" x14ac:dyDescent="0.3">
      <c r="A86">
        <v>516</v>
      </c>
      <c r="B86" t="s">
        <v>220</v>
      </c>
      <c r="D86">
        <v>0</v>
      </c>
      <c r="E86">
        <v>0</v>
      </c>
      <c r="F86">
        <v>0</v>
      </c>
      <c r="G86">
        <v>56197452</v>
      </c>
      <c r="H86">
        <v>0</v>
      </c>
      <c r="I86">
        <v>0</v>
      </c>
      <c r="J86">
        <v>79022946</v>
      </c>
      <c r="K86">
        <v>43448838</v>
      </c>
      <c r="L86">
        <v>38088680</v>
      </c>
      <c r="M86">
        <v>393719341</v>
      </c>
      <c r="N86">
        <v>0</v>
      </c>
      <c r="O86">
        <v>29125983</v>
      </c>
      <c r="P86">
        <v>0</v>
      </c>
      <c r="Q86">
        <v>20832225</v>
      </c>
      <c r="R86">
        <v>30715857</v>
      </c>
      <c r="S86">
        <v>0</v>
      </c>
      <c r="U86">
        <v>0</v>
      </c>
      <c r="V86">
        <v>50876706</v>
      </c>
      <c r="X86">
        <v>10722303</v>
      </c>
      <c r="Y86">
        <v>11754817</v>
      </c>
      <c r="Z86">
        <v>0</v>
      </c>
      <c r="AA86">
        <v>26348092</v>
      </c>
      <c r="AB86">
        <v>0</v>
      </c>
      <c r="AC86">
        <v>17212349</v>
      </c>
      <c r="AD86">
        <v>16527671</v>
      </c>
      <c r="AE86">
        <v>57229830</v>
      </c>
      <c r="AF86">
        <v>18127698</v>
      </c>
      <c r="AG86">
        <v>38529173</v>
      </c>
      <c r="AH86">
        <v>62988450</v>
      </c>
      <c r="AI86">
        <v>29941988</v>
      </c>
      <c r="AJ86">
        <v>67772195</v>
      </c>
      <c r="AK86">
        <v>0</v>
      </c>
      <c r="AL86">
        <v>50008051</v>
      </c>
      <c r="AM86">
        <v>0</v>
      </c>
      <c r="AN86">
        <v>13900444</v>
      </c>
      <c r="AP86">
        <v>0</v>
      </c>
      <c r="AQ86">
        <v>56973426</v>
      </c>
      <c r="AR86">
        <v>0</v>
      </c>
      <c r="AS86">
        <v>55180228</v>
      </c>
      <c r="AT86">
        <v>424683953</v>
      </c>
      <c r="AU86">
        <v>0</v>
      </c>
      <c r="AV86">
        <v>434523</v>
      </c>
      <c r="AW86">
        <v>18016828</v>
      </c>
      <c r="AX86">
        <v>81181496</v>
      </c>
      <c r="AY86">
        <v>0</v>
      </c>
      <c r="AZ86">
        <v>0</v>
      </c>
      <c r="BA86">
        <v>0</v>
      </c>
      <c r="BB86">
        <v>348307766</v>
      </c>
      <c r="BC86">
        <v>24118808</v>
      </c>
      <c r="BD86">
        <v>0</v>
      </c>
      <c r="BE86">
        <v>0</v>
      </c>
      <c r="BF86">
        <v>82736235</v>
      </c>
      <c r="BG86">
        <v>0</v>
      </c>
      <c r="BH86">
        <v>0</v>
      </c>
      <c r="BI86">
        <v>17813752</v>
      </c>
      <c r="BJ86">
        <v>7385631</v>
      </c>
      <c r="BK86">
        <v>0</v>
      </c>
      <c r="BL86">
        <v>0</v>
      </c>
      <c r="BM86">
        <v>0</v>
      </c>
      <c r="BN86">
        <v>106339595</v>
      </c>
      <c r="BO86">
        <v>0</v>
      </c>
      <c r="BP86">
        <v>0</v>
      </c>
      <c r="BQ86">
        <v>32690254</v>
      </c>
      <c r="BR86">
        <v>0</v>
      </c>
      <c r="BS86">
        <v>0</v>
      </c>
      <c r="BT86">
        <v>12069930</v>
      </c>
      <c r="BU86">
        <v>27080652</v>
      </c>
      <c r="BV86">
        <v>114338790</v>
      </c>
      <c r="BW86">
        <v>18352581</v>
      </c>
      <c r="BX86">
        <v>0</v>
      </c>
      <c r="BY86">
        <v>0</v>
      </c>
      <c r="BZ86">
        <v>11272219</v>
      </c>
      <c r="CA86">
        <v>0</v>
      </c>
      <c r="CB86">
        <v>77350995</v>
      </c>
      <c r="CC86">
        <v>92726550</v>
      </c>
      <c r="CD86">
        <v>0</v>
      </c>
      <c r="CE86">
        <v>0</v>
      </c>
      <c r="CF86">
        <v>0</v>
      </c>
      <c r="CG86">
        <v>36282843</v>
      </c>
      <c r="CH86">
        <v>12586525</v>
      </c>
      <c r="CI86">
        <v>55472005</v>
      </c>
      <c r="CJ86">
        <v>5563168</v>
      </c>
      <c r="CK86">
        <v>12819270</v>
      </c>
      <c r="CL86">
        <v>0</v>
      </c>
      <c r="CM86">
        <v>0</v>
      </c>
      <c r="CN86">
        <v>23522257</v>
      </c>
      <c r="CO86">
        <v>518265449</v>
      </c>
      <c r="CP86">
        <v>16502085</v>
      </c>
      <c r="CQ86">
        <v>0</v>
      </c>
      <c r="CR86">
        <v>46060848</v>
      </c>
      <c r="CS86">
        <v>11165089</v>
      </c>
      <c r="CT86">
        <v>0</v>
      </c>
      <c r="CU86">
        <v>0</v>
      </c>
      <c r="CV86">
        <v>0</v>
      </c>
      <c r="CW86">
        <v>27001853</v>
      </c>
      <c r="CX86">
        <v>13849804</v>
      </c>
      <c r="CY86">
        <v>0</v>
      </c>
    </row>
    <row r="87" spans="1:103" x14ac:dyDescent="0.3">
      <c r="A87">
        <v>517</v>
      </c>
      <c r="B87" t="s">
        <v>221</v>
      </c>
      <c r="D87">
        <v>0</v>
      </c>
      <c r="E87">
        <v>38476081</v>
      </c>
      <c r="F87">
        <v>0</v>
      </c>
      <c r="G87">
        <v>0</v>
      </c>
      <c r="H87">
        <v>0</v>
      </c>
      <c r="I87">
        <v>0</v>
      </c>
      <c r="J87">
        <v>0</v>
      </c>
      <c r="K87">
        <v>0</v>
      </c>
      <c r="L87">
        <v>0</v>
      </c>
      <c r="M87">
        <v>0</v>
      </c>
      <c r="N87">
        <v>0</v>
      </c>
      <c r="O87">
        <v>0</v>
      </c>
      <c r="P87">
        <v>0</v>
      </c>
      <c r="Q87">
        <v>0</v>
      </c>
      <c r="R87">
        <v>0</v>
      </c>
      <c r="S87">
        <v>9618564</v>
      </c>
      <c r="U87">
        <v>0</v>
      </c>
      <c r="V87">
        <v>0</v>
      </c>
      <c r="X87">
        <v>0</v>
      </c>
      <c r="Y87">
        <v>0</v>
      </c>
      <c r="Z87">
        <v>0</v>
      </c>
      <c r="AA87">
        <v>0</v>
      </c>
      <c r="AB87">
        <v>0</v>
      </c>
      <c r="AC87">
        <v>0</v>
      </c>
      <c r="AD87">
        <v>0</v>
      </c>
      <c r="AE87">
        <v>0</v>
      </c>
      <c r="AF87">
        <v>0</v>
      </c>
      <c r="AG87">
        <v>0</v>
      </c>
      <c r="AH87">
        <v>0</v>
      </c>
      <c r="AI87">
        <v>0</v>
      </c>
      <c r="AJ87">
        <v>0</v>
      </c>
      <c r="AK87">
        <v>0</v>
      </c>
      <c r="AL87">
        <v>0</v>
      </c>
      <c r="AM87">
        <v>0</v>
      </c>
      <c r="AN87">
        <v>0</v>
      </c>
      <c r="AP87">
        <v>0</v>
      </c>
      <c r="AQ87">
        <v>0</v>
      </c>
      <c r="AR87">
        <v>0</v>
      </c>
      <c r="AS87">
        <v>0</v>
      </c>
      <c r="AT87">
        <v>0</v>
      </c>
      <c r="AU87">
        <v>0</v>
      </c>
      <c r="AV87">
        <v>0</v>
      </c>
      <c r="AW87">
        <v>0</v>
      </c>
      <c r="AX87">
        <v>0</v>
      </c>
      <c r="AY87">
        <v>17967168</v>
      </c>
      <c r="AZ87">
        <v>0</v>
      </c>
      <c r="BA87">
        <v>0</v>
      </c>
      <c r="BB87">
        <v>0</v>
      </c>
      <c r="BC87">
        <v>0</v>
      </c>
      <c r="BD87">
        <v>0</v>
      </c>
      <c r="BE87">
        <v>0</v>
      </c>
      <c r="BF87">
        <v>935461</v>
      </c>
      <c r="BG87">
        <v>0</v>
      </c>
      <c r="BH87">
        <v>0</v>
      </c>
      <c r="BI87">
        <v>0</v>
      </c>
      <c r="BJ87">
        <v>0</v>
      </c>
      <c r="BK87">
        <v>0</v>
      </c>
      <c r="BL87">
        <v>0</v>
      </c>
      <c r="BM87">
        <v>41155246</v>
      </c>
      <c r="BN87">
        <v>0</v>
      </c>
      <c r="BO87">
        <v>37312652</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6085490</v>
      </c>
      <c r="CV87">
        <v>0</v>
      </c>
      <c r="CW87">
        <v>0</v>
      </c>
      <c r="CX87">
        <v>0</v>
      </c>
      <c r="CY87">
        <v>0</v>
      </c>
    </row>
    <row r="88" spans="1:103" x14ac:dyDescent="0.3">
      <c r="A88">
        <v>518</v>
      </c>
      <c r="B88" t="s">
        <v>222</v>
      </c>
      <c r="D88">
        <v>0</v>
      </c>
      <c r="E88">
        <v>8500</v>
      </c>
      <c r="F88">
        <v>0</v>
      </c>
      <c r="G88">
        <v>2428624</v>
      </c>
      <c r="H88">
        <v>0</v>
      </c>
      <c r="I88">
        <v>0</v>
      </c>
      <c r="J88">
        <v>2230581</v>
      </c>
      <c r="K88">
        <v>204008</v>
      </c>
      <c r="L88">
        <v>1572418</v>
      </c>
      <c r="M88">
        <v>48113121</v>
      </c>
      <c r="N88">
        <v>0</v>
      </c>
      <c r="O88">
        <v>816817</v>
      </c>
      <c r="P88">
        <v>0</v>
      </c>
      <c r="Q88">
        <v>2189546</v>
      </c>
      <c r="R88">
        <v>823750</v>
      </c>
      <c r="S88">
        <v>220233</v>
      </c>
      <c r="U88">
        <v>0</v>
      </c>
      <c r="V88">
        <v>2674858</v>
      </c>
      <c r="X88">
        <v>630809</v>
      </c>
      <c r="Y88">
        <v>268873</v>
      </c>
      <c r="Z88">
        <v>0</v>
      </c>
      <c r="AA88">
        <v>289798</v>
      </c>
      <c r="AB88">
        <v>725172</v>
      </c>
      <c r="AC88">
        <v>0</v>
      </c>
      <c r="AD88">
        <v>42129139</v>
      </c>
      <c r="AE88">
        <v>8222065</v>
      </c>
      <c r="AF88">
        <v>209537</v>
      </c>
      <c r="AG88">
        <v>3217435</v>
      </c>
      <c r="AH88">
        <v>402056</v>
      </c>
      <c r="AI88">
        <v>11612861</v>
      </c>
      <c r="AJ88">
        <v>1763674</v>
      </c>
      <c r="AK88">
        <v>0</v>
      </c>
      <c r="AL88">
        <v>4333508</v>
      </c>
      <c r="AM88">
        <v>0</v>
      </c>
      <c r="AN88">
        <v>493842</v>
      </c>
      <c r="AP88">
        <v>0</v>
      </c>
      <c r="AQ88">
        <v>1053894</v>
      </c>
      <c r="AR88">
        <v>0</v>
      </c>
      <c r="AS88">
        <v>3397123</v>
      </c>
      <c r="AT88">
        <v>7479674</v>
      </c>
      <c r="AU88">
        <v>0</v>
      </c>
      <c r="AV88">
        <v>17234</v>
      </c>
      <c r="AW88">
        <v>587029</v>
      </c>
      <c r="AX88">
        <v>3132917</v>
      </c>
      <c r="AY88">
        <v>808982</v>
      </c>
      <c r="AZ88">
        <v>0</v>
      </c>
      <c r="BA88">
        <v>0</v>
      </c>
      <c r="BB88">
        <v>57009555</v>
      </c>
      <c r="BC88">
        <v>399004</v>
      </c>
      <c r="BD88">
        <v>0</v>
      </c>
      <c r="BE88">
        <v>0</v>
      </c>
      <c r="BF88">
        <v>5905401</v>
      </c>
      <c r="BG88">
        <v>0</v>
      </c>
      <c r="BH88">
        <v>0</v>
      </c>
      <c r="BI88">
        <v>376518</v>
      </c>
      <c r="BJ88">
        <v>1144</v>
      </c>
      <c r="BK88">
        <v>0</v>
      </c>
      <c r="BL88">
        <v>0</v>
      </c>
      <c r="BM88">
        <v>4771151</v>
      </c>
      <c r="BN88">
        <v>5212633</v>
      </c>
      <c r="BO88">
        <v>207322</v>
      </c>
      <c r="BP88">
        <v>0</v>
      </c>
      <c r="BQ88">
        <v>770799</v>
      </c>
      <c r="BR88">
        <v>0</v>
      </c>
      <c r="BS88">
        <v>0</v>
      </c>
      <c r="BT88">
        <v>2878155</v>
      </c>
      <c r="BU88">
        <v>2280307</v>
      </c>
      <c r="BV88">
        <v>5811584</v>
      </c>
      <c r="BW88">
        <v>919966</v>
      </c>
      <c r="BX88">
        <v>0</v>
      </c>
      <c r="BY88">
        <v>0</v>
      </c>
      <c r="BZ88">
        <v>0</v>
      </c>
      <c r="CA88">
        <v>0</v>
      </c>
      <c r="CB88">
        <v>2538282</v>
      </c>
      <c r="CC88">
        <v>19480057</v>
      </c>
      <c r="CD88">
        <v>771190</v>
      </c>
      <c r="CE88">
        <v>3931866</v>
      </c>
      <c r="CF88">
        <v>0</v>
      </c>
      <c r="CG88">
        <v>1420897</v>
      </c>
      <c r="CH88">
        <v>0</v>
      </c>
      <c r="CI88">
        <v>1103189</v>
      </c>
      <c r="CJ88">
        <v>1641248</v>
      </c>
      <c r="CK88">
        <v>0</v>
      </c>
      <c r="CL88">
        <v>0</v>
      </c>
      <c r="CM88">
        <v>0</v>
      </c>
      <c r="CN88">
        <v>584531</v>
      </c>
      <c r="CO88">
        <v>14349942</v>
      </c>
      <c r="CP88">
        <v>0</v>
      </c>
      <c r="CQ88">
        <v>0</v>
      </c>
      <c r="CR88">
        <v>2478258</v>
      </c>
      <c r="CS88">
        <v>435967</v>
      </c>
      <c r="CT88">
        <v>0</v>
      </c>
      <c r="CU88">
        <v>597179</v>
      </c>
      <c r="CV88">
        <v>0</v>
      </c>
      <c r="CW88">
        <v>191479</v>
      </c>
      <c r="CX88">
        <v>0</v>
      </c>
      <c r="CY88">
        <v>0</v>
      </c>
    </row>
    <row r="89" spans="1:103" x14ac:dyDescent="0.3">
      <c r="A89">
        <v>519</v>
      </c>
      <c r="B89" t="s">
        <v>223</v>
      </c>
      <c r="D89">
        <v>0</v>
      </c>
      <c r="E89">
        <v>0</v>
      </c>
      <c r="F89">
        <v>0</v>
      </c>
      <c r="G89">
        <v>132565</v>
      </c>
      <c r="H89">
        <v>0</v>
      </c>
      <c r="I89">
        <v>0</v>
      </c>
      <c r="J89">
        <v>0</v>
      </c>
      <c r="K89">
        <v>0</v>
      </c>
      <c r="L89">
        <v>0</v>
      </c>
      <c r="M89">
        <v>6713282</v>
      </c>
      <c r="N89">
        <v>0</v>
      </c>
      <c r="O89">
        <v>0</v>
      </c>
      <c r="P89">
        <v>0</v>
      </c>
      <c r="Q89">
        <v>5311</v>
      </c>
      <c r="R89">
        <v>0</v>
      </c>
      <c r="S89">
        <v>70642</v>
      </c>
      <c r="U89">
        <v>0</v>
      </c>
      <c r="V89">
        <v>0</v>
      </c>
      <c r="X89">
        <v>31264</v>
      </c>
      <c r="Y89">
        <v>2556</v>
      </c>
      <c r="Z89">
        <v>0</v>
      </c>
      <c r="AA89">
        <v>0</v>
      </c>
      <c r="AB89">
        <v>1639689</v>
      </c>
      <c r="AC89">
        <v>0</v>
      </c>
      <c r="AD89">
        <v>1567592</v>
      </c>
      <c r="AE89">
        <v>1353377</v>
      </c>
      <c r="AF89">
        <v>0</v>
      </c>
      <c r="AG89">
        <v>315103</v>
      </c>
      <c r="AH89">
        <v>0</v>
      </c>
      <c r="AI89">
        <v>2372435</v>
      </c>
      <c r="AJ89">
        <v>23988</v>
      </c>
      <c r="AK89">
        <v>0</v>
      </c>
      <c r="AL89">
        <v>0</v>
      </c>
      <c r="AM89">
        <v>0</v>
      </c>
      <c r="AN89">
        <v>0</v>
      </c>
      <c r="AP89">
        <v>0</v>
      </c>
      <c r="AQ89">
        <v>0</v>
      </c>
      <c r="AR89">
        <v>0</v>
      </c>
      <c r="AS89">
        <v>0</v>
      </c>
      <c r="AT89">
        <v>712995</v>
      </c>
      <c r="AU89">
        <v>0</v>
      </c>
      <c r="AV89">
        <v>0</v>
      </c>
      <c r="AW89">
        <v>8450</v>
      </c>
      <c r="AX89">
        <v>2493</v>
      </c>
      <c r="AY89">
        <v>0</v>
      </c>
      <c r="AZ89">
        <v>0</v>
      </c>
      <c r="BA89">
        <v>0</v>
      </c>
      <c r="BB89">
        <v>0</v>
      </c>
      <c r="BC89">
        <v>0</v>
      </c>
      <c r="BD89">
        <v>0</v>
      </c>
      <c r="BE89">
        <v>0</v>
      </c>
      <c r="BF89">
        <v>1337281</v>
      </c>
      <c r="BG89">
        <v>0</v>
      </c>
      <c r="BH89">
        <v>0</v>
      </c>
      <c r="BI89">
        <v>0</v>
      </c>
      <c r="BJ89">
        <v>0</v>
      </c>
      <c r="BK89">
        <v>0</v>
      </c>
      <c r="BL89">
        <v>0</v>
      </c>
      <c r="BM89">
        <v>137842</v>
      </c>
      <c r="BN89">
        <v>1108588</v>
      </c>
      <c r="BO89">
        <v>0</v>
      </c>
      <c r="BP89">
        <v>0</v>
      </c>
      <c r="BQ89">
        <v>0</v>
      </c>
      <c r="BR89">
        <v>0</v>
      </c>
      <c r="BS89">
        <v>0</v>
      </c>
      <c r="BT89">
        <v>293020</v>
      </c>
      <c r="BU89">
        <v>447179</v>
      </c>
      <c r="BV89">
        <v>0</v>
      </c>
      <c r="BW89">
        <v>0</v>
      </c>
      <c r="BX89">
        <v>0</v>
      </c>
      <c r="BY89">
        <v>0</v>
      </c>
      <c r="BZ89">
        <v>0</v>
      </c>
      <c r="CA89">
        <v>0</v>
      </c>
      <c r="CB89">
        <v>16340</v>
      </c>
      <c r="CC89">
        <v>0</v>
      </c>
      <c r="CD89">
        <v>501176</v>
      </c>
      <c r="CE89">
        <v>0</v>
      </c>
      <c r="CF89">
        <v>0</v>
      </c>
      <c r="CG89">
        <v>0</v>
      </c>
      <c r="CH89">
        <v>0</v>
      </c>
      <c r="CI89">
        <v>0</v>
      </c>
      <c r="CJ89">
        <v>0</v>
      </c>
      <c r="CK89">
        <v>0</v>
      </c>
      <c r="CL89">
        <v>0</v>
      </c>
      <c r="CM89">
        <v>0</v>
      </c>
      <c r="CN89">
        <v>1730</v>
      </c>
      <c r="CO89">
        <v>293170</v>
      </c>
      <c r="CP89">
        <v>0</v>
      </c>
      <c r="CQ89">
        <v>0</v>
      </c>
      <c r="CR89">
        <v>0</v>
      </c>
      <c r="CS89">
        <v>0</v>
      </c>
      <c r="CT89">
        <v>0</v>
      </c>
      <c r="CU89">
        <v>5296</v>
      </c>
      <c r="CV89">
        <v>0</v>
      </c>
      <c r="CW89">
        <v>0</v>
      </c>
      <c r="CX89">
        <v>0</v>
      </c>
      <c r="CY89">
        <v>0</v>
      </c>
    </row>
    <row r="90" spans="1:103" x14ac:dyDescent="0.3">
      <c r="A90">
        <v>520</v>
      </c>
      <c r="B90" t="s">
        <v>224</v>
      </c>
      <c r="D90">
        <v>0</v>
      </c>
      <c r="E90">
        <v>0</v>
      </c>
      <c r="F90">
        <v>0</v>
      </c>
      <c r="G90">
        <v>1267015</v>
      </c>
      <c r="H90">
        <v>0</v>
      </c>
      <c r="I90">
        <v>0</v>
      </c>
      <c r="J90">
        <v>2088021</v>
      </c>
      <c r="K90">
        <v>885910</v>
      </c>
      <c r="L90">
        <v>1295241</v>
      </c>
      <c r="M90">
        <v>6962790</v>
      </c>
      <c r="N90">
        <v>0</v>
      </c>
      <c r="O90">
        <v>806475</v>
      </c>
      <c r="P90">
        <v>0</v>
      </c>
      <c r="Q90">
        <v>364957</v>
      </c>
      <c r="R90">
        <v>635181</v>
      </c>
      <c r="S90">
        <v>0</v>
      </c>
      <c r="U90">
        <v>0</v>
      </c>
      <c r="V90">
        <v>106339</v>
      </c>
      <c r="X90">
        <v>288080</v>
      </c>
      <c r="Y90">
        <v>342415</v>
      </c>
      <c r="Z90">
        <v>0</v>
      </c>
      <c r="AA90">
        <v>1404314</v>
      </c>
      <c r="AB90">
        <v>0</v>
      </c>
      <c r="AC90">
        <v>419962</v>
      </c>
      <c r="AD90">
        <v>439266</v>
      </c>
      <c r="AE90">
        <v>2083352</v>
      </c>
      <c r="AF90">
        <v>362343</v>
      </c>
      <c r="AG90">
        <v>313944</v>
      </c>
      <c r="AH90">
        <v>1216516</v>
      </c>
      <c r="AI90">
        <v>578254</v>
      </c>
      <c r="AJ90">
        <v>1354794</v>
      </c>
      <c r="AK90">
        <v>0</v>
      </c>
      <c r="AL90">
        <v>1391775</v>
      </c>
      <c r="AM90">
        <v>0</v>
      </c>
      <c r="AN90">
        <v>278323</v>
      </c>
      <c r="AP90">
        <v>0</v>
      </c>
      <c r="AQ90">
        <v>1171378</v>
      </c>
      <c r="AR90">
        <v>0</v>
      </c>
      <c r="AS90">
        <v>1548855</v>
      </c>
      <c r="AT90">
        <v>17032556</v>
      </c>
      <c r="AU90">
        <v>0</v>
      </c>
      <c r="AV90">
        <v>10863</v>
      </c>
      <c r="AW90">
        <v>364708</v>
      </c>
      <c r="AX90">
        <v>1900968</v>
      </c>
      <c r="AY90">
        <v>0</v>
      </c>
      <c r="AZ90">
        <v>0</v>
      </c>
      <c r="BA90">
        <v>0</v>
      </c>
      <c r="BB90">
        <v>7234933</v>
      </c>
      <c r="BC90">
        <v>632164</v>
      </c>
      <c r="BD90">
        <v>0</v>
      </c>
      <c r="BE90">
        <v>0</v>
      </c>
      <c r="BF90">
        <v>1953685</v>
      </c>
      <c r="BG90">
        <v>0</v>
      </c>
      <c r="BH90">
        <v>0</v>
      </c>
      <c r="BI90">
        <v>356531</v>
      </c>
      <c r="BJ90">
        <v>147716</v>
      </c>
      <c r="BK90">
        <v>0</v>
      </c>
      <c r="BL90">
        <v>0</v>
      </c>
      <c r="BM90">
        <v>0</v>
      </c>
      <c r="BN90">
        <v>3906764</v>
      </c>
      <c r="BO90">
        <v>0</v>
      </c>
      <c r="BP90">
        <v>0</v>
      </c>
      <c r="BQ90">
        <v>800084</v>
      </c>
      <c r="BR90">
        <v>0</v>
      </c>
      <c r="BS90">
        <v>0</v>
      </c>
      <c r="BT90">
        <v>348979</v>
      </c>
      <c r="BU90">
        <v>640729</v>
      </c>
      <c r="BV90">
        <v>3276977</v>
      </c>
      <c r="BW90">
        <v>389321</v>
      </c>
      <c r="BX90">
        <v>0</v>
      </c>
      <c r="BY90">
        <v>0</v>
      </c>
      <c r="BZ90">
        <v>240592</v>
      </c>
      <c r="CA90">
        <v>0</v>
      </c>
      <c r="CB90">
        <v>2595320</v>
      </c>
      <c r="CC90">
        <v>4998578</v>
      </c>
      <c r="CD90">
        <v>0</v>
      </c>
      <c r="CE90">
        <v>0</v>
      </c>
      <c r="CF90">
        <v>0</v>
      </c>
      <c r="CG90">
        <v>901670</v>
      </c>
      <c r="CH90">
        <v>331277</v>
      </c>
      <c r="CI90">
        <v>1444106</v>
      </c>
      <c r="CJ90">
        <v>173197</v>
      </c>
      <c r="CK90">
        <v>320483</v>
      </c>
      <c r="CL90">
        <v>0</v>
      </c>
      <c r="CM90">
        <v>0</v>
      </c>
      <c r="CN90">
        <v>481927</v>
      </c>
      <c r="CO90">
        <v>18777924</v>
      </c>
      <c r="CP90">
        <v>416719</v>
      </c>
      <c r="CQ90">
        <v>0</v>
      </c>
      <c r="CR90">
        <v>1232318</v>
      </c>
      <c r="CS90">
        <v>239428</v>
      </c>
      <c r="CT90">
        <v>0</v>
      </c>
      <c r="CU90">
        <v>0</v>
      </c>
      <c r="CV90">
        <v>0</v>
      </c>
      <c r="CW90">
        <v>648512</v>
      </c>
      <c r="CX90">
        <v>395915</v>
      </c>
      <c r="CY90">
        <v>0</v>
      </c>
    </row>
    <row r="91" spans="1:103" x14ac:dyDescent="0.3">
      <c r="A91">
        <v>521</v>
      </c>
      <c r="B91" t="s">
        <v>225</v>
      </c>
      <c r="D91">
        <v>0</v>
      </c>
      <c r="E91">
        <v>1137793</v>
      </c>
      <c r="F91">
        <v>0</v>
      </c>
      <c r="G91">
        <v>0</v>
      </c>
      <c r="H91">
        <v>0</v>
      </c>
      <c r="I91">
        <v>0</v>
      </c>
      <c r="J91">
        <v>0</v>
      </c>
      <c r="K91">
        <v>0</v>
      </c>
      <c r="L91">
        <v>0</v>
      </c>
      <c r="M91">
        <v>0</v>
      </c>
      <c r="N91">
        <v>0</v>
      </c>
      <c r="O91">
        <v>0</v>
      </c>
      <c r="P91">
        <v>0</v>
      </c>
      <c r="Q91">
        <v>0</v>
      </c>
      <c r="R91">
        <v>0</v>
      </c>
      <c r="S91">
        <v>277548</v>
      </c>
      <c r="U91">
        <v>0</v>
      </c>
      <c r="V91">
        <v>0</v>
      </c>
      <c r="X91">
        <v>0</v>
      </c>
      <c r="Y91">
        <v>0</v>
      </c>
      <c r="Z91">
        <v>0</v>
      </c>
      <c r="AA91">
        <v>0</v>
      </c>
      <c r="AB91">
        <v>0</v>
      </c>
      <c r="AC91">
        <v>0</v>
      </c>
      <c r="AD91">
        <v>0</v>
      </c>
      <c r="AE91">
        <v>0</v>
      </c>
      <c r="AF91">
        <v>0</v>
      </c>
      <c r="AG91">
        <v>0</v>
      </c>
      <c r="AH91">
        <v>0</v>
      </c>
      <c r="AI91">
        <v>0</v>
      </c>
      <c r="AJ91">
        <v>0</v>
      </c>
      <c r="AK91">
        <v>0</v>
      </c>
      <c r="AL91">
        <v>0</v>
      </c>
      <c r="AM91">
        <v>0</v>
      </c>
      <c r="AN91">
        <v>0</v>
      </c>
      <c r="AP91">
        <v>0</v>
      </c>
      <c r="AQ91">
        <v>0</v>
      </c>
      <c r="AR91">
        <v>0</v>
      </c>
      <c r="AS91">
        <v>0</v>
      </c>
      <c r="AT91">
        <v>0</v>
      </c>
      <c r="AU91">
        <v>0</v>
      </c>
      <c r="AV91">
        <v>0</v>
      </c>
      <c r="AW91">
        <v>0</v>
      </c>
      <c r="AX91">
        <v>0</v>
      </c>
      <c r="AY91">
        <v>386161</v>
      </c>
      <c r="AZ91">
        <v>0</v>
      </c>
      <c r="BA91">
        <v>0</v>
      </c>
      <c r="BB91">
        <v>0</v>
      </c>
      <c r="BC91">
        <v>0</v>
      </c>
      <c r="BD91">
        <v>0</v>
      </c>
      <c r="BE91">
        <v>0</v>
      </c>
      <c r="BF91">
        <v>40898</v>
      </c>
      <c r="BG91">
        <v>0</v>
      </c>
      <c r="BH91">
        <v>0</v>
      </c>
      <c r="BI91">
        <v>0</v>
      </c>
      <c r="BJ91">
        <v>0</v>
      </c>
      <c r="BK91">
        <v>0</v>
      </c>
      <c r="BL91">
        <v>0</v>
      </c>
      <c r="BM91">
        <v>869340</v>
      </c>
      <c r="BN91">
        <v>0</v>
      </c>
      <c r="BO91">
        <v>883463</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127596</v>
      </c>
      <c r="CV91">
        <v>0</v>
      </c>
      <c r="CW91">
        <v>0</v>
      </c>
      <c r="CX91">
        <v>0</v>
      </c>
      <c r="CY91">
        <v>0</v>
      </c>
    </row>
    <row r="92" spans="1:103" x14ac:dyDescent="0.3">
      <c r="A92">
        <v>522</v>
      </c>
      <c r="B92" t="s">
        <v>226</v>
      </c>
      <c r="D92">
        <v>0</v>
      </c>
      <c r="E92">
        <v>0</v>
      </c>
      <c r="F92">
        <v>0</v>
      </c>
      <c r="G92">
        <v>139148</v>
      </c>
      <c r="H92">
        <v>0</v>
      </c>
      <c r="I92">
        <v>0</v>
      </c>
      <c r="J92">
        <v>174154</v>
      </c>
      <c r="K92">
        <v>9909</v>
      </c>
      <c r="L92">
        <v>103657</v>
      </c>
      <c r="M92">
        <v>3087105</v>
      </c>
      <c r="N92">
        <v>0</v>
      </c>
      <c r="O92">
        <v>53883</v>
      </c>
      <c r="P92">
        <v>0</v>
      </c>
      <c r="Q92">
        <v>3955</v>
      </c>
      <c r="R92">
        <v>20776</v>
      </c>
      <c r="S92">
        <v>3790</v>
      </c>
      <c r="U92">
        <v>0</v>
      </c>
      <c r="V92">
        <v>1244966</v>
      </c>
      <c r="X92">
        <v>34073</v>
      </c>
      <c r="Y92">
        <v>19190</v>
      </c>
      <c r="Z92">
        <v>0</v>
      </c>
      <c r="AA92">
        <v>69168</v>
      </c>
      <c r="AB92">
        <v>79895</v>
      </c>
      <c r="AC92">
        <v>0</v>
      </c>
      <c r="AD92">
        <v>1626370</v>
      </c>
      <c r="AE92">
        <v>375638</v>
      </c>
      <c r="AF92">
        <v>16521</v>
      </c>
      <c r="AG92">
        <v>567784</v>
      </c>
      <c r="AH92">
        <v>62815</v>
      </c>
      <c r="AI92">
        <v>2039441</v>
      </c>
      <c r="AJ92">
        <v>130278</v>
      </c>
      <c r="AK92">
        <v>0</v>
      </c>
      <c r="AL92">
        <v>347412</v>
      </c>
      <c r="AM92">
        <v>0</v>
      </c>
      <c r="AN92">
        <v>19458</v>
      </c>
      <c r="AP92">
        <v>0</v>
      </c>
      <c r="AQ92">
        <v>80041</v>
      </c>
      <c r="AR92">
        <v>0</v>
      </c>
      <c r="AS92">
        <v>239942</v>
      </c>
      <c r="AT92">
        <v>1608524</v>
      </c>
      <c r="AU92">
        <v>0</v>
      </c>
      <c r="AV92">
        <v>0</v>
      </c>
      <c r="AW92">
        <v>39045</v>
      </c>
      <c r="AX92">
        <v>183055</v>
      </c>
      <c r="AY92">
        <v>52003</v>
      </c>
      <c r="AZ92">
        <v>0</v>
      </c>
      <c r="BA92">
        <v>0</v>
      </c>
      <c r="BB92">
        <v>1837016</v>
      </c>
      <c r="BC92">
        <v>4790</v>
      </c>
      <c r="BD92">
        <v>0</v>
      </c>
      <c r="BE92">
        <v>0</v>
      </c>
      <c r="BF92">
        <v>308445</v>
      </c>
      <c r="BG92">
        <v>0</v>
      </c>
      <c r="BH92">
        <v>0</v>
      </c>
      <c r="BI92">
        <v>31928</v>
      </c>
      <c r="BJ92">
        <v>0</v>
      </c>
      <c r="BK92">
        <v>0</v>
      </c>
      <c r="BL92">
        <v>0</v>
      </c>
      <c r="BM92">
        <v>155484</v>
      </c>
      <c r="BN92">
        <v>447744</v>
      </c>
      <c r="BO92">
        <v>2803</v>
      </c>
      <c r="BP92">
        <v>0</v>
      </c>
      <c r="BQ92">
        <v>19665</v>
      </c>
      <c r="BR92">
        <v>0</v>
      </c>
      <c r="BS92">
        <v>0</v>
      </c>
      <c r="BT92">
        <v>162339</v>
      </c>
      <c r="BU92">
        <v>160992</v>
      </c>
      <c r="BV92">
        <v>550057</v>
      </c>
      <c r="BW92">
        <v>35402</v>
      </c>
      <c r="BX92">
        <v>0</v>
      </c>
      <c r="BY92">
        <v>0</v>
      </c>
      <c r="BZ92">
        <v>0</v>
      </c>
      <c r="CA92">
        <v>0</v>
      </c>
      <c r="CB92">
        <v>30401</v>
      </c>
      <c r="CC92">
        <v>27796</v>
      </c>
      <c r="CD92">
        <v>85646</v>
      </c>
      <c r="CE92">
        <v>98930</v>
      </c>
      <c r="CF92">
        <v>0</v>
      </c>
      <c r="CG92">
        <v>98315</v>
      </c>
      <c r="CH92">
        <v>362</v>
      </c>
      <c r="CI92">
        <v>71563</v>
      </c>
      <c r="CJ92">
        <v>59428</v>
      </c>
      <c r="CK92">
        <v>0</v>
      </c>
      <c r="CL92">
        <v>0</v>
      </c>
      <c r="CM92">
        <v>0</v>
      </c>
      <c r="CN92">
        <v>28906</v>
      </c>
      <c r="CO92">
        <v>1089507</v>
      </c>
      <c r="CP92">
        <v>0</v>
      </c>
      <c r="CQ92">
        <v>0</v>
      </c>
      <c r="CR92">
        <v>210805</v>
      </c>
      <c r="CS92">
        <v>19761</v>
      </c>
      <c r="CT92">
        <v>0</v>
      </c>
      <c r="CU92">
        <v>32884</v>
      </c>
      <c r="CV92">
        <v>0</v>
      </c>
      <c r="CW92">
        <v>18649</v>
      </c>
      <c r="CX92">
        <v>0</v>
      </c>
      <c r="CY92">
        <v>0</v>
      </c>
    </row>
    <row r="93" spans="1:103" x14ac:dyDescent="0.3">
      <c r="A93">
        <v>523</v>
      </c>
      <c r="B93" t="s">
        <v>227</v>
      </c>
      <c r="D93">
        <v>0</v>
      </c>
      <c r="E93">
        <v>0</v>
      </c>
      <c r="F93">
        <v>0</v>
      </c>
      <c r="G93">
        <v>4456677</v>
      </c>
      <c r="H93">
        <v>0</v>
      </c>
      <c r="I93">
        <v>0</v>
      </c>
      <c r="J93">
        <v>0</v>
      </c>
      <c r="K93">
        <v>0</v>
      </c>
      <c r="L93">
        <v>0</v>
      </c>
      <c r="M93">
        <v>92652462</v>
      </c>
      <c r="N93">
        <v>0</v>
      </c>
      <c r="O93">
        <v>452401</v>
      </c>
      <c r="P93">
        <v>0</v>
      </c>
      <c r="Q93">
        <v>53458</v>
      </c>
      <c r="R93">
        <v>0</v>
      </c>
      <c r="S93">
        <v>1389294</v>
      </c>
      <c r="U93">
        <v>0</v>
      </c>
      <c r="V93">
        <v>5323926</v>
      </c>
      <c r="X93">
        <v>1293959</v>
      </c>
      <c r="Y93">
        <v>9950</v>
      </c>
      <c r="Z93">
        <v>0</v>
      </c>
      <c r="AA93">
        <v>0</v>
      </c>
      <c r="AB93">
        <v>26390746</v>
      </c>
      <c r="AC93">
        <v>0</v>
      </c>
      <c r="AD93">
        <v>24283312</v>
      </c>
      <c r="AE93">
        <v>33244949</v>
      </c>
      <c r="AF93">
        <v>0</v>
      </c>
      <c r="AG93">
        <v>8643843</v>
      </c>
      <c r="AH93">
        <v>0</v>
      </c>
      <c r="AI93">
        <v>17491753</v>
      </c>
      <c r="AJ93">
        <v>338715</v>
      </c>
      <c r="AK93">
        <v>0</v>
      </c>
      <c r="AL93">
        <v>0</v>
      </c>
      <c r="AM93">
        <v>0</v>
      </c>
      <c r="AN93">
        <v>0</v>
      </c>
      <c r="AP93">
        <v>0</v>
      </c>
      <c r="AQ93">
        <v>0</v>
      </c>
      <c r="AR93">
        <v>0</v>
      </c>
      <c r="AS93">
        <v>0</v>
      </c>
      <c r="AT93">
        <v>7600759</v>
      </c>
      <c r="AU93">
        <v>0</v>
      </c>
      <c r="AV93">
        <v>0</v>
      </c>
      <c r="AW93">
        <v>50391</v>
      </c>
      <c r="AX93">
        <v>35724</v>
      </c>
      <c r="AY93">
        <v>0</v>
      </c>
      <c r="AZ93">
        <v>0</v>
      </c>
      <c r="BA93">
        <v>0</v>
      </c>
      <c r="BB93">
        <v>0</v>
      </c>
      <c r="BC93">
        <v>0</v>
      </c>
      <c r="BD93">
        <v>0</v>
      </c>
      <c r="BE93">
        <v>0</v>
      </c>
      <c r="BF93">
        <v>18871970</v>
      </c>
      <c r="BG93">
        <v>0</v>
      </c>
      <c r="BH93">
        <v>0</v>
      </c>
      <c r="BI93">
        <v>0</v>
      </c>
      <c r="BJ93">
        <v>0</v>
      </c>
      <c r="BK93">
        <v>0</v>
      </c>
      <c r="BL93">
        <v>0</v>
      </c>
      <c r="BM93">
        <v>5339290</v>
      </c>
      <c r="BN93">
        <v>12949515</v>
      </c>
      <c r="BO93">
        <v>0</v>
      </c>
      <c r="BP93">
        <v>0</v>
      </c>
      <c r="BQ93">
        <v>0</v>
      </c>
      <c r="BR93">
        <v>0</v>
      </c>
      <c r="BS93">
        <v>0</v>
      </c>
      <c r="BT93">
        <v>4874360</v>
      </c>
      <c r="BU93">
        <v>6469032</v>
      </c>
      <c r="BV93">
        <v>0</v>
      </c>
      <c r="BW93">
        <v>0</v>
      </c>
      <c r="BX93">
        <v>0</v>
      </c>
      <c r="BY93">
        <v>0</v>
      </c>
      <c r="BZ93">
        <v>0</v>
      </c>
      <c r="CA93">
        <v>0</v>
      </c>
      <c r="CB93">
        <v>115538</v>
      </c>
      <c r="CC93">
        <v>1379921</v>
      </c>
      <c r="CD93">
        <v>10256268</v>
      </c>
      <c r="CE93">
        <v>0</v>
      </c>
      <c r="CF93">
        <v>0</v>
      </c>
      <c r="CG93">
        <v>0</v>
      </c>
      <c r="CH93">
        <v>0</v>
      </c>
      <c r="CI93">
        <v>0</v>
      </c>
      <c r="CJ93">
        <v>0</v>
      </c>
      <c r="CK93">
        <v>0</v>
      </c>
      <c r="CL93">
        <v>0</v>
      </c>
      <c r="CM93">
        <v>0</v>
      </c>
      <c r="CN93">
        <v>18615</v>
      </c>
      <c r="CO93">
        <v>2433081</v>
      </c>
      <c r="CP93">
        <v>0</v>
      </c>
      <c r="CQ93">
        <v>0</v>
      </c>
      <c r="CR93">
        <v>0</v>
      </c>
      <c r="CS93">
        <v>0</v>
      </c>
      <c r="CT93">
        <v>0</v>
      </c>
      <c r="CU93">
        <v>53711</v>
      </c>
      <c r="CV93">
        <v>0</v>
      </c>
      <c r="CW93">
        <v>0</v>
      </c>
      <c r="CX93">
        <v>0</v>
      </c>
      <c r="CY93">
        <v>0</v>
      </c>
    </row>
    <row r="94" spans="1:103" x14ac:dyDescent="0.3">
      <c r="A94">
        <v>524</v>
      </c>
      <c r="B94" t="s">
        <v>228</v>
      </c>
      <c r="D94">
        <v>0</v>
      </c>
      <c r="E94">
        <v>0</v>
      </c>
      <c r="F94">
        <v>0</v>
      </c>
      <c r="G94">
        <v>37098994</v>
      </c>
      <c r="H94">
        <v>0</v>
      </c>
      <c r="I94">
        <v>0</v>
      </c>
      <c r="J94">
        <v>30565261</v>
      </c>
      <c r="K94">
        <v>15569097</v>
      </c>
      <c r="L94">
        <v>15351474</v>
      </c>
      <c r="M94">
        <v>91689309</v>
      </c>
      <c r="N94">
        <v>0</v>
      </c>
      <c r="O94">
        <v>15661437</v>
      </c>
      <c r="P94">
        <v>0</v>
      </c>
      <c r="Q94">
        <v>16072062</v>
      </c>
      <c r="R94">
        <v>9484255</v>
      </c>
      <c r="S94">
        <v>0</v>
      </c>
      <c r="U94">
        <v>0</v>
      </c>
      <c r="V94">
        <v>17917659</v>
      </c>
      <c r="X94">
        <v>8540667</v>
      </c>
      <c r="Y94">
        <v>8460819</v>
      </c>
      <c r="Z94">
        <v>0</v>
      </c>
      <c r="AA94">
        <v>21232860</v>
      </c>
      <c r="AB94">
        <v>0</v>
      </c>
      <c r="AC94">
        <v>6065999</v>
      </c>
      <c r="AD94">
        <v>6424823</v>
      </c>
      <c r="AE94">
        <v>30253135</v>
      </c>
      <c r="AF94">
        <v>4882804</v>
      </c>
      <c r="AG94">
        <v>11904245</v>
      </c>
      <c r="AH94">
        <v>25116848</v>
      </c>
      <c r="AI94">
        <v>23329976</v>
      </c>
      <c r="AJ94">
        <v>17772689</v>
      </c>
      <c r="AK94">
        <v>0</v>
      </c>
      <c r="AL94">
        <v>23960843</v>
      </c>
      <c r="AM94">
        <v>0</v>
      </c>
      <c r="AN94">
        <v>6891720</v>
      </c>
      <c r="AP94">
        <v>0</v>
      </c>
      <c r="AQ94">
        <v>18088776</v>
      </c>
      <c r="AR94">
        <v>0</v>
      </c>
      <c r="AS94">
        <v>32080909</v>
      </c>
      <c r="AT94">
        <v>148353472</v>
      </c>
      <c r="AU94">
        <v>0</v>
      </c>
      <c r="AV94">
        <v>271577</v>
      </c>
      <c r="AW94">
        <v>7311233</v>
      </c>
      <c r="AX94">
        <v>24413632</v>
      </c>
      <c r="AY94">
        <v>0</v>
      </c>
      <c r="AZ94">
        <v>0</v>
      </c>
      <c r="BA94">
        <v>0</v>
      </c>
      <c r="BB94">
        <v>144225683</v>
      </c>
      <c r="BC94">
        <v>8045679</v>
      </c>
      <c r="BD94">
        <v>0</v>
      </c>
      <c r="BE94">
        <v>0</v>
      </c>
      <c r="BF94">
        <v>32379712</v>
      </c>
      <c r="BG94">
        <v>0</v>
      </c>
      <c r="BH94">
        <v>0</v>
      </c>
      <c r="BI94">
        <v>5369110</v>
      </c>
      <c r="BJ94">
        <v>1541984</v>
      </c>
      <c r="BK94">
        <v>0</v>
      </c>
      <c r="BL94">
        <v>0</v>
      </c>
      <c r="BM94">
        <v>0</v>
      </c>
      <c r="BN94">
        <v>59772761</v>
      </c>
      <c r="BO94">
        <v>0</v>
      </c>
      <c r="BP94">
        <v>0</v>
      </c>
      <c r="BQ94">
        <v>13955111</v>
      </c>
      <c r="BR94">
        <v>0</v>
      </c>
      <c r="BS94">
        <v>0</v>
      </c>
      <c r="BT94">
        <v>5332150</v>
      </c>
      <c r="BU94">
        <v>15859272</v>
      </c>
      <c r="BV94">
        <v>25982501</v>
      </c>
      <c r="BW94">
        <v>10966011</v>
      </c>
      <c r="BX94">
        <v>0</v>
      </c>
      <c r="BY94">
        <v>0</v>
      </c>
      <c r="BZ94">
        <v>2895287</v>
      </c>
      <c r="CA94">
        <v>0</v>
      </c>
      <c r="CB94">
        <v>46350130</v>
      </c>
      <c r="CC94">
        <v>67363728</v>
      </c>
      <c r="CD94">
        <v>0</v>
      </c>
      <c r="CE94">
        <v>0</v>
      </c>
      <c r="CF94">
        <v>0</v>
      </c>
      <c r="CG94">
        <v>16288770</v>
      </c>
      <c r="CH94">
        <v>6450840</v>
      </c>
      <c r="CI94">
        <v>28966047</v>
      </c>
      <c r="CJ94">
        <v>2084316</v>
      </c>
      <c r="CK94">
        <v>3222784</v>
      </c>
      <c r="CL94">
        <v>0</v>
      </c>
      <c r="CM94">
        <v>0</v>
      </c>
      <c r="CN94">
        <v>7048831</v>
      </c>
      <c r="CO94">
        <v>252134443</v>
      </c>
      <c r="CP94">
        <v>2863559</v>
      </c>
      <c r="CQ94">
        <v>0</v>
      </c>
      <c r="CR94">
        <v>20982784</v>
      </c>
      <c r="CS94">
        <v>5661671</v>
      </c>
      <c r="CT94">
        <v>0</v>
      </c>
      <c r="CU94">
        <v>0</v>
      </c>
      <c r="CV94">
        <v>0</v>
      </c>
      <c r="CW94">
        <v>11140424</v>
      </c>
      <c r="CX94">
        <v>5146204</v>
      </c>
      <c r="CY94">
        <v>0</v>
      </c>
    </row>
    <row r="95" spans="1:103" x14ac:dyDescent="0.3">
      <c r="A95">
        <v>525</v>
      </c>
      <c r="B95" t="s">
        <v>229</v>
      </c>
      <c r="D95">
        <v>0</v>
      </c>
      <c r="E95">
        <v>15419545</v>
      </c>
      <c r="F95">
        <v>0</v>
      </c>
      <c r="G95">
        <v>0</v>
      </c>
      <c r="H95">
        <v>0</v>
      </c>
      <c r="I95">
        <v>0</v>
      </c>
      <c r="J95">
        <v>0</v>
      </c>
      <c r="K95">
        <v>0</v>
      </c>
      <c r="L95">
        <v>0</v>
      </c>
      <c r="M95">
        <v>0</v>
      </c>
      <c r="N95">
        <v>0</v>
      </c>
      <c r="O95">
        <v>0</v>
      </c>
      <c r="P95">
        <v>0</v>
      </c>
      <c r="Q95">
        <v>0</v>
      </c>
      <c r="R95">
        <v>0</v>
      </c>
      <c r="S95">
        <v>5521092</v>
      </c>
      <c r="U95">
        <v>0</v>
      </c>
      <c r="V95">
        <v>0</v>
      </c>
      <c r="X95">
        <v>0</v>
      </c>
      <c r="Y95">
        <v>0</v>
      </c>
      <c r="Z95">
        <v>0</v>
      </c>
      <c r="AA95">
        <v>0</v>
      </c>
      <c r="AB95">
        <v>0</v>
      </c>
      <c r="AC95">
        <v>0</v>
      </c>
      <c r="AD95">
        <v>0</v>
      </c>
      <c r="AE95">
        <v>0</v>
      </c>
      <c r="AF95">
        <v>0</v>
      </c>
      <c r="AG95">
        <v>0</v>
      </c>
      <c r="AH95">
        <v>0</v>
      </c>
      <c r="AI95">
        <v>0</v>
      </c>
      <c r="AJ95">
        <v>0</v>
      </c>
      <c r="AK95">
        <v>0</v>
      </c>
      <c r="AL95">
        <v>0</v>
      </c>
      <c r="AM95">
        <v>0</v>
      </c>
      <c r="AN95">
        <v>0</v>
      </c>
      <c r="AP95">
        <v>0</v>
      </c>
      <c r="AQ95">
        <v>0</v>
      </c>
      <c r="AR95">
        <v>0</v>
      </c>
      <c r="AS95">
        <v>0</v>
      </c>
      <c r="AT95">
        <v>0</v>
      </c>
      <c r="AU95">
        <v>0</v>
      </c>
      <c r="AV95">
        <v>0</v>
      </c>
      <c r="AW95">
        <v>0</v>
      </c>
      <c r="AX95">
        <v>0</v>
      </c>
      <c r="AY95">
        <v>9443009</v>
      </c>
      <c r="AZ95">
        <v>0</v>
      </c>
      <c r="BA95">
        <v>0</v>
      </c>
      <c r="BB95">
        <v>0</v>
      </c>
      <c r="BC95">
        <v>0</v>
      </c>
      <c r="BD95">
        <v>0</v>
      </c>
      <c r="BE95">
        <v>0</v>
      </c>
      <c r="BF95">
        <v>581807</v>
      </c>
      <c r="BG95">
        <v>0</v>
      </c>
      <c r="BH95">
        <v>0</v>
      </c>
      <c r="BI95">
        <v>0</v>
      </c>
      <c r="BJ95">
        <v>0</v>
      </c>
      <c r="BK95">
        <v>0</v>
      </c>
      <c r="BL95">
        <v>0</v>
      </c>
      <c r="BM95">
        <v>19769536</v>
      </c>
      <c r="BN95">
        <v>0</v>
      </c>
      <c r="BO95">
        <v>9497811</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2874102</v>
      </c>
      <c r="CV95">
        <v>0</v>
      </c>
      <c r="CW95">
        <v>0</v>
      </c>
      <c r="CX95">
        <v>0</v>
      </c>
      <c r="CY95">
        <v>0</v>
      </c>
    </row>
    <row r="96" spans="1:103" x14ac:dyDescent="0.3">
      <c r="A96">
        <v>526</v>
      </c>
      <c r="B96" t="s">
        <v>230</v>
      </c>
      <c r="D96">
        <v>0</v>
      </c>
      <c r="E96">
        <v>8500</v>
      </c>
      <c r="F96">
        <v>0</v>
      </c>
      <c r="G96">
        <v>2110164</v>
      </c>
      <c r="H96">
        <v>0</v>
      </c>
      <c r="I96">
        <v>0</v>
      </c>
      <c r="J96">
        <v>955243</v>
      </c>
      <c r="K96">
        <v>192643</v>
      </c>
      <c r="L96">
        <v>1413098</v>
      </c>
      <c r="M96">
        <v>24185956</v>
      </c>
      <c r="N96">
        <v>0</v>
      </c>
      <c r="O96">
        <v>548177</v>
      </c>
      <c r="P96">
        <v>0</v>
      </c>
      <c r="Q96">
        <v>1584166</v>
      </c>
      <c r="R96">
        <v>263088</v>
      </c>
      <c r="S96">
        <v>220236</v>
      </c>
      <c r="U96">
        <v>0</v>
      </c>
      <c r="V96">
        <v>3029337</v>
      </c>
      <c r="X96">
        <v>553819</v>
      </c>
      <c r="Y96">
        <v>214007</v>
      </c>
      <c r="Z96">
        <v>0</v>
      </c>
      <c r="AA96">
        <v>673100</v>
      </c>
      <c r="AB96">
        <v>574748</v>
      </c>
      <c r="AC96">
        <v>0</v>
      </c>
      <c r="AD96">
        <v>29707947</v>
      </c>
      <c r="AE96">
        <v>6280034</v>
      </c>
      <c r="AF96">
        <v>103831</v>
      </c>
      <c r="AG96">
        <v>3182209</v>
      </c>
      <c r="AH96">
        <v>388448</v>
      </c>
      <c r="AI96">
        <v>4184803</v>
      </c>
      <c r="AJ96">
        <v>1451623</v>
      </c>
      <c r="AK96">
        <v>0</v>
      </c>
      <c r="AL96">
        <v>3189490</v>
      </c>
      <c r="AM96">
        <v>0</v>
      </c>
      <c r="AN96">
        <v>438537</v>
      </c>
      <c r="AP96">
        <v>0</v>
      </c>
      <c r="AQ96">
        <v>716352</v>
      </c>
      <c r="AR96">
        <v>0</v>
      </c>
      <c r="AS96">
        <v>3110286</v>
      </c>
      <c r="AT96">
        <v>7439481</v>
      </c>
      <c r="AU96">
        <v>0</v>
      </c>
      <c r="AV96">
        <v>17234</v>
      </c>
      <c r="AW96">
        <v>372453</v>
      </c>
      <c r="AX96">
        <v>2249818</v>
      </c>
      <c r="AY96">
        <v>549313</v>
      </c>
      <c r="AZ96">
        <v>0</v>
      </c>
      <c r="BA96">
        <v>0</v>
      </c>
      <c r="BB96">
        <v>27014816</v>
      </c>
      <c r="BC96">
        <v>367346</v>
      </c>
      <c r="BD96">
        <v>0</v>
      </c>
      <c r="BE96">
        <v>0</v>
      </c>
      <c r="BF96">
        <v>4314793</v>
      </c>
      <c r="BG96">
        <v>0</v>
      </c>
      <c r="BH96">
        <v>0</v>
      </c>
      <c r="BI96">
        <v>296213</v>
      </c>
      <c r="BJ96">
        <v>1144</v>
      </c>
      <c r="BK96">
        <v>0</v>
      </c>
      <c r="BL96">
        <v>0</v>
      </c>
      <c r="BM96">
        <v>2083410</v>
      </c>
      <c r="BN96">
        <v>3963145</v>
      </c>
      <c r="BO96">
        <v>175163</v>
      </c>
      <c r="BP96">
        <v>0</v>
      </c>
      <c r="BQ96">
        <v>722279</v>
      </c>
      <c r="BR96">
        <v>0</v>
      </c>
      <c r="BS96">
        <v>0</v>
      </c>
      <c r="BT96">
        <v>1997176</v>
      </c>
      <c r="BU96">
        <v>1671108</v>
      </c>
      <c r="BV96">
        <v>3808886</v>
      </c>
      <c r="BW96">
        <v>724083</v>
      </c>
      <c r="BX96">
        <v>0</v>
      </c>
      <c r="BY96">
        <v>0</v>
      </c>
      <c r="BZ96">
        <v>0</v>
      </c>
      <c r="CA96">
        <v>0</v>
      </c>
      <c r="CB96">
        <v>2350626</v>
      </c>
      <c r="CC96">
        <v>12704550</v>
      </c>
      <c r="CD96">
        <v>357569</v>
      </c>
      <c r="CE96">
        <v>366635</v>
      </c>
      <c r="CF96">
        <v>0</v>
      </c>
      <c r="CG96">
        <v>705505</v>
      </c>
      <c r="CH96">
        <v>0</v>
      </c>
      <c r="CI96">
        <v>1047887</v>
      </c>
      <c r="CJ96">
        <v>676323</v>
      </c>
      <c r="CK96">
        <v>0</v>
      </c>
      <c r="CL96">
        <v>0</v>
      </c>
      <c r="CM96">
        <v>0</v>
      </c>
      <c r="CN96">
        <v>525639</v>
      </c>
      <c r="CO96">
        <v>9658212</v>
      </c>
      <c r="CP96">
        <v>0</v>
      </c>
      <c r="CQ96">
        <v>0</v>
      </c>
      <c r="CR96">
        <v>967637</v>
      </c>
      <c r="CS96">
        <v>342753</v>
      </c>
      <c r="CT96">
        <v>0</v>
      </c>
      <c r="CU96">
        <v>315566</v>
      </c>
      <c r="CV96">
        <v>0</v>
      </c>
      <c r="CW96">
        <v>141614</v>
      </c>
      <c r="CX96">
        <v>0</v>
      </c>
      <c r="CY96">
        <v>0</v>
      </c>
    </row>
    <row r="97" spans="1:103" x14ac:dyDescent="0.3">
      <c r="A97">
        <v>528</v>
      </c>
      <c r="B97" t="s">
        <v>214</v>
      </c>
      <c r="D97">
        <v>93332138</v>
      </c>
      <c r="E97">
        <v>19551110</v>
      </c>
      <c r="F97">
        <v>11006641</v>
      </c>
      <c r="G97">
        <v>15025330</v>
      </c>
      <c r="H97">
        <v>20222970</v>
      </c>
      <c r="I97">
        <v>19370206</v>
      </c>
      <c r="J97">
        <v>35531941</v>
      </c>
      <c r="K97">
        <v>10856332</v>
      </c>
      <c r="L97">
        <v>24216517</v>
      </c>
      <c r="M97">
        <v>148549627</v>
      </c>
      <c r="N97">
        <v>227982788</v>
      </c>
      <c r="O97">
        <v>48527464</v>
      </c>
      <c r="P97">
        <v>210805590</v>
      </c>
      <c r="Q97">
        <v>48282328</v>
      </c>
      <c r="R97">
        <v>9670015</v>
      </c>
      <c r="S97">
        <v>53408458</v>
      </c>
      <c r="U97">
        <v>106350128</v>
      </c>
      <c r="V97">
        <v>89027498</v>
      </c>
      <c r="X97">
        <v>11570052</v>
      </c>
      <c r="Y97">
        <v>8439701</v>
      </c>
      <c r="Z97">
        <v>69238871</v>
      </c>
      <c r="AA97">
        <v>30559695</v>
      </c>
      <c r="AB97">
        <v>51414736</v>
      </c>
      <c r="AC97">
        <v>174168177</v>
      </c>
      <c r="AD97">
        <v>36496340</v>
      </c>
      <c r="AE97">
        <v>67551313</v>
      </c>
      <c r="AF97">
        <v>86594744</v>
      </c>
      <c r="AG97">
        <v>38468176</v>
      </c>
      <c r="AH97">
        <v>31574165</v>
      </c>
      <c r="AI97">
        <v>552692661</v>
      </c>
      <c r="AJ97">
        <v>29126521</v>
      </c>
      <c r="AK97">
        <v>274393776</v>
      </c>
      <c r="AL97">
        <v>49789407</v>
      </c>
      <c r="AM97">
        <v>159441001</v>
      </c>
      <c r="AN97">
        <v>7471375</v>
      </c>
      <c r="AP97">
        <v>39744041</v>
      </c>
      <c r="AQ97">
        <v>8890540</v>
      </c>
      <c r="AR97">
        <v>465954067</v>
      </c>
      <c r="AS97">
        <v>28496892</v>
      </c>
      <c r="AT97">
        <v>70983150</v>
      </c>
      <c r="AU97">
        <v>48682896</v>
      </c>
      <c r="AV97">
        <v>91257497</v>
      </c>
      <c r="AW97">
        <v>13071387</v>
      </c>
      <c r="AX97">
        <v>31266419</v>
      </c>
      <c r="AY97">
        <v>8300128</v>
      </c>
      <c r="AZ97">
        <v>142933421</v>
      </c>
      <c r="BA97">
        <v>43375716</v>
      </c>
      <c r="BB97">
        <v>169340793</v>
      </c>
      <c r="BC97">
        <v>7213258</v>
      </c>
      <c r="BD97">
        <v>45298563</v>
      </c>
      <c r="BE97">
        <v>32834294</v>
      </c>
      <c r="BF97">
        <v>70443646</v>
      </c>
      <c r="BG97">
        <v>32188707</v>
      </c>
      <c r="BH97">
        <v>13060086</v>
      </c>
      <c r="BI97">
        <v>15359930</v>
      </c>
      <c r="BJ97">
        <v>25876016</v>
      </c>
      <c r="BK97">
        <v>1171687801</v>
      </c>
      <c r="BL97">
        <v>12829636</v>
      </c>
      <c r="BM97">
        <v>20830050</v>
      </c>
      <c r="BN97">
        <v>66850729</v>
      </c>
      <c r="BO97">
        <v>49816638</v>
      </c>
      <c r="BP97">
        <v>211109731</v>
      </c>
      <c r="BQ97">
        <v>18417961</v>
      </c>
      <c r="BR97">
        <v>121883290</v>
      </c>
      <c r="BS97">
        <v>173954823</v>
      </c>
      <c r="BT97">
        <v>11232970</v>
      </c>
      <c r="BU97">
        <v>24482302</v>
      </c>
      <c r="BV97">
        <v>52741954</v>
      </c>
      <c r="BW97">
        <v>9889243</v>
      </c>
      <c r="BX97">
        <v>35975470</v>
      </c>
      <c r="BY97">
        <v>97873222</v>
      </c>
      <c r="BZ97">
        <v>17278801</v>
      </c>
      <c r="CA97">
        <v>70949235</v>
      </c>
      <c r="CB97">
        <v>27758704</v>
      </c>
      <c r="CC97">
        <v>51814107</v>
      </c>
      <c r="CD97">
        <v>51378983</v>
      </c>
      <c r="CE97">
        <v>86510238</v>
      </c>
      <c r="CF97">
        <v>44733868</v>
      </c>
      <c r="CG97">
        <v>37769641</v>
      </c>
      <c r="CH97">
        <v>21872821</v>
      </c>
      <c r="CI97">
        <v>35114388</v>
      </c>
      <c r="CJ97">
        <v>28598261</v>
      </c>
      <c r="CK97">
        <v>35779896</v>
      </c>
      <c r="CL97">
        <v>6851178</v>
      </c>
      <c r="CM97">
        <v>40335858</v>
      </c>
      <c r="CN97">
        <v>4313978</v>
      </c>
      <c r="CO97">
        <v>204254797</v>
      </c>
      <c r="CP97">
        <v>23041606</v>
      </c>
      <c r="CQ97">
        <v>1178843242</v>
      </c>
      <c r="CR97">
        <v>19769812</v>
      </c>
      <c r="CS97">
        <v>8956616</v>
      </c>
      <c r="CT97">
        <v>42690688</v>
      </c>
      <c r="CU97">
        <v>61319423</v>
      </c>
      <c r="CV97">
        <v>35886586</v>
      </c>
      <c r="CW97">
        <v>52400837</v>
      </c>
      <c r="CX97">
        <v>20932229</v>
      </c>
      <c r="CY97">
        <v>13370662</v>
      </c>
    </row>
    <row r="98" spans="1:103" x14ac:dyDescent="0.3">
      <c r="A98">
        <v>529</v>
      </c>
      <c r="B98" t="s">
        <v>215</v>
      </c>
      <c r="D98">
        <v>12442953</v>
      </c>
      <c r="E98">
        <v>3119247</v>
      </c>
      <c r="F98">
        <v>1001286</v>
      </c>
      <c r="G98">
        <v>1697535</v>
      </c>
      <c r="H98">
        <v>1920034</v>
      </c>
      <c r="I98">
        <v>985154</v>
      </c>
      <c r="J98">
        <v>4021364</v>
      </c>
      <c r="K98">
        <v>1671335</v>
      </c>
      <c r="L98">
        <v>2750848</v>
      </c>
      <c r="M98">
        <v>11569416</v>
      </c>
      <c r="N98">
        <v>15155141</v>
      </c>
      <c r="O98">
        <v>6123379</v>
      </c>
      <c r="P98">
        <v>20966812</v>
      </c>
      <c r="Q98">
        <v>5232720</v>
      </c>
      <c r="R98">
        <v>1353196</v>
      </c>
      <c r="S98">
        <v>3723321</v>
      </c>
      <c r="U98">
        <v>11242151</v>
      </c>
      <c r="V98">
        <v>7774857</v>
      </c>
      <c r="X98">
        <v>1272327</v>
      </c>
      <c r="Y98">
        <v>721702</v>
      </c>
      <c r="Z98">
        <v>6910154</v>
      </c>
      <c r="AA98">
        <v>4171838</v>
      </c>
      <c r="AB98">
        <v>7489378</v>
      </c>
      <c r="AC98">
        <v>25215748</v>
      </c>
      <c r="AD98">
        <v>2347504</v>
      </c>
      <c r="AE98">
        <v>2585982</v>
      </c>
      <c r="AF98">
        <v>10472984</v>
      </c>
      <c r="AG98">
        <v>4708511</v>
      </c>
      <c r="AH98">
        <v>4361985</v>
      </c>
      <c r="AI98">
        <v>37495840</v>
      </c>
      <c r="AJ98">
        <v>4378202</v>
      </c>
      <c r="AK98">
        <v>27692818</v>
      </c>
      <c r="AL98">
        <v>7129854</v>
      </c>
      <c r="AM98">
        <v>19961453</v>
      </c>
      <c r="AN98">
        <v>1058816</v>
      </c>
      <c r="AP98">
        <v>5989649</v>
      </c>
      <c r="AQ98">
        <v>1625123</v>
      </c>
      <c r="AR98">
        <v>43614780</v>
      </c>
      <c r="AS98">
        <v>3670236</v>
      </c>
      <c r="AT98">
        <v>9431297</v>
      </c>
      <c r="AU98">
        <v>4388288</v>
      </c>
      <c r="AV98">
        <v>8589858</v>
      </c>
      <c r="AW98">
        <v>1748366</v>
      </c>
      <c r="AX98">
        <v>4271489</v>
      </c>
      <c r="AY98">
        <v>541179</v>
      </c>
      <c r="AZ98">
        <v>14712503</v>
      </c>
      <c r="BA98">
        <v>1957409</v>
      </c>
      <c r="BB98">
        <v>20946624</v>
      </c>
      <c r="BC98">
        <v>874605</v>
      </c>
      <c r="BD98">
        <v>5398996</v>
      </c>
      <c r="BE98">
        <v>5015443</v>
      </c>
      <c r="BF98">
        <v>8028579</v>
      </c>
      <c r="BG98">
        <v>2024150</v>
      </c>
      <c r="BH98">
        <v>1219279</v>
      </c>
      <c r="BI98">
        <v>1956939</v>
      </c>
      <c r="BJ98">
        <v>2964442</v>
      </c>
      <c r="BK98">
        <v>83164734</v>
      </c>
      <c r="BL98">
        <v>1046888</v>
      </c>
      <c r="BM98">
        <v>2073886</v>
      </c>
      <c r="BN98">
        <v>7242835</v>
      </c>
      <c r="BO98">
        <v>8313417</v>
      </c>
      <c r="BP98">
        <v>14152292</v>
      </c>
      <c r="BQ98">
        <v>1760867</v>
      </c>
      <c r="BR98">
        <v>14332594</v>
      </c>
      <c r="BS98">
        <v>12509528</v>
      </c>
      <c r="BT98">
        <v>1165912</v>
      </c>
      <c r="BU98">
        <v>2733632</v>
      </c>
      <c r="BV98">
        <v>5965874</v>
      </c>
      <c r="BW98">
        <v>1045048</v>
      </c>
      <c r="BX98">
        <v>3334289</v>
      </c>
      <c r="BY98">
        <v>14459996</v>
      </c>
      <c r="BZ98">
        <v>1362330</v>
      </c>
      <c r="CA98">
        <v>10181647</v>
      </c>
      <c r="CB98">
        <v>2540602</v>
      </c>
      <c r="CC98">
        <v>10068997</v>
      </c>
      <c r="CD98">
        <v>7425187</v>
      </c>
      <c r="CE98">
        <v>10750617</v>
      </c>
      <c r="CF98">
        <v>3990016</v>
      </c>
      <c r="CG98">
        <v>6110317</v>
      </c>
      <c r="CH98">
        <v>2814141</v>
      </c>
      <c r="CI98">
        <v>4936472</v>
      </c>
      <c r="CJ98">
        <v>3415239</v>
      </c>
      <c r="CK98">
        <v>4650051</v>
      </c>
      <c r="CL98">
        <v>509989</v>
      </c>
      <c r="CM98">
        <v>2644883</v>
      </c>
      <c r="CN98">
        <v>385541</v>
      </c>
      <c r="CO98">
        <v>21719136</v>
      </c>
      <c r="CP98">
        <v>3718050</v>
      </c>
      <c r="CQ98">
        <v>94065906</v>
      </c>
      <c r="CR98">
        <v>1607308</v>
      </c>
      <c r="CS98">
        <v>963381</v>
      </c>
      <c r="CT98">
        <v>2007176</v>
      </c>
      <c r="CU98">
        <v>9049085</v>
      </c>
      <c r="CV98">
        <v>5564363</v>
      </c>
      <c r="CW98">
        <v>6611170</v>
      </c>
      <c r="CX98">
        <v>2841305</v>
      </c>
      <c r="CY98">
        <v>1348658</v>
      </c>
    </row>
    <row r="99" spans="1:103" x14ac:dyDescent="0.3">
      <c r="A99">
        <v>530</v>
      </c>
      <c r="B99" t="s">
        <v>216</v>
      </c>
      <c r="D99">
        <v>955861</v>
      </c>
      <c r="E99">
        <v>521264</v>
      </c>
      <c r="F99">
        <v>222710</v>
      </c>
      <c r="G99">
        <v>917732</v>
      </c>
      <c r="H99">
        <v>553592</v>
      </c>
      <c r="I99">
        <v>279412</v>
      </c>
      <c r="J99">
        <v>494483</v>
      </c>
      <c r="K99">
        <v>289092</v>
      </c>
      <c r="L99">
        <v>751642</v>
      </c>
      <c r="M99">
        <v>1121562</v>
      </c>
      <c r="N99">
        <v>495140</v>
      </c>
      <c r="O99">
        <v>654787</v>
      </c>
      <c r="P99">
        <v>1545982</v>
      </c>
      <c r="Q99">
        <v>1164893</v>
      </c>
      <c r="R99">
        <v>198199</v>
      </c>
      <c r="S99">
        <v>1127170</v>
      </c>
      <c r="U99">
        <v>1219758</v>
      </c>
      <c r="V99">
        <v>657534</v>
      </c>
      <c r="X99">
        <v>266744</v>
      </c>
      <c r="Y99">
        <v>100347</v>
      </c>
      <c r="Z99">
        <v>1309625</v>
      </c>
      <c r="AA99">
        <v>1146756</v>
      </c>
      <c r="AB99">
        <v>507267</v>
      </c>
      <c r="AC99">
        <v>1116308</v>
      </c>
      <c r="AD99">
        <v>281765</v>
      </c>
      <c r="AE99">
        <v>221220</v>
      </c>
      <c r="AF99">
        <v>1840726</v>
      </c>
      <c r="AG99">
        <v>330805</v>
      </c>
      <c r="AH99">
        <v>1007988</v>
      </c>
      <c r="AI99">
        <v>2825196</v>
      </c>
      <c r="AJ99">
        <v>1358253</v>
      </c>
      <c r="AK99">
        <v>1901126</v>
      </c>
      <c r="AL99">
        <v>740540</v>
      </c>
      <c r="AM99">
        <v>1517147</v>
      </c>
      <c r="AN99">
        <v>250611</v>
      </c>
      <c r="AP99">
        <v>459980</v>
      </c>
      <c r="AQ99">
        <v>68243</v>
      </c>
      <c r="AR99">
        <v>2978190</v>
      </c>
      <c r="AS99">
        <v>478470</v>
      </c>
      <c r="AT99">
        <v>457091</v>
      </c>
      <c r="AU99">
        <v>832081</v>
      </c>
      <c r="AV99">
        <v>722683</v>
      </c>
      <c r="AW99">
        <v>569321</v>
      </c>
      <c r="AX99">
        <v>804717</v>
      </c>
      <c r="AY99">
        <v>375180</v>
      </c>
      <c r="AZ99">
        <v>937681</v>
      </c>
      <c r="BA99">
        <v>335499</v>
      </c>
      <c r="BB99">
        <v>119072</v>
      </c>
      <c r="BC99">
        <v>301008</v>
      </c>
      <c r="BD99">
        <v>367457</v>
      </c>
      <c r="BE99">
        <v>608899</v>
      </c>
      <c r="BF99">
        <v>401472</v>
      </c>
      <c r="BG99">
        <v>407816</v>
      </c>
      <c r="BH99">
        <v>375113</v>
      </c>
      <c r="BI99">
        <v>899796</v>
      </c>
      <c r="BJ99">
        <v>92066</v>
      </c>
      <c r="BK99">
        <v>5751507</v>
      </c>
      <c r="BL99">
        <v>372402</v>
      </c>
      <c r="BM99">
        <v>737285</v>
      </c>
      <c r="BN99">
        <v>191351</v>
      </c>
      <c r="BO99">
        <v>449704</v>
      </c>
      <c r="BP99">
        <v>970266</v>
      </c>
      <c r="BQ99">
        <v>689703</v>
      </c>
      <c r="BR99">
        <v>1253813</v>
      </c>
      <c r="BS99">
        <v>1202420</v>
      </c>
      <c r="BT99">
        <v>363497</v>
      </c>
      <c r="BU99">
        <v>732088</v>
      </c>
      <c r="BV99">
        <v>1860732</v>
      </c>
      <c r="BW99">
        <v>251382</v>
      </c>
      <c r="BX99">
        <v>209580</v>
      </c>
      <c r="BY99">
        <v>740510</v>
      </c>
      <c r="BZ99">
        <v>217794</v>
      </c>
      <c r="CA99">
        <v>525684</v>
      </c>
      <c r="CB99">
        <v>631732</v>
      </c>
      <c r="CC99">
        <v>3531485</v>
      </c>
      <c r="CD99">
        <v>711916</v>
      </c>
      <c r="CE99">
        <v>1630924</v>
      </c>
      <c r="CF99">
        <v>570694</v>
      </c>
      <c r="CG99">
        <v>981542</v>
      </c>
      <c r="CH99">
        <v>640126</v>
      </c>
      <c r="CI99">
        <v>650835</v>
      </c>
      <c r="CJ99">
        <v>594666</v>
      </c>
      <c r="CK99">
        <v>382084</v>
      </c>
      <c r="CL99">
        <v>277412</v>
      </c>
      <c r="CM99">
        <v>88261</v>
      </c>
      <c r="CN99">
        <v>117402</v>
      </c>
      <c r="CO99">
        <v>24522</v>
      </c>
      <c r="CP99">
        <v>637260</v>
      </c>
      <c r="CQ99">
        <v>479757</v>
      </c>
      <c r="CR99">
        <v>431550</v>
      </c>
      <c r="CS99">
        <v>1968776</v>
      </c>
      <c r="CT99">
        <v>467674</v>
      </c>
      <c r="CU99">
        <v>929123</v>
      </c>
      <c r="CV99">
        <v>1098765</v>
      </c>
      <c r="CW99">
        <v>801431</v>
      </c>
      <c r="CX99">
        <v>449470</v>
      </c>
      <c r="CY99">
        <v>203133</v>
      </c>
    </row>
    <row r="100" spans="1:103" x14ac:dyDescent="0.3">
      <c r="A100">
        <v>531</v>
      </c>
      <c r="B100" t="s">
        <v>217</v>
      </c>
      <c r="D100">
        <v>0</v>
      </c>
      <c r="E100">
        <v>0</v>
      </c>
      <c r="F100">
        <v>0</v>
      </c>
      <c r="G100">
        <v>0</v>
      </c>
      <c r="H100">
        <v>0</v>
      </c>
      <c r="I100">
        <v>3576</v>
      </c>
      <c r="J100">
        <v>0</v>
      </c>
      <c r="K100">
        <v>0</v>
      </c>
      <c r="L100">
        <v>0</v>
      </c>
      <c r="M100">
        <v>0</v>
      </c>
      <c r="N100">
        <v>53236</v>
      </c>
      <c r="O100">
        <v>0</v>
      </c>
      <c r="P100">
        <v>0</v>
      </c>
      <c r="Q100">
        <v>0</v>
      </c>
      <c r="R100">
        <v>0</v>
      </c>
      <c r="S100">
        <v>0</v>
      </c>
      <c r="U100">
        <v>0</v>
      </c>
      <c r="V100">
        <v>34537</v>
      </c>
      <c r="X100">
        <v>0</v>
      </c>
      <c r="Y100">
        <v>0</v>
      </c>
      <c r="Z100">
        <v>0</v>
      </c>
      <c r="AA100">
        <v>0</v>
      </c>
      <c r="AB100">
        <v>0</v>
      </c>
      <c r="AC100">
        <v>0</v>
      </c>
      <c r="AD100">
        <v>0</v>
      </c>
      <c r="AE100">
        <v>0</v>
      </c>
      <c r="AF100">
        <v>0</v>
      </c>
      <c r="AG100">
        <v>0</v>
      </c>
      <c r="AH100">
        <v>0</v>
      </c>
      <c r="AI100">
        <v>0</v>
      </c>
      <c r="AJ100">
        <v>0</v>
      </c>
      <c r="AK100">
        <v>0</v>
      </c>
      <c r="AL100">
        <v>7304</v>
      </c>
      <c r="AM100">
        <v>0</v>
      </c>
      <c r="AN100">
        <v>0</v>
      </c>
      <c r="AP100">
        <v>0</v>
      </c>
      <c r="AQ100">
        <v>0</v>
      </c>
      <c r="AR100">
        <v>0</v>
      </c>
      <c r="AS100">
        <v>0</v>
      </c>
      <c r="AT100">
        <v>0</v>
      </c>
      <c r="AU100">
        <v>0</v>
      </c>
      <c r="AV100">
        <v>6425</v>
      </c>
      <c r="AW100">
        <v>0</v>
      </c>
      <c r="AX100">
        <v>186663</v>
      </c>
      <c r="AY100">
        <v>0</v>
      </c>
      <c r="AZ100">
        <v>0</v>
      </c>
      <c r="BA100">
        <v>1947</v>
      </c>
      <c r="BB100">
        <v>0</v>
      </c>
      <c r="BC100">
        <v>0</v>
      </c>
      <c r="BD100">
        <v>0</v>
      </c>
      <c r="BE100">
        <v>4306</v>
      </c>
      <c r="BF100">
        <v>0</v>
      </c>
      <c r="BG100">
        <v>0</v>
      </c>
      <c r="BH100">
        <v>0</v>
      </c>
      <c r="BI100">
        <v>0</v>
      </c>
      <c r="BJ100">
        <v>2110</v>
      </c>
      <c r="BK100">
        <v>0</v>
      </c>
      <c r="BL100">
        <v>0</v>
      </c>
      <c r="BM100">
        <v>0</v>
      </c>
      <c r="BN100">
        <v>181518</v>
      </c>
      <c r="BO100">
        <v>0</v>
      </c>
      <c r="BP100">
        <v>0</v>
      </c>
      <c r="BQ100">
        <v>0</v>
      </c>
      <c r="BR100">
        <v>1092840</v>
      </c>
      <c r="BS100">
        <v>0</v>
      </c>
      <c r="BT100">
        <v>0</v>
      </c>
      <c r="BU100">
        <v>0</v>
      </c>
      <c r="BV100">
        <v>0</v>
      </c>
      <c r="BW100">
        <v>0</v>
      </c>
      <c r="BX100">
        <v>0</v>
      </c>
      <c r="BY100">
        <v>0</v>
      </c>
      <c r="BZ100">
        <v>0</v>
      </c>
      <c r="CA100">
        <v>0</v>
      </c>
      <c r="CB100">
        <v>0</v>
      </c>
      <c r="CC100">
        <v>0</v>
      </c>
      <c r="CD100">
        <v>61665</v>
      </c>
      <c r="CE100">
        <v>0</v>
      </c>
      <c r="CF100">
        <v>0</v>
      </c>
      <c r="CG100">
        <v>37377</v>
      </c>
      <c r="CH100">
        <v>10347</v>
      </c>
      <c r="CI100">
        <v>0</v>
      </c>
      <c r="CJ100">
        <v>0</v>
      </c>
      <c r="CK100">
        <v>0</v>
      </c>
      <c r="CL100">
        <v>0</v>
      </c>
      <c r="CM100">
        <v>0</v>
      </c>
      <c r="CN100">
        <v>1533</v>
      </c>
      <c r="CO100">
        <v>0</v>
      </c>
      <c r="CP100">
        <v>0</v>
      </c>
      <c r="CQ100">
        <v>447162</v>
      </c>
      <c r="CR100">
        <v>2472</v>
      </c>
      <c r="CS100">
        <v>0</v>
      </c>
      <c r="CT100">
        <v>0</v>
      </c>
      <c r="CU100">
        <v>0</v>
      </c>
      <c r="CV100">
        <v>0</v>
      </c>
      <c r="CW100">
        <v>0</v>
      </c>
      <c r="CX100">
        <v>0</v>
      </c>
      <c r="CY100">
        <v>0</v>
      </c>
    </row>
    <row r="101" spans="1:103" x14ac:dyDescent="0.3">
      <c r="A101">
        <v>532</v>
      </c>
      <c r="B101" t="s">
        <v>612</v>
      </c>
      <c r="D101">
        <v>196888272</v>
      </c>
      <c r="E101">
        <v>46455718</v>
      </c>
      <c r="F101">
        <v>17012055</v>
      </c>
      <c r="G101">
        <v>34008340</v>
      </c>
      <c r="H101">
        <v>39193410</v>
      </c>
      <c r="I101">
        <v>33145308</v>
      </c>
      <c r="J101">
        <v>63921511</v>
      </c>
      <c r="K101">
        <v>27254909</v>
      </c>
      <c r="L101">
        <v>52368343</v>
      </c>
      <c r="M101">
        <v>243792334</v>
      </c>
      <c r="N101">
        <v>382015461</v>
      </c>
      <c r="O101">
        <v>96056741</v>
      </c>
      <c r="P101">
        <v>322009529</v>
      </c>
      <c r="Q101">
        <v>90054725</v>
      </c>
      <c r="R101">
        <v>13174216</v>
      </c>
      <c r="S101">
        <v>99242636</v>
      </c>
      <c r="U101">
        <v>208072594</v>
      </c>
      <c r="V101">
        <v>140297261</v>
      </c>
      <c r="X101">
        <v>17307409</v>
      </c>
      <c r="Y101">
        <v>23614670</v>
      </c>
      <c r="Z101">
        <v>138271712</v>
      </c>
      <c r="AA101">
        <v>67879385</v>
      </c>
      <c r="AB101">
        <v>132008677</v>
      </c>
      <c r="AC101">
        <v>355807968</v>
      </c>
      <c r="AD101">
        <v>59932870</v>
      </c>
      <c r="AE101">
        <v>120353875</v>
      </c>
      <c r="AF101">
        <v>155425666</v>
      </c>
      <c r="AG101">
        <v>75056020</v>
      </c>
      <c r="AH101">
        <v>62408257</v>
      </c>
      <c r="AI101">
        <v>515110304</v>
      </c>
      <c r="AJ101">
        <v>70888731</v>
      </c>
      <c r="AK101">
        <v>505552028</v>
      </c>
      <c r="AL101">
        <v>100946243</v>
      </c>
      <c r="AM101">
        <v>292526058</v>
      </c>
      <c r="AN101">
        <v>15944668</v>
      </c>
      <c r="AP101">
        <v>76857075</v>
      </c>
      <c r="AQ101">
        <v>24004948</v>
      </c>
      <c r="AR101">
        <v>719572816</v>
      </c>
      <c r="AS101">
        <v>66156176</v>
      </c>
      <c r="AT101">
        <v>155103225</v>
      </c>
      <c r="AU101">
        <v>90672867</v>
      </c>
      <c r="AV101">
        <v>168415264</v>
      </c>
      <c r="AW101">
        <v>28741624</v>
      </c>
      <c r="AX101">
        <v>55472775</v>
      </c>
      <c r="AY101">
        <v>17827564</v>
      </c>
      <c r="AZ101">
        <v>232126802</v>
      </c>
      <c r="BA101">
        <v>80032851</v>
      </c>
      <c r="BB101">
        <v>297671874</v>
      </c>
      <c r="BC101">
        <v>18276362</v>
      </c>
      <c r="BD101">
        <v>81381645</v>
      </c>
      <c r="BE101">
        <v>64094592</v>
      </c>
      <c r="BF101">
        <v>128754839</v>
      </c>
      <c r="BG101">
        <v>58122315</v>
      </c>
      <c r="BH101">
        <v>32450848</v>
      </c>
      <c r="BI101">
        <v>31524138</v>
      </c>
      <c r="BJ101">
        <v>54182372</v>
      </c>
      <c r="BK101">
        <v>1548261717</v>
      </c>
      <c r="BL101">
        <v>21847279</v>
      </c>
      <c r="BM101">
        <v>31493269</v>
      </c>
      <c r="BN101">
        <v>131373225</v>
      </c>
      <c r="BO101">
        <v>106175782</v>
      </c>
      <c r="BP101">
        <v>353711629</v>
      </c>
      <c r="BQ101">
        <v>35887549</v>
      </c>
      <c r="BR101">
        <v>261367549</v>
      </c>
      <c r="BS101">
        <v>214007096</v>
      </c>
      <c r="BT101">
        <v>24268028</v>
      </c>
      <c r="BU101">
        <v>56779827</v>
      </c>
      <c r="BV101">
        <v>83481431</v>
      </c>
      <c r="BW101">
        <v>19350121</v>
      </c>
      <c r="BX101">
        <v>54839012</v>
      </c>
      <c r="BY101">
        <v>165612160</v>
      </c>
      <c r="BZ101">
        <v>33292946</v>
      </c>
      <c r="CA101">
        <v>152604468</v>
      </c>
      <c r="CB101">
        <v>60303219</v>
      </c>
      <c r="CC101">
        <v>153839861</v>
      </c>
      <c r="CD101">
        <v>103835897</v>
      </c>
      <c r="CE101">
        <v>167425305</v>
      </c>
      <c r="CF101">
        <v>74370348</v>
      </c>
      <c r="CG101">
        <v>86508860</v>
      </c>
      <c r="CH101">
        <v>54264206</v>
      </c>
      <c r="CI101">
        <v>76023415</v>
      </c>
      <c r="CJ101">
        <v>62580860</v>
      </c>
      <c r="CK101">
        <v>101006297</v>
      </c>
      <c r="CL101">
        <v>28255389</v>
      </c>
      <c r="CM101">
        <v>60646853</v>
      </c>
      <c r="CN101">
        <v>8342758</v>
      </c>
      <c r="CO101">
        <v>333335013</v>
      </c>
      <c r="CP101">
        <v>51877453</v>
      </c>
      <c r="CQ101">
        <v>1223312792</v>
      </c>
      <c r="CR101">
        <v>35451430</v>
      </c>
      <c r="CS101">
        <v>14103300</v>
      </c>
      <c r="CT101">
        <v>63835961</v>
      </c>
      <c r="CU101">
        <v>134548794</v>
      </c>
      <c r="CV101">
        <v>94739487</v>
      </c>
      <c r="CW101">
        <v>113416667</v>
      </c>
      <c r="CX101">
        <v>46689264</v>
      </c>
      <c r="CY101">
        <v>31894808</v>
      </c>
    </row>
    <row r="102" spans="1:103" x14ac:dyDescent="0.3">
      <c r="A102">
        <v>533</v>
      </c>
      <c r="B102" t="s">
        <v>613</v>
      </c>
      <c r="D102">
        <v>1931000</v>
      </c>
      <c r="E102">
        <v>804142</v>
      </c>
      <c r="F102">
        <v>0</v>
      </c>
      <c r="G102">
        <v>245054</v>
      </c>
      <c r="H102">
        <v>77596</v>
      </c>
      <c r="I102">
        <v>0</v>
      </c>
      <c r="J102">
        <v>366479</v>
      </c>
      <c r="K102">
        <v>0</v>
      </c>
      <c r="L102">
        <v>0</v>
      </c>
      <c r="M102">
        <v>0</v>
      </c>
      <c r="N102">
        <v>5951567</v>
      </c>
      <c r="O102">
        <v>0</v>
      </c>
      <c r="P102">
        <v>1167916</v>
      </c>
      <c r="Q102">
        <v>862023</v>
      </c>
      <c r="R102">
        <v>0</v>
      </c>
      <c r="S102">
        <v>503166</v>
      </c>
      <c r="U102">
        <v>1233032</v>
      </c>
      <c r="V102">
        <v>2054148</v>
      </c>
      <c r="X102">
        <v>0</v>
      </c>
      <c r="Y102">
        <v>0</v>
      </c>
      <c r="Z102">
        <v>2256140</v>
      </c>
      <c r="AA102">
        <v>530547</v>
      </c>
      <c r="AB102">
        <v>155246</v>
      </c>
      <c r="AC102">
        <v>1303570</v>
      </c>
      <c r="AD102">
        <v>149598</v>
      </c>
      <c r="AE102">
        <v>1833832</v>
      </c>
      <c r="AF102">
        <v>1637262</v>
      </c>
      <c r="AG102">
        <v>1607082</v>
      </c>
      <c r="AH102">
        <v>0</v>
      </c>
      <c r="AI102">
        <v>0</v>
      </c>
      <c r="AJ102">
        <v>887242</v>
      </c>
      <c r="AK102">
        <v>8022624</v>
      </c>
      <c r="AL102">
        <v>2834728</v>
      </c>
      <c r="AM102">
        <v>5059205</v>
      </c>
      <c r="AN102">
        <v>0</v>
      </c>
      <c r="AP102">
        <v>217587</v>
      </c>
      <c r="AQ102">
        <v>34228</v>
      </c>
      <c r="AR102">
        <v>4295000</v>
      </c>
      <c r="AS102">
        <v>475387</v>
      </c>
      <c r="AT102">
        <v>3363883</v>
      </c>
      <c r="AU102">
        <v>0</v>
      </c>
      <c r="AV102">
        <v>0</v>
      </c>
      <c r="AW102">
        <v>34678</v>
      </c>
      <c r="AX102">
        <v>192679</v>
      </c>
      <c r="AY102">
        <v>1299646</v>
      </c>
      <c r="AZ102">
        <v>680787</v>
      </c>
      <c r="BA102">
        <v>477723</v>
      </c>
      <c r="BB102">
        <v>1348617</v>
      </c>
      <c r="BC102">
        <v>0</v>
      </c>
      <c r="BD102">
        <v>1581809</v>
      </c>
      <c r="BE102">
        <v>0</v>
      </c>
      <c r="BF102">
        <v>0</v>
      </c>
      <c r="BG102">
        <v>648259</v>
      </c>
      <c r="BH102">
        <v>0</v>
      </c>
      <c r="BI102">
        <v>303398</v>
      </c>
      <c r="BJ102">
        <v>0</v>
      </c>
      <c r="BK102">
        <v>31958049</v>
      </c>
      <c r="BL102">
        <v>105887</v>
      </c>
      <c r="BM102">
        <v>0</v>
      </c>
      <c r="BN102">
        <v>45861</v>
      </c>
      <c r="BO102">
        <v>302484</v>
      </c>
      <c r="BP102">
        <v>4470000</v>
      </c>
      <c r="BQ102">
        <v>229536</v>
      </c>
      <c r="BR102">
        <v>12096628</v>
      </c>
      <c r="BS102">
        <v>1567109</v>
      </c>
      <c r="BT102">
        <v>0</v>
      </c>
      <c r="BU102">
        <v>0</v>
      </c>
      <c r="BV102">
        <v>2848690</v>
      </c>
      <c r="BW102">
        <v>0</v>
      </c>
      <c r="BX102">
        <v>0</v>
      </c>
      <c r="BY102">
        <v>759984</v>
      </c>
      <c r="BZ102">
        <v>276329</v>
      </c>
      <c r="CA102">
        <v>0</v>
      </c>
      <c r="CB102">
        <v>1100520</v>
      </c>
      <c r="CC102">
        <v>895000</v>
      </c>
      <c r="CD102">
        <v>1164951</v>
      </c>
      <c r="CE102">
        <v>8804322</v>
      </c>
      <c r="CF102">
        <v>502583</v>
      </c>
      <c r="CG102">
        <v>0</v>
      </c>
      <c r="CH102">
        <v>601670</v>
      </c>
      <c r="CI102">
        <v>560990</v>
      </c>
      <c r="CJ102">
        <v>509323</v>
      </c>
      <c r="CK102">
        <v>0</v>
      </c>
      <c r="CL102">
        <v>0</v>
      </c>
      <c r="CM102">
        <v>292671</v>
      </c>
      <c r="CN102">
        <v>680747</v>
      </c>
      <c r="CO102">
        <v>14428559</v>
      </c>
      <c r="CP102">
        <v>0</v>
      </c>
      <c r="CQ102">
        <v>0</v>
      </c>
      <c r="CR102">
        <v>1180542</v>
      </c>
      <c r="CS102">
        <v>23943</v>
      </c>
      <c r="CT102">
        <v>0</v>
      </c>
      <c r="CU102">
        <v>501394</v>
      </c>
      <c r="CV102">
        <v>2282376</v>
      </c>
      <c r="CW102">
        <v>454158</v>
      </c>
      <c r="CX102">
        <v>3813385</v>
      </c>
      <c r="CY102">
        <v>0</v>
      </c>
    </row>
    <row r="103" spans="1:103" x14ac:dyDescent="0.3">
      <c r="A103">
        <v>535</v>
      </c>
      <c r="B103" t="s">
        <v>204</v>
      </c>
      <c r="D103">
        <v>30775880</v>
      </c>
      <c r="E103">
        <v>0</v>
      </c>
      <c r="F103">
        <v>0</v>
      </c>
      <c r="G103">
        <v>0</v>
      </c>
      <c r="H103">
        <v>1360000</v>
      </c>
      <c r="I103">
        <v>0</v>
      </c>
      <c r="J103">
        <v>0</v>
      </c>
      <c r="K103">
        <v>0</v>
      </c>
      <c r="L103">
        <v>0</v>
      </c>
      <c r="M103">
        <v>112839735</v>
      </c>
      <c r="N103">
        <v>14841684</v>
      </c>
      <c r="O103">
        <v>0</v>
      </c>
      <c r="P103">
        <v>4363516</v>
      </c>
      <c r="Q103">
        <v>0</v>
      </c>
      <c r="R103">
        <v>0</v>
      </c>
      <c r="S103">
        <v>15793392</v>
      </c>
      <c r="U103">
        <v>0</v>
      </c>
      <c r="V103">
        <v>9490531</v>
      </c>
      <c r="X103">
        <v>0</v>
      </c>
      <c r="Y103">
        <v>0</v>
      </c>
      <c r="Z103">
        <v>0</v>
      </c>
      <c r="AA103">
        <v>3325259</v>
      </c>
      <c r="AB103">
        <v>0</v>
      </c>
      <c r="AC103">
        <v>2671647</v>
      </c>
      <c r="AD103">
        <v>0</v>
      </c>
      <c r="AE103">
        <v>49933878</v>
      </c>
      <c r="AF103">
        <v>751555</v>
      </c>
      <c r="AG103">
        <v>860403</v>
      </c>
      <c r="AH103">
        <v>0</v>
      </c>
      <c r="AI103">
        <v>42068028</v>
      </c>
      <c r="AJ103">
        <v>3122000</v>
      </c>
      <c r="AK103">
        <v>49012343</v>
      </c>
      <c r="AL103">
        <v>12292618</v>
      </c>
      <c r="AM103">
        <v>17286390</v>
      </c>
      <c r="AN103">
        <v>0</v>
      </c>
      <c r="AP103">
        <v>0</v>
      </c>
      <c r="AQ103">
        <v>0</v>
      </c>
      <c r="AR103">
        <v>60922996</v>
      </c>
      <c r="AS103">
        <v>1839051</v>
      </c>
      <c r="AT103">
        <v>14087800</v>
      </c>
      <c r="AU103">
        <v>77931</v>
      </c>
      <c r="AV103">
        <v>2127200</v>
      </c>
      <c r="AW103">
        <v>0</v>
      </c>
      <c r="AX103">
        <v>0</v>
      </c>
      <c r="AY103">
        <v>0</v>
      </c>
      <c r="AZ103">
        <v>0</v>
      </c>
      <c r="BA103">
        <v>15226334</v>
      </c>
      <c r="BB103">
        <v>15780487</v>
      </c>
      <c r="BC103">
        <v>81241</v>
      </c>
      <c r="BD103">
        <v>1677320</v>
      </c>
      <c r="BE103">
        <v>0</v>
      </c>
      <c r="BF103">
        <v>9636763</v>
      </c>
      <c r="BG103">
        <v>689703</v>
      </c>
      <c r="BH103">
        <v>0</v>
      </c>
      <c r="BI103">
        <v>0</v>
      </c>
      <c r="BJ103">
        <v>635820</v>
      </c>
      <c r="BK103">
        <v>0</v>
      </c>
      <c r="BL103">
        <v>0</v>
      </c>
      <c r="BM103">
        <v>0</v>
      </c>
      <c r="BN103">
        <v>43519616</v>
      </c>
      <c r="BO103">
        <v>0</v>
      </c>
      <c r="BP103">
        <v>29689060</v>
      </c>
      <c r="BQ103">
        <v>0</v>
      </c>
      <c r="BR103">
        <v>47839163</v>
      </c>
      <c r="BS103">
        <v>53744087</v>
      </c>
      <c r="BT103">
        <v>0</v>
      </c>
      <c r="BU103">
        <v>0</v>
      </c>
      <c r="BV103">
        <v>542075</v>
      </c>
      <c r="BW103">
        <v>0</v>
      </c>
      <c r="BX103">
        <v>0</v>
      </c>
      <c r="BY103">
        <v>12871409</v>
      </c>
      <c r="BZ103">
        <v>132389</v>
      </c>
      <c r="CA103">
        <v>12334422</v>
      </c>
      <c r="CB103">
        <v>0</v>
      </c>
      <c r="CC103">
        <v>0</v>
      </c>
      <c r="CD103">
        <v>7765629</v>
      </c>
      <c r="CE103">
        <v>33174615</v>
      </c>
      <c r="CF103">
        <v>855688</v>
      </c>
      <c r="CG103">
        <v>0</v>
      </c>
      <c r="CH103">
        <v>2175</v>
      </c>
      <c r="CI103">
        <v>5812110</v>
      </c>
      <c r="CJ103">
        <v>0</v>
      </c>
      <c r="CK103">
        <v>8109211</v>
      </c>
      <c r="CL103">
        <v>0</v>
      </c>
      <c r="CM103">
        <v>0</v>
      </c>
      <c r="CN103">
        <v>0</v>
      </c>
      <c r="CO103">
        <v>226408184</v>
      </c>
      <c r="CP103">
        <v>0</v>
      </c>
      <c r="CQ103">
        <v>131326579</v>
      </c>
      <c r="CR103">
        <v>0</v>
      </c>
      <c r="CS103">
        <v>17815502</v>
      </c>
      <c r="CT103">
        <v>33940329</v>
      </c>
      <c r="CU103">
        <v>4781356</v>
      </c>
      <c r="CV103">
        <v>4551596</v>
      </c>
      <c r="CW103">
        <v>2783048</v>
      </c>
      <c r="CX103">
        <v>0</v>
      </c>
      <c r="CY103">
        <v>218772</v>
      </c>
    </row>
    <row r="104" spans="1:103" x14ac:dyDescent="0.3">
      <c r="A104">
        <v>536</v>
      </c>
      <c r="B104" t="s">
        <v>167</v>
      </c>
      <c r="D104">
        <v>8689553</v>
      </c>
      <c r="E104">
        <v>515798</v>
      </c>
      <c r="F104">
        <v>93335</v>
      </c>
      <c r="G104">
        <v>4157050</v>
      </c>
      <c r="H104">
        <v>547492</v>
      </c>
      <c r="I104">
        <v>39097</v>
      </c>
      <c r="J104">
        <v>162104</v>
      </c>
      <c r="K104">
        <v>364063</v>
      </c>
      <c r="L104">
        <v>2430559</v>
      </c>
      <c r="M104">
        <v>1573585</v>
      </c>
      <c r="N104">
        <v>1824798</v>
      </c>
      <c r="O104">
        <v>446520</v>
      </c>
      <c r="P104">
        <v>6536470</v>
      </c>
      <c r="Q104">
        <v>548566</v>
      </c>
      <c r="R104">
        <v>0</v>
      </c>
      <c r="S104">
        <v>620870</v>
      </c>
      <c r="U104">
        <v>23299821</v>
      </c>
      <c r="V104">
        <v>1693649</v>
      </c>
      <c r="X104">
        <v>562905</v>
      </c>
      <c r="Y104">
        <v>236443</v>
      </c>
      <c r="Z104">
        <v>286997</v>
      </c>
      <c r="AA104">
        <v>0</v>
      </c>
      <c r="AB104">
        <v>135183</v>
      </c>
      <c r="AC104">
        <v>24336763</v>
      </c>
      <c r="AD104">
        <v>1533566</v>
      </c>
      <c r="AE104">
        <v>1844056</v>
      </c>
      <c r="AF104">
        <v>11072920</v>
      </c>
      <c r="AG104">
        <v>1005570</v>
      </c>
      <c r="AH104">
        <v>0</v>
      </c>
      <c r="AI104">
        <v>5288272</v>
      </c>
      <c r="AJ104">
        <v>1720959</v>
      </c>
      <c r="AK104">
        <v>0</v>
      </c>
      <c r="AL104">
        <v>6702006</v>
      </c>
      <c r="AM104">
        <v>36251986</v>
      </c>
      <c r="AN104">
        <v>574835</v>
      </c>
      <c r="AP104">
        <v>7118724</v>
      </c>
      <c r="AQ104">
        <v>0</v>
      </c>
      <c r="AR104">
        <v>0</v>
      </c>
      <c r="AS104">
        <v>1839051</v>
      </c>
      <c r="AT104">
        <v>6000000</v>
      </c>
      <c r="AU104">
        <v>648046</v>
      </c>
      <c r="AV104">
        <v>215101</v>
      </c>
      <c r="AW104">
        <v>4813064</v>
      </c>
      <c r="AX104">
        <v>60324</v>
      </c>
      <c r="AY104">
        <v>651730</v>
      </c>
      <c r="AZ104">
        <v>6456623</v>
      </c>
      <c r="BA104">
        <v>284131</v>
      </c>
      <c r="BB104">
        <v>3868651</v>
      </c>
      <c r="BC104">
        <v>158649</v>
      </c>
      <c r="BD104">
        <v>891344</v>
      </c>
      <c r="BE104">
        <v>0</v>
      </c>
      <c r="BF104">
        <v>324836</v>
      </c>
      <c r="BG104">
        <v>764764</v>
      </c>
      <c r="BH104">
        <v>2162290</v>
      </c>
      <c r="BI104">
        <v>272398</v>
      </c>
      <c r="BJ104">
        <v>701059</v>
      </c>
      <c r="BK104">
        <v>0</v>
      </c>
      <c r="BL104">
        <v>312</v>
      </c>
      <c r="BM104">
        <v>495295</v>
      </c>
      <c r="BN104">
        <v>4256152</v>
      </c>
      <c r="BO104">
        <v>508144</v>
      </c>
      <c r="BP104">
        <v>320283966</v>
      </c>
      <c r="BQ104">
        <v>207736</v>
      </c>
      <c r="BR104">
        <v>0</v>
      </c>
      <c r="BS104">
        <v>509691</v>
      </c>
      <c r="BT104">
        <v>0</v>
      </c>
      <c r="BU104">
        <v>2192512</v>
      </c>
      <c r="BV104">
        <v>1026750</v>
      </c>
      <c r="BW104">
        <v>25484</v>
      </c>
      <c r="BX104">
        <v>2025189</v>
      </c>
      <c r="BY104">
        <v>2050747</v>
      </c>
      <c r="BZ104">
        <v>294832</v>
      </c>
      <c r="CA104">
        <v>10471850</v>
      </c>
      <c r="CB104">
        <v>0</v>
      </c>
      <c r="CC104">
        <v>504721</v>
      </c>
      <c r="CD104">
        <v>9751925</v>
      </c>
      <c r="CE104">
        <v>8236886</v>
      </c>
      <c r="CF104">
        <v>1142582</v>
      </c>
      <c r="CG104">
        <v>1070674</v>
      </c>
      <c r="CH104">
        <v>429999</v>
      </c>
      <c r="CI104">
        <v>400</v>
      </c>
      <c r="CJ104">
        <v>4664559</v>
      </c>
      <c r="CK104">
        <v>595701</v>
      </c>
      <c r="CL104">
        <v>0</v>
      </c>
      <c r="CM104">
        <v>85713</v>
      </c>
      <c r="CN104">
        <v>329785</v>
      </c>
      <c r="CO104">
        <v>16879709</v>
      </c>
      <c r="CP104">
        <v>119017</v>
      </c>
      <c r="CQ104">
        <v>6860403</v>
      </c>
      <c r="CR104">
        <v>5269677</v>
      </c>
      <c r="CS104">
        <v>130363</v>
      </c>
      <c r="CT104">
        <v>614935</v>
      </c>
      <c r="CU104">
        <v>15404216</v>
      </c>
      <c r="CV104">
        <v>56304</v>
      </c>
      <c r="CW104">
        <v>10273023</v>
      </c>
      <c r="CX104">
        <v>0</v>
      </c>
      <c r="CY104">
        <v>1047357</v>
      </c>
    </row>
    <row r="105" spans="1:103" x14ac:dyDescent="0.3">
      <c r="A105">
        <v>537</v>
      </c>
      <c r="B105" t="s">
        <v>236</v>
      </c>
      <c r="D105">
        <v>0</v>
      </c>
      <c r="E105">
        <v>1</v>
      </c>
      <c r="F105">
        <v>0</v>
      </c>
      <c r="G105">
        <v>2</v>
      </c>
      <c r="H105">
        <v>0</v>
      </c>
      <c r="I105">
        <v>0</v>
      </c>
      <c r="J105">
        <v>2</v>
      </c>
      <c r="K105">
        <v>1</v>
      </c>
      <c r="L105">
        <v>1</v>
      </c>
      <c r="M105">
        <v>2</v>
      </c>
      <c r="N105">
        <v>0</v>
      </c>
      <c r="O105">
        <v>1</v>
      </c>
      <c r="P105">
        <v>0</v>
      </c>
      <c r="Q105">
        <v>1</v>
      </c>
      <c r="R105">
        <v>2</v>
      </c>
      <c r="S105">
        <v>1</v>
      </c>
      <c r="U105">
        <v>0</v>
      </c>
      <c r="V105">
        <v>2</v>
      </c>
      <c r="X105">
        <v>2</v>
      </c>
      <c r="Y105">
        <v>2</v>
      </c>
      <c r="Z105">
        <v>0</v>
      </c>
      <c r="AA105">
        <v>1</v>
      </c>
      <c r="AB105">
        <v>2</v>
      </c>
      <c r="AC105">
        <v>1</v>
      </c>
      <c r="AD105">
        <v>1</v>
      </c>
      <c r="AE105">
        <v>1</v>
      </c>
      <c r="AF105">
        <v>2</v>
      </c>
      <c r="AG105">
        <v>1</v>
      </c>
      <c r="AH105">
        <v>2</v>
      </c>
      <c r="AI105">
        <v>1</v>
      </c>
      <c r="AJ105">
        <v>2</v>
      </c>
      <c r="AK105">
        <v>0</v>
      </c>
      <c r="AL105">
        <v>1</v>
      </c>
      <c r="AM105">
        <v>2</v>
      </c>
      <c r="AN105">
        <v>1</v>
      </c>
      <c r="AP105">
        <v>2</v>
      </c>
      <c r="AQ105">
        <v>2</v>
      </c>
      <c r="AR105">
        <v>2</v>
      </c>
      <c r="AS105">
        <v>1</v>
      </c>
      <c r="AT105">
        <v>1</v>
      </c>
      <c r="AU105">
        <v>0</v>
      </c>
      <c r="AV105">
        <v>2</v>
      </c>
      <c r="AW105">
        <v>2</v>
      </c>
      <c r="AX105">
        <v>2</v>
      </c>
      <c r="AY105">
        <v>1</v>
      </c>
      <c r="AZ105">
        <v>0</v>
      </c>
      <c r="BA105">
        <v>2</v>
      </c>
      <c r="BB105">
        <v>1</v>
      </c>
      <c r="BC105">
        <v>2</v>
      </c>
      <c r="BD105">
        <v>0</v>
      </c>
      <c r="BE105">
        <v>0</v>
      </c>
      <c r="BF105">
        <v>2</v>
      </c>
      <c r="BG105">
        <v>0</v>
      </c>
      <c r="BH105">
        <v>0</v>
      </c>
      <c r="BI105">
        <v>2</v>
      </c>
      <c r="BJ105">
        <v>1</v>
      </c>
      <c r="BK105">
        <v>0</v>
      </c>
      <c r="BL105">
        <v>0</v>
      </c>
      <c r="BM105">
        <v>2</v>
      </c>
      <c r="BN105">
        <v>1</v>
      </c>
      <c r="BO105">
        <v>1</v>
      </c>
      <c r="BP105">
        <v>0</v>
      </c>
      <c r="BQ105">
        <v>2</v>
      </c>
      <c r="BR105">
        <v>0</v>
      </c>
      <c r="BS105">
        <v>0</v>
      </c>
      <c r="BT105">
        <v>1</v>
      </c>
      <c r="BU105">
        <v>1</v>
      </c>
      <c r="BV105">
        <v>2</v>
      </c>
      <c r="BW105">
        <v>2</v>
      </c>
      <c r="BX105">
        <v>0</v>
      </c>
      <c r="BY105">
        <v>2</v>
      </c>
      <c r="BZ105">
        <v>2</v>
      </c>
      <c r="CA105">
        <v>0</v>
      </c>
      <c r="CB105">
        <v>1</v>
      </c>
      <c r="CC105">
        <v>1</v>
      </c>
      <c r="CD105">
        <v>1</v>
      </c>
      <c r="CE105">
        <v>1</v>
      </c>
      <c r="CF105">
        <v>0</v>
      </c>
      <c r="CG105">
        <v>2</v>
      </c>
      <c r="CH105">
        <v>2</v>
      </c>
      <c r="CI105">
        <v>0</v>
      </c>
      <c r="CJ105">
        <v>2</v>
      </c>
      <c r="CK105">
        <v>2</v>
      </c>
      <c r="CL105">
        <v>0</v>
      </c>
      <c r="CM105">
        <v>0</v>
      </c>
      <c r="CN105">
        <v>2</v>
      </c>
      <c r="CO105">
        <v>1</v>
      </c>
      <c r="CP105">
        <v>2</v>
      </c>
      <c r="CQ105">
        <v>0</v>
      </c>
      <c r="CR105">
        <v>2</v>
      </c>
      <c r="CS105">
        <v>2</v>
      </c>
      <c r="CT105">
        <v>0</v>
      </c>
      <c r="CU105">
        <v>2</v>
      </c>
      <c r="CV105">
        <v>0</v>
      </c>
      <c r="CW105">
        <v>1</v>
      </c>
      <c r="CX105">
        <v>2</v>
      </c>
      <c r="CY105">
        <v>2</v>
      </c>
    </row>
    <row r="106" spans="1:103" x14ac:dyDescent="0.3">
      <c r="A106">
        <v>538</v>
      </c>
      <c r="B106" t="s">
        <v>235</v>
      </c>
      <c r="D106">
        <v>0</v>
      </c>
      <c r="E106">
        <v>1</v>
      </c>
      <c r="F106">
        <v>0</v>
      </c>
      <c r="G106">
        <v>2</v>
      </c>
      <c r="H106">
        <v>0</v>
      </c>
      <c r="I106">
        <v>0</v>
      </c>
      <c r="J106">
        <v>2</v>
      </c>
      <c r="K106">
        <v>2</v>
      </c>
      <c r="L106">
        <v>1</v>
      </c>
      <c r="M106">
        <v>2</v>
      </c>
      <c r="N106">
        <v>0</v>
      </c>
      <c r="O106">
        <v>1</v>
      </c>
      <c r="P106">
        <v>0</v>
      </c>
      <c r="Q106">
        <v>1</v>
      </c>
      <c r="R106">
        <v>2</v>
      </c>
      <c r="S106">
        <v>2</v>
      </c>
      <c r="U106">
        <v>0</v>
      </c>
      <c r="V106">
        <v>2</v>
      </c>
      <c r="X106">
        <v>2</v>
      </c>
      <c r="Y106">
        <v>2</v>
      </c>
      <c r="Z106">
        <v>0</v>
      </c>
      <c r="AA106">
        <v>1</v>
      </c>
      <c r="AB106">
        <v>2</v>
      </c>
      <c r="AC106">
        <v>1</v>
      </c>
      <c r="AD106">
        <v>1</v>
      </c>
      <c r="AE106">
        <v>1</v>
      </c>
      <c r="AF106">
        <v>2</v>
      </c>
      <c r="AG106">
        <v>1</v>
      </c>
      <c r="AH106">
        <v>2</v>
      </c>
      <c r="AI106">
        <v>1</v>
      </c>
      <c r="AJ106">
        <v>1</v>
      </c>
      <c r="AK106">
        <v>0</v>
      </c>
      <c r="AL106">
        <v>1</v>
      </c>
      <c r="AM106">
        <v>2</v>
      </c>
      <c r="AN106">
        <v>2</v>
      </c>
      <c r="AP106">
        <v>2</v>
      </c>
      <c r="AQ106">
        <v>1</v>
      </c>
      <c r="AR106">
        <v>2</v>
      </c>
      <c r="AS106">
        <v>1</v>
      </c>
      <c r="AT106">
        <v>1</v>
      </c>
      <c r="AU106">
        <v>0</v>
      </c>
      <c r="AV106">
        <v>2</v>
      </c>
      <c r="AW106">
        <v>2</v>
      </c>
      <c r="AX106">
        <v>2</v>
      </c>
      <c r="AY106">
        <v>1</v>
      </c>
      <c r="AZ106">
        <v>0</v>
      </c>
      <c r="BA106">
        <v>2</v>
      </c>
      <c r="BB106">
        <v>1</v>
      </c>
      <c r="BC106">
        <v>2</v>
      </c>
      <c r="BD106">
        <v>0</v>
      </c>
      <c r="BE106">
        <v>0</v>
      </c>
      <c r="BF106">
        <v>2</v>
      </c>
      <c r="BG106">
        <v>0</v>
      </c>
      <c r="BH106">
        <v>0</v>
      </c>
      <c r="BI106">
        <v>2</v>
      </c>
      <c r="BJ106">
        <v>1</v>
      </c>
      <c r="BK106">
        <v>0</v>
      </c>
      <c r="BL106">
        <v>0</v>
      </c>
      <c r="BM106">
        <v>2</v>
      </c>
      <c r="BN106">
        <v>1</v>
      </c>
      <c r="BO106">
        <v>1</v>
      </c>
      <c r="BP106">
        <v>0</v>
      </c>
      <c r="BQ106">
        <v>2</v>
      </c>
      <c r="BR106">
        <v>0</v>
      </c>
      <c r="BS106">
        <v>0</v>
      </c>
      <c r="BT106">
        <v>1</v>
      </c>
      <c r="BU106">
        <v>2</v>
      </c>
      <c r="BV106">
        <v>2</v>
      </c>
      <c r="BW106">
        <v>2</v>
      </c>
      <c r="BX106">
        <v>0</v>
      </c>
      <c r="BY106">
        <v>2</v>
      </c>
      <c r="BZ106">
        <v>2</v>
      </c>
      <c r="CA106">
        <v>0</v>
      </c>
      <c r="CB106">
        <v>2</v>
      </c>
      <c r="CC106">
        <v>1</v>
      </c>
      <c r="CD106">
        <v>1</v>
      </c>
      <c r="CE106">
        <v>2</v>
      </c>
      <c r="CF106">
        <v>0</v>
      </c>
      <c r="CG106">
        <v>1</v>
      </c>
      <c r="CH106">
        <v>1</v>
      </c>
      <c r="CI106">
        <v>0</v>
      </c>
      <c r="CJ106">
        <v>2</v>
      </c>
      <c r="CK106">
        <v>2</v>
      </c>
      <c r="CL106">
        <v>0</v>
      </c>
      <c r="CM106">
        <v>0</v>
      </c>
      <c r="CN106">
        <v>2</v>
      </c>
      <c r="CO106">
        <v>1</v>
      </c>
      <c r="CP106">
        <v>2</v>
      </c>
      <c r="CQ106">
        <v>0</v>
      </c>
      <c r="CR106">
        <v>1</v>
      </c>
      <c r="CS106">
        <v>1</v>
      </c>
      <c r="CT106">
        <v>0</v>
      </c>
      <c r="CU106">
        <v>2</v>
      </c>
      <c r="CV106">
        <v>0</v>
      </c>
      <c r="CW106">
        <v>1</v>
      </c>
      <c r="CX106">
        <v>1</v>
      </c>
      <c r="CY106">
        <v>2</v>
      </c>
    </row>
    <row r="107" spans="1:103" x14ac:dyDescent="0.3">
      <c r="A107">
        <v>540</v>
      </c>
      <c r="B107" t="s">
        <v>210</v>
      </c>
      <c r="D107">
        <v>6273088</v>
      </c>
      <c r="E107">
        <v>2820826</v>
      </c>
      <c r="F107">
        <v>0</v>
      </c>
      <c r="G107">
        <v>7924952</v>
      </c>
      <c r="H107">
        <v>4328082</v>
      </c>
      <c r="I107">
        <v>0</v>
      </c>
      <c r="J107">
        <v>0</v>
      </c>
      <c r="K107">
        <v>0</v>
      </c>
      <c r="L107">
        <v>3675505</v>
      </c>
      <c r="M107">
        <v>18083036</v>
      </c>
      <c r="N107">
        <v>18894070</v>
      </c>
      <c r="O107">
        <v>2700000</v>
      </c>
      <c r="P107">
        <v>0</v>
      </c>
      <c r="Q107">
        <v>4380432</v>
      </c>
      <c r="R107">
        <v>0</v>
      </c>
      <c r="S107">
        <v>4300000</v>
      </c>
      <c r="U107">
        <v>9179705</v>
      </c>
      <c r="V107">
        <v>9000000</v>
      </c>
      <c r="X107">
        <v>0</v>
      </c>
      <c r="Y107">
        <v>0</v>
      </c>
      <c r="Z107">
        <v>7218696</v>
      </c>
      <c r="AA107">
        <v>0</v>
      </c>
      <c r="AB107">
        <v>249493</v>
      </c>
      <c r="AC107">
        <v>6454775</v>
      </c>
      <c r="AD107">
        <v>866680</v>
      </c>
      <c r="AE107">
        <v>12739482</v>
      </c>
      <c r="AF107">
        <v>4965695</v>
      </c>
      <c r="AG107">
        <v>2700633</v>
      </c>
      <c r="AH107">
        <v>3249652</v>
      </c>
      <c r="AI107">
        <v>29754613</v>
      </c>
      <c r="AJ107">
        <v>7863238</v>
      </c>
      <c r="AK107">
        <v>14896928</v>
      </c>
      <c r="AL107">
        <v>5424551</v>
      </c>
      <c r="AM107">
        <v>24952690</v>
      </c>
      <c r="AN107">
        <v>818891</v>
      </c>
      <c r="AP107">
        <v>3601376</v>
      </c>
      <c r="AQ107">
        <v>515000</v>
      </c>
      <c r="AR107">
        <v>49792000</v>
      </c>
      <c r="AS107">
        <v>5152619</v>
      </c>
      <c r="AT107">
        <v>4985964</v>
      </c>
      <c r="AU107">
        <v>5164582</v>
      </c>
      <c r="AV107">
        <v>22838365</v>
      </c>
      <c r="AW107">
        <v>2503887</v>
      </c>
      <c r="AX107">
        <v>454149</v>
      </c>
      <c r="AY107">
        <v>0</v>
      </c>
      <c r="AZ107">
        <v>0</v>
      </c>
      <c r="BA107">
        <v>0</v>
      </c>
      <c r="BB107">
        <v>7864530</v>
      </c>
      <c r="BC107">
        <v>669422</v>
      </c>
      <c r="BD107">
        <v>3000000</v>
      </c>
      <c r="BE107">
        <v>16177621</v>
      </c>
      <c r="BF107">
        <v>2450632</v>
      </c>
      <c r="BG107">
        <v>0</v>
      </c>
      <c r="BH107">
        <v>1787504</v>
      </c>
      <c r="BI107">
        <v>1713267</v>
      </c>
      <c r="BJ107">
        <v>637900</v>
      </c>
      <c r="BK107">
        <v>26681968</v>
      </c>
      <c r="BL107">
        <v>110831</v>
      </c>
      <c r="BM107">
        <v>5326596</v>
      </c>
      <c r="BN107">
        <v>0</v>
      </c>
      <c r="BO107">
        <v>8550000</v>
      </c>
      <c r="BP107">
        <v>5828288</v>
      </c>
      <c r="BQ107">
        <v>2066882</v>
      </c>
      <c r="BR107">
        <v>8708614</v>
      </c>
      <c r="BS107">
        <v>7000000</v>
      </c>
      <c r="BT107">
        <v>2388759</v>
      </c>
      <c r="BU107">
        <v>1000000</v>
      </c>
      <c r="BV107">
        <v>0</v>
      </c>
      <c r="BW107">
        <v>0</v>
      </c>
      <c r="BX107">
        <v>3628395</v>
      </c>
      <c r="BY107">
        <v>4529333</v>
      </c>
      <c r="BZ107">
        <v>178735</v>
      </c>
      <c r="CA107">
        <v>4708500</v>
      </c>
      <c r="CB107">
        <v>0</v>
      </c>
      <c r="CC107">
        <v>0</v>
      </c>
      <c r="CD107">
        <v>14463380</v>
      </c>
      <c r="CE107">
        <v>10947265</v>
      </c>
      <c r="CF107">
        <v>3331254</v>
      </c>
      <c r="CG107">
        <v>6637294</v>
      </c>
      <c r="CH107">
        <v>2683235</v>
      </c>
      <c r="CI107">
        <v>1140746</v>
      </c>
      <c r="CJ107">
        <v>4318941</v>
      </c>
      <c r="CK107">
        <v>8025437</v>
      </c>
      <c r="CL107">
        <v>1363000</v>
      </c>
      <c r="CM107">
        <v>1832636</v>
      </c>
      <c r="CN107">
        <v>676588</v>
      </c>
      <c r="CO107">
        <v>22169876</v>
      </c>
      <c r="CP107">
        <v>1883237</v>
      </c>
      <c r="CQ107">
        <v>16729197</v>
      </c>
      <c r="CR107">
        <v>3383463</v>
      </c>
      <c r="CS107">
        <v>1629931</v>
      </c>
      <c r="CT107">
        <v>829626</v>
      </c>
      <c r="CU107">
        <v>4615444</v>
      </c>
      <c r="CV107">
        <v>7532275</v>
      </c>
      <c r="CW107">
        <v>23409093</v>
      </c>
      <c r="CX107">
        <v>575000</v>
      </c>
      <c r="CY107">
        <v>0</v>
      </c>
    </row>
    <row r="108" spans="1:103" x14ac:dyDescent="0.3">
      <c r="A108">
        <v>541</v>
      </c>
      <c r="B108" t="s">
        <v>261</v>
      </c>
      <c r="D108">
        <v>0</v>
      </c>
      <c r="E108">
        <v>889533</v>
      </c>
      <c r="F108">
        <v>0</v>
      </c>
      <c r="G108">
        <v>1214330</v>
      </c>
      <c r="H108">
        <v>0</v>
      </c>
      <c r="I108">
        <v>0</v>
      </c>
      <c r="J108">
        <v>748202</v>
      </c>
      <c r="K108">
        <v>134148</v>
      </c>
      <c r="L108">
        <v>-168278</v>
      </c>
      <c r="M108">
        <v>26147755</v>
      </c>
      <c r="N108">
        <v>0</v>
      </c>
      <c r="O108">
        <v>98875</v>
      </c>
      <c r="P108">
        <v>0</v>
      </c>
      <c r="Q108">
        <v>72831</v>
      </c>
      <c r="R108">
        <v>144103</v>
      </c>
      <c r="S108">
        <v>100945</v>
      </c>
      <c r="U108">
        <v>0</v>
      </c>
      <c r="V108">
        <v>115450</v>
      </c>
      <c r="X108">
        <v>382626</v>
      </c>
      <c r="Y108">
        <v>-7411</v>
      </c>
      <c r="Z108">
        <v>0</v>
      </c>
      <c r="AA108">
        <v>1109110</v>
      </c>
      <c r="AB108">
        <v>-1800677</v>
      </c>
      <c r="AC108">
        <v>917368</v>
      </c>
      <c r="AD108">
        <v>1732064</v>
      </c>
      <c r="AE108">
        <v>2545815</v>
      </c>
      <c r="AF108">
        <v>-685227</v>
      </c>
      <c r="AG108">
        <v>827245</v>
      </c>
      <c r="AH108">
        <v>2756316</v>
      </c>
      <c r="AI108">
        <v>0</v>
      </c>
      <c r="AJ108">
        <v>809816</v>
      </c>
      <c r="AK108">
        <v>0</v>
      </c>
      <c r="AL108">
        <v>5992637</v>
      </c>
      <c r="AM108">
        <v>0</v>
      </c>
      <c r="AN108">
        <v>127565</v>
      </c>
      <c r="AP108">
        <v>0</v>
      </c>
      <c r="AQ108">
        <v>970750</v>
      </c>
      <c r="AR108">
        <v>0</v>
      </c>
      <c r="AS108">
        <v>101687</v>
      </c>
      <c r="AT108">
        <v>15994110</v>
      </c>
      <c r="AU108">
        <v>0</v>
      </c>
      <c r="AV108">
        <v>0</v>
      </c>
      <c r="AW108">
        <v>79891</v>
      </c>
      <c r="AX108">
        <v>-2099327</v>
      </c>
      <c r="AY108">
        <v>199486</v>
      </c>
      <c r="AZ108">
        <v>0</v>
      </c>
      <c r="BA108">
        <v>0</v>
      </c>
      <c r="BB108">
        <v>9719908</v>
      </c>
      <c r="BC108">
        <v>325520</v>
      </c>
      <c r="BD108">
        <v>0</v>
      </c>
      <c r="BE108">
        <v>0</v>
      </c>
      <c r="BF108">
        <v>3413449</v>
      </c>
      <c r="BG108">
        <v>0</v>
      </c>
      <c r="BH108">
        <v>0</v>
      </c>
      <c r="BI108">
        <v>-30129</v>
      </c>
      <c r="BJ108">
        <v>66737</v>
      </c>
      <c r="BK108">
        <v>0</v>
      </c>
      <c r="BL108">
        <v>0</v>
      </c>
      <c r="BM108">
        <v>852811</v>
      </c>
      <c r="BN108">
        <v>4282189</v>
      </c>
      <c r="BO108">
        <v>302355</v>
      </c>
      <c r="BP108">
        <v>0</v>
      </c>
      <c r="BQ108">
        <v>788833</v>
      </c>
      <c r="BR108">
        <v>0</v>
      </c>
      <c r="BS108">
        <v>0</v>
      </c>
      <c r="BT108">
        <v>-26185</v>
      </c>
      <c r="BU108">
        <v>344362</v>
      </c>
      <c r="BV108">
        <v>1202220</v>
      </c>
      <c r="BW108">
        <v>385036</v>
      </c>
      <c r="BX108">
        <v>0</v>
      </c>
      <c r="BY108">
        <v>0</v>
      </c>
      <c r="BZ108">
        <v>0</v>
      </c>
      <c r="CA108">
        <v>0</v>
      </c>
      <c r="CB108">
        <v>1494500</v>
      </c>
      <c r="CC108">
        <v>3974733</v>
      </c>
      <c r="CD108">
        <v>-1001598</v>
      </c>
      <c r="CE108">
        <v>-649685</v>
      </c>
      <c r="CF108">
        <v>0</v>
      </c>
      <c r="CG108">
        <v>814525</v>
      </c>
      <c r="CH108">
        <v>106257</v>
      </c>
      <c r="CI108">
        <v>416059</v>
      </c>
      <c r="CJ108">
        <v>-75088</v>
      </c>
      <c r="CK108">
        <v>-1995872</v>
      </c>
      <c r="CL108">
        <v>0</v>
      </c>
      <c r="CM108">
        <v>0</v>
      </c>
      <c r="CN108">
        <v>392592</v>
      </c>
      <c r="CO108">
        <v>16428297</v>
      </c>
      <c r="CP108">
        <v>158091</v>
      </c>
      <c r="CQ108">
        <v>0</v>
      </c>
      <c r="CR108">
        <v>509208</v>
      </c>
      <c r="CS108">
        <v>167328</v>
      </c>
      <c r="CT108">
        <v>0</v>
      </c>
      <c r="CU108">
        <v>-38883</v>
      </c>
      <c r="CV108">
        <v>0</v>
      </c>
      <c r="CW108">
        <v>623664</v>
      </c>
      <c r="CX108">
        <v>-189984</v>
      </c>
      <c r="CY108">
        <v>0</v>
      </c>
    </row>
    <row r="109" spans="1:103" x14ac:dyDescent="0.3">
      <c r="A109">
        <v>542</v>
      </c>
      <c r="B109" t="s">
        <v>614</v>
      </c>
      <c r="D109">
        <v>0</v>
      </c>
      <c r="E109">
        <v>0</v>
      </c>
      <c r="F109">
        <v>0</v>
      </c>
      <c r="G109">
        <v>3361038</v>
      </c>
      <c r="H109">
        <v>0</v>
      </c>
      <c r="I109">
        <v>0</v>
      </c>
      <c r="J109">
        <v>160132</v>
      </c>
      <c r="K109">
        <v>0</v>
      </c>
      <c r="L109">
        <v>0</v>
      </c>
      <c r="M109">
        <v>743040</v>
      </c>
      <c r="N109">
        <v>0</v>
      </c>
      <c r="O109">
        <v>0</v>
      </c>
      <c r="P109">
        <v>0</v>
      </c>
      <c r="Q109">
        <v>0</v>
      </c>
      <c r="R109">
        <v>0</v>
      </c>
      <c r="S109">
        <v>0</v>
      </c>
      <c r="U109">
        <v>0</v>
      </c>
      <c r="V109">
        <v>2398350</v>
      </c>
      <c r="X109">
        <v>0</v>
      </c>
      <c r="Y109">
        <v>0</v>
      </c>
      <c r="Z109">
        <v>0</v>
      </c>
      <c r="AA109">
        <v>0</v>
      </c>
      <c r="AB109">
        <v>0</v>
      </c>
      <c r="AC109">
        <v>0</v>
      </c>
      <c r="AD109">
        <v>0</v>
      </c>
      <c r="AE109">
        <v>0</v>
      </c>
      <c r="AF109">
        <v>0</v>
      </c>
      <c r="AG109">
        <v>0</v>
      </c>
      <c r="AH109">
        <v>0</v>
      </c>
      <c r="AI109">
        <v>0</v>
      </c>
      <c r="AJ109">
        <v>0</v>
      </c>
      <c r="AK109">
        <v>0</v>
      </c>
      <c r="AL109">
        <v>0</v>
      </c>
      <c r="AM109">
        <v>0</v>
      </c>
      <c r="AN109">
        <v>0</v>
      </c>
      <c r="AP109">
        <v>0</v>
      </c>
      <c r="AQ109">
        <v>0</v>
      </c>
      <c r="AR109">
        <v>0</v>
      </c>
      <c r="AS109">
        <v>72000</v>
      </c>
      <c r="AT109">
        <v>0</v>
      </c>
      <c r="AU109">
        <v>0</v>
      </c>
      <c r="AV109">
        <v>0</v>
      </c>
      <c r="AW109">
        <v>0</v>
      </c>
      <c r="AX109">
        <v>3344501</v>
      </c>
      <c r="AY109">
        <v>0</v>
      </c>
      <c r="AZ109">
        <v>0</v>
      </c>
      <c r="BA109">
        <v>0</v>
      </c>
      <c r="BB109">
        <v>3972778</v>
      </c>
      <c r="BC109">
        <v>0</v>
      </c>
      <c r="BD109">
        <v>0</v>
      </c>
      <c r="BE109">
        <v>0</v>
      </c>
      <c r="BF109">
        <v>0</v>
      </c>
      <c r="BG109">
        <v>0</v>
      </c>
      <c r="BH109">
        <v>0</v>
      </c>
      <c r="BI109">
        <v>0</v>
      </c>
      <c r="BJ109">
        <v>0</v>
      </c>
      <c r="BK109">
        <v>0</v>
      </c>
      <c r="BL109">
        <v>0</v>
      </c>
      <c r="BM109">
        <v>0</v>
      </c>
      <c r="BN109">
        <v>2453922</v>
      </c>
      <c r="BO109">
        <v>0</v>
      </c>
      <c r="BP109">
        <v>0</v>
      </c>
      <c r="BQ109">
        <v>0</v>
      </c>
      <c r="BR109">
        <v>0</v>
      </c>
      <c r="BS109">
        <v>0</v>
      </c>
      <c r="BT109">
        <v>0</v>
      </c>
      <c r="BU109">
        <v>0</v>
      </c>
      <c r="BV109">
        <v>0</v>
      </c>
      <c r="BW109">
        <v>0</v>
      </c>
      <c r="BX109">
        <v>0</v>
      </c>
      <c r="BY109">
        <v>0</v>
      </c>
      <c r="BZ109">
        <v>0</v>
      </c>
      <c r="CA109">
        <v>0</v>
      </c>
      <c r="CB109">
        <v>0</v>
      </c>
      <c r="CC109">
        <v>0</v>
      </c>
      <c r="CD109">
        <v>0</v>
      </c>
      <c r="CE109">
        <v>368336</v>
      </c>
      <c r="CF109">
        <v>0</v>
      </c>
      <c r="CG109">
        <v>0</v>
      </c>
      <c r="CH109">
        <v>0</v>
      </c>
      <c r="CI109">
        <v>0</v>
      </c>
      <c r="CJ109">
        <v>159608</v>
      </c>
      <c r="CK109">
        <v>0</v>
      </c>
      <c r="CL109">
        <v>0</v>
      </c>
      <c r="CM109">
        <v>0</v>
      </c>
      <c r="CN109">
        <v>0</v>
      </c>
      <c r="CO109">
        <v>58335270</v>
      </c>
      <c r="CP109">
        <v>0</v>
      </c>
      <c r="CQ109">
        <v>0</v>
      </c>
      <c r="CR109">
        <v>0</v>
      </c>
      <c r="CS109">
        <v>394228</v>
      </c>
      <c r="CT109">
        <v>0</v>
      </c>
      <c r="CU109">
        <v>0</v>
      </c>
      <c r="CV109">
        <v>0</v>
      </c>
      <c r="CW109">
        <v>0</v>
      </c>
      <c r="CX109">
        <v>0</v>
      </c>
      <c r="CY109">
        <v>0</v>
      </c>
    </row>
    <row r="110" spans="1:103" x14ac:dyDescent="0.3">
      <c r="A110">
        <v>544</v>
      </c>
      <c r="B110" t="s">
        <v>48</v>
      </c>
      <c r="D110">
        <v>0</v>
      </c>
      <c r="E110">
        <v>0</v>
      </c>
      <c r="F110">
        <v>0</v>
      </c>
      <c r="G110">
        <v>0</v>
      </c>
      <c r="H110">
        <v>0</v>
      </c>
      <c r="I110">
        <v>0</v>
      </c>
      <c r="J110">
        <v>0</v>
      </c>
      <c r="K110">
        <v>0</v>
      </c>
      <c r="L110">
        <v>0</v>
      </c>
      <c r="M110">
        <v>0</v>
      </c>
      <c r="N110">
        <v>0</v>
      </c>
      <c r="O110">
        <v>0</v>
      </c>
      <c r="P110">
        <v>0</v>
      </c>
      <c r="Q110">
        <v>0</v>
      </c>
      <c r="R110">
        <v>0</v>
      </c>
      <c r="S110">
        <v>0</v>
      </c>
      <c r="U110">
        <v>0</v>
      </c>
      <c r="V110">
        <v>0</v>
      </c>
      <c r="X110">
        <v>0</v>
      </c>
      <c r="Y110">
        <v>0</v>
      </c>
      <c r="Z110">
        <v>0</v>
      </c>
      <c r="AA110">
        <v>0</v>
      </c>
      <c r="AB110">
        <v>0</v>
      </c>
      <c r="AC110">
        <v>0</v>
      </c>
      <c r="AD110">
        <v>0</v>
      </c>
      <c r="AE110">
        <v>0</v>
      </c>
      <c r="AF110">
        <v>0</v>
      </c>
      <c r="AG110">
        <v>0</v>
      </c>
      <c r="AH110">
        <v>0</v>
      </c>
      <c r="AI110">
        <v>0</v>
      </c>
      <c r="AJ110">
        <v>0</v>
      </c>
      <c r="AK110">
        <v>0</v>
      </c>
      <c r="AL110">
        <v>0</v>
      </c>
      <c r="AM110">
        <v>0</v>
      </c>
      <c r="AN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5.0000000000000001E-3</v>
      </c>
      <c r="BS110">
        <v>1.2200000000000001E-2</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1.95</v>
      </c>
      <c r="CR110">
        <v>0</v>
      </c>
      <c r="CS110">
        <v>0</v>
      </c>
      <c r="CT110">
        <v>0</v>
      </c>
      <c r="CU110">
        <v>0</v>
      </c>
      <c r="CV110">
        <v>0</v>
      </c>
      <c r="CW110">
        <v>0</v>
      </c>
      <c r="CX110">
        <v>0</v>
      </c>
      <c r="CY110">
        <v>0</v>
      </c>
    </row>
    <row r="111" spans="1:103" x14ac:dyDescent="0.3">
      <c r="A111">
        <v>545</v>
      </c>
      <c r="B111" t="s">
        <v>49</v>
      </c>
      <c r="D111">
        <v>0</v>
      </c>
      <c r="E111">
        <v>0</v>
      </c>
      <c r="F111">
        <v>0</v>
      </c>
      <c r="G111">
        <v>0</v>
      </c>
      <c r="H111">
        <v>0</v>
      </c>
      <c r="I111">
        <v>0</v>
      </c>
      <c r="J111">
        <v>0</v>
      </c>
      <c r="K111">
        <v>0</v>
      </c>
      <c r="L111">
        <v>0</v>
      </c>
      <c r="M111">
        <v>-0.14299999999999999</v>
      </c>
      <c r="N111">
        <v>0.01</v>
      </c>
      <c r="O111">
        <v>3.67</v>
      </c>
      <c r="P111">
        <v>0</v>
      </c>
      <c r="Q111">
        <v>0</v>
      </c>
      <c r="R111">
        <v>0</v>
      </c>
      <c r="S111">
        <v>0</v>
      </c>
      <c r="U111">
        <v>0</v>
      </c>
      <c r="V111">
        <v>0</v>
      </c>
      <c r="X111">
        <v>0</v>
      </c>
      <c r="Y111">
        <v>0</v>
      </c>
      <c r="Z111">
        <v>0</v>
      </c>
      <c r="AA111">
        <v>0</v>
      </c>
      <c r="AB111">
        <v>0</v>
      </c>
      <c r="AC111">
        <v>0</v>
      </c>
      <c r="AD111">
        <v>0.1</v>
      </c>
      <c r="AE111">
        <v>0</v>
      </c>
      <c r="AF111">
        <v>0</v>
      </c>
      <c r="AG111">
        <v>0</v>
      </c>
      <c r="AH111">
        <v>0</v>
      </c>
      <c r="AI111">
        <v>0</v>
      </c>
      <c r="AJ111">
        <v>0</v>
      </c>
      <c r="AK111">
        <v>0</v>
      </c>
      <c r="AL111">
        <v>0</v>
      </c>
      <c r="AM111">
        <v>0</v>
      </c>
      <c r="AN111">
        <v>0.05</v>
      </c>
      <c r="AP111">
        <v>0</v>
      </c>
      <c r="AQ111">
        <v>0</v>
      </c>
      <c r="AR111">
        <v>0</v>
      </c>
      <c r="AS111">
        <v>0</v>
      </c>
      <c r="AT111">
        <v>0</v>
      </c>
      <c r="AU111">
        <v>0</v>
      </c>
      <c r="AV111">
        <v>0</v>
      </c>
      <c r="AW111">
        <v>0</v>
      </c>
      <c r="AX111">
        <v>0</v>
      </c>
      <c r="AY111">
        <v>0</v>
      </c>
      <c r="AZ111">
        <v>-3.75</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4.5999999999999999E-3</v>
      </c>
      <c r="BT111">
        <v>0</v>
      </c>
      <c r="BU111">
        <v>0</v>
      </c>
      <c r="BV111">
        <v>9.2499999999999999E-2</v>
      </c>
      <c r="BW111">
        <v>0</v>
      </c>
      <c r="BX111">
        <v>2.5000000000000001E-3</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3.25</v>
      </c>
      <c r="CR111">
        <v>0</v>
      </c>
      <c r="CS111">
        <v>0</v>
      </c>
      <c r="CT111">
        <v>0</v>
      </c>
      <c r="CU111">
        <v>0</v>
      </c>
      <c r="CV111">
        <v>0</v>
      </c>
      <c r="CW111">
        <v>0</v>
      </c>
      <c r="CX111">
        <v>0</v>
      </c>
      <c r="CY111">
        <v>0</v>
      </c>
    </row>
    <row r="112" spans="1:103" x14ac:dyDescent="0.3">
      <c r="A112">
        <v>546</v>
      </c>
      <c r="B112" t="s">
        <v>615</v>
      </c>
      <c r="D112">
        <v>0</v>
      </c>
      <c r="E112">
        <v>0</v>
      </c>
      <c r="F112">
        <v>0</v>
      </c>
      <c r="G112">
        <v>0</v>
      </c>
      <c r="H112">
        <v>0</v>
      </c>
      <c r="I112">
        <v>0</v>
      </c>
      <c r="J112">
        <v>0</v>
      </c>
      <c r="K112">
        <v>0</v>
      </c>
      <c r="L112">
        <v>0</v>
      </c>
      <c r="M112">
        <v>0</v>
      </c>
      <c r="N112">
        <v>11366731</v>
      </c>
      <c r="O112">
        <v>0</v>
      </c>
      <c r="P112">
        <v>0</v>
      </c>
      <c r="Q112">
        <v>0</v>
      </c>
      <c r="R112">
        <v>0</v>
      </c>
      <c r="S112">
        <v>0</v>
      </c>
      <c r="U112">
        <v>0</v>
      </c>
      <c r="V112">
        <v>0</v>
      </c>
      <c r="X112">
        <v>0</v>
      </c>
      <c r="Y112">
        <v>0</v>
      </c>
      <c r="Z112">
        <v>15113686</v>
      </c>
      <c r="AA112">
        <v>0</v>
      </c>
      <c r="AB112">
        <v>0</v>
      </c>
      <c r="AC112">
        <v>0</v>
      </c>
      <c r="AD112">
        <v>0</v>
      </c>
      <c r="AE112">
        <v>0</v>
      </c>
      <c r="AF112">
        <v>1879956</v>
      </c>
      <c r="AG112">
        <v>0</v>
      </c>
      <c r="AH112">
        <v>0</v>
      </c>
      <c r="AI112">
        <v>0</v>
      </c>
      <c r="AJ112">
        <v>0</v>
      </c>
      <c r="AK112">
        <v>0</v>
      </c>
      <c r="AL112">
        <v>0</v>
      </c>
      <c r="AM112">
        <v>0</v>
      </c>
      <c r="AN112">
        <v>0</v>
      </c>
      <c r="AP112">
        <v>0</v>
      </c>
      <c r="AQ112">
        <v>0</v>
      </c>
      <c r="AR112">
        <v>0</v>
      </c>
      <c r="AS112">
        <v>7243488</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545646</v>
      </c>
      <c r="CA112">
        <v>6318639</v>
      </c>
      <c r="CB112">
        <v>0</v>
      </c>
      <c r="CC112">
        <v>0</v>
      </c>
      <c r="CD112">
        <v>0</v>
      </c>
      <c r="CE112">
        <v>0</v>
      </c>
      <c r="CF112">
        <v>0</v>
      </c>
      <c r="CG112">
        <v>0</v>
      </c>
      <c r="CH112">
        <v>0</v>
      </c>
      <c r="CI112">
        <v>0</v>
      </c>
      <c r="CJ112">
        <v>100348</v>
      </c>
      <c r="CK112">
        <v>0</v>
      </c>
      <c r="CL112">
        <v>0</v>
      </c>
      <c r="CM112">
        <v>0</v>
      </c>
      <c r="CN112">
        <v>0</v>
      </c>
      <c r="CO112">
        <v>0</v>
      </c>
      <c r="CP112">
        <v>0</v>
      </c>
      <c r="CQ112">
        <v>0</v>
      </c>
      <c r="CR112">
        <v>0</v>
      </c>
      <c r="CS112">
        <v>0</v>
      </c>
      <c r="CT112">
        <v>0</v>
      </c>
      <c r="CU112">
        <v>0</v>
      </c>
      <c r="CV112">
        <v>0</v>
      </c>
      <c r="CW112">
        <v>0</v>
      </c>
      <c r="CX112">
        <v>0</v>
      </c>
      <c r="CY112">
        <v>0</v>
      </c>
    </row>
    <row r="113" spans="1:103" x14ac:dyDescent="0.3">
      <c r="A113">
        <v>547</v>
      </c>
      <c r="B113" t="s">
        <v>616</v>
      </c>
      <c r="D113">
        <v>3</v>
      </c>
      <c r="E113">
        <v>3</v>
      </c>
      <c r="F113">
        <v>3</v>
      </c>
      <c r="G113">
        <v>3</v>
      </c>
      <c r="H113">
        <v>3</v>
      </c>
      <c r="I113">
        <v>3</v>
      </c>
      <c r="J113">
        <v>3</v>
      </c>
      <c r="K113">
        <v>3</v>
      </c>
      <c r="L113">
        <v>4</v>
      </c>
      <c r="M113">
        <v>3</v>
      </c>
      <c r="N113">
        <v>3</v>
      </c>
      <c r="O113">
        <v>3</v>
      </c>
      <c r="P113">
        <v>3</v>
      </c>
      <c r="Q113">
        <v>3</v>
      </c>
      <c r="R113">
        <v>3</v>
      </c>
      <c r="S113">
        <v>3</v>
      </c>
      <c r="U113">
        <v>3</v>
      </c>
      <c r="V113">
        <v>3</v>
      </c>
      <c r="X113">
        <v>3</v>
      </c>
      <c r="Y113">
        <v>3</v>
      </c>
      <c r="Z113">
        <v>3</v>
      </c>
      <c r="AA113">
        <v>3</v>
      </c>
      <c r="AB113">
        <v>3</v>
      </c>
      <c r="AC113">
        <v>1</v>
      </c>
      <c r="AD113">
        <v>3</v>
      </c>
      <c r="AE113">
        <v>3</v>
      </c>
      <c r="AF113">
        <v>3</v>
      </c>
      <c r="AG113">
        <v>3</v>
      </c>
      <c r="AH113">
        <v>1</v>
      </c>
      <c r="AI113">
        <v>3</v>
      </c>
      <c r="AJ113">
        <v>3</v>
      </c>
      <c r="AK113">
        <v>1</v>
      </c>
      <c r="AL113">
        <v>3</v>
      </c>
      <c r="AM113">
        <v>3</v>
      </c>
      <c r="AN113">
        <v>3</v>
      </c>
      <c r="AP113">
        <v>3</v>
      </c>
      <c r="AQ113">
        <v>3</v>
      </c>
      <c r="AR113">
        <v>3</v>
      </c>
      <c r="AS113">
        <v>3</v>
      </c>
      <c r="AT113">
        <v>3</v>
      </c>
      <c r="AU113">
        <v>3</v>
      </c>
      <c r="AV113">
        <v>3</v>
      </c>
      <c r="AW113">
        <v>3</v>
      </c>
      <c r="AX113">
        <v>3</v>
      </c>
      <c r="AY113">
        <v>3</v>
      </c>
      <c r="AZ113">
        <v>1</v>
      </c>
      <c r="BA113">
        <v>3</v>
      </c>
      <c r="BB113">
        <v>3</v>
      </c>
      <c r="BC113">
        <v>2</v>
      </c>
      <c r="BD113">
        <v>3</v>
      </c>
      <c r="BE113">
        <v>3</v>
      </c>
      <c r="BF113">
        <v>3</v>
      </c>
      <c r="BG113">
        <v>3</v>
      </c>
      <c r="BH113">
        <v>2</v>
      </c>
      <c r="BI113">
        <v>3</v>
      </c>
      <c r="BJ113">
        <v>3</v>
      </c>
      <c r="BK113">
        <v>3</v>
      </c>
      <c r="BL113">
        <v>3</v>
      </c>
      <c r="BM113">
        <v>3</v>
      </c>
      <c r="BN113">
        <v>3</v>
      </c>
      <c r="BO113">
        <v>3</v>
      </c>
      <c r="BP113">
        <v>3</v>
      </c>
      <c r="BQ113">
        <v>4</v>
      </c>
      <c r="BR113">
        <v>3</v>
      </c>
      <c r="BS113">
        <v>3</v>
      </c>
      <c r="BT113">
        <v>3</v>
      </c>
      <c r="BU113">
        <v>3</v>
      </c>
      <c r="BV113">
        <v>3</v>
      </c>
      <c r="BW113">
        <v>3</v>
      </c>
      <c r="BX113">
        <v>3</v>
      </c>
      <c r="BY113">
        <v>3</v>
      </c>
      <c r="BZ113">
        <v>2</v>
      </c>
      <c r="CA113">
        <v>3</v>
      </c>
      <c r="CB113">
        <v>3</v>
      </c>
      <c r="CC113">
        <v>3</v>
      </c>
      <c r="CD113">
        <v>3</v>
      </c>
      <c r="CE113">
        <v>3</v>
      </c>
      <c r="CF113">
        <v>4</v>
      </c>
      <c r="CG113">
        <v>3</v>
      </c>
      <c r="CH113">
        <v>3</v>
      </c>
      <c r="CI113">
        <v>3</v>
      </c>
      <c r="CJ113">
        <v>3</v>
      </c>
      <c r="CK113">
        <v>3</v>
      </c>
      <c r="CL113">
        <v>1</v>
      </c>
      <c r="CM113">
        <v>3</v>
      </c>
      <c r="CN113">
        <v>3</v>
      </c>
      <c r="CO113">
        <v>3</v>
      </c>
      <c r="CP113">
        <v>3</v>
      </c>
      <c r="CQ113">
        <v>1</v>
      </c>
      <c r="CR113">
        <v>1</v>
      </c>
      <c r="CS113">
        <v>4</v>
      </c>
      <c r="CT113">
        <v>3</v>
      </c>
      <c r="CU113">
        <v>3</v>
      </c>
      <c r="CV113">
        <v>3</v>
      </c>
      <c r="CW113">
        <v>3</v>
      </c>
      <c r="CX113">
        <v>3</v>
      </c>
      <c r="CY113">
        <v>3</v>
      </c>
    </row>
    <row r="114" spans="1:103" x14ac:dyDescent="0.3">
      <c r="A114">
        <v>554</v>
      </c>
      <c r="B114" t="s">
        <v>269</v>
      </c>
      <c r="D114">
        <v>17356567</v>
      </c>
      <c r="E114">
        <v>4797198</v>
      </c>
      <c r="F114">
        <v>3024035</v>
      </c>
      <c r="G114">
        <v>8807153</v>
      </c>
      <c r="H114">
        <v>10610217</v>
      </c>
      <c r="I114">
        <v>2895352</v>
      </c>
      <c r="J114">
        <v>7694305</v>
      </c>
      <c r="K114">
        <v>3673967</v>
      </c>
      <c r="L114">
        <v>6819176</v>
      </c>
      <c r="M114">
        <v>18979080</v>
      </c>
      <c r="N114">
        <v>55481414</v>
      </c>
      <c r="O114">
        <v>29128753</v>
      </c>
      <c r="P114">
        <v>30118306</v>
      </c>
      <c r="Q114">
        <v>10090875</v>
      </c>
      <c r="R114">
        <v>1808406</v>
      </c>
      <c r="S114">
        <v>16385045</v>
      </c>
      <c r="U114">
        <v>29151188</v>
      </c>
      <c r="V114">
        <v>36252618</v>
      </c>
      <c r="X114">
        <v>1868527</v>
      </c>
      <c r="Y114">
        <v>4877068</v>
      </c>
      <c r="Z114">
        <v>27311501</v>
      </c>
      <c r="AA114">
        <v>66482765</v>
      </c>
      <c r="AB114">
        <v>49776908</v>
      </c>
      <c r="AC114">
        <v>66837230</v>
      </c>
      <c r="AD114">
        <v>4904827</v>
      </c>
      <c r="AE114">
        <v>10029907</v>
      </c>
      <c r="AF114">
        <v>52880254</v>
      </c>
      <c r="AG114">
        <v>11286392</v>
      </c>
      <c r="AH114">
        <v>21520110</v>
      </c>
      <c r="AI114">
        <v>42656329</v>
      </c>
      <c r="AJ114">
        <v>13837939</v>
      </c>
      <c r="AK114">
        <v>66725783</v>
      </c>
      <c r="AL114">
        <v>26946085</v>
      </c>
      <c r="AM114">
        <v>45184569</v>
      </c>
      <c r="AN114">
        <v>2189614</v>
      </c>
      <c r="AP114">
        <v>15246014</v>
      </c>
      <c r="AQ114">
        <v>3317190</v>
      </c>
      <c r="AR114">
        <v>105068387</v>
      </c>
      <c r="AS114">
        <v>17023948</v>
      </c>
      <c r="AT114">
        <v>22621203</v>
      </c>
      <c r="AU114">
        <v>13514239</v>
      </c>
      <c r="AV114">
        <v>14128901</v>
      </c>
      <c r="AW114">
        <v>5310460</v>
      </c>
      <c r="AX114">
        <v>17964190</v>
      </c>
      <c r="AY114">
        <v>2598477</v>
      </c>
      <c r="AZ114">
        <v>25127675</v>
      </c>
      <c r="BA114">
        <v>12633619</v>
      </c>
      <c r="BB114">
        <v>69481709</v>
      </c>
      <c r="BC114">
        <v>2665072</v>
      </c>
      <c r="BD114">
        <v>14477406</v>
      </c>
      <c r="BE114">
        <v>10167105</v>
      </c>
      <c r="BF114">
        <v>24362535</v>
      </c>
      <c r="BG114">
        <v>7890661</v>
      </c>
      <c r="BH114">
        <v>5320467</v>
      </c>
      <c r="BI114">
        <v>6706608</v>
      </c>
      <c r="BJ114">
        <v>9382640</v>
      </c>
      <c r="BK114">
        <v>195205297</v>
      </c>
      <c r="BL114">
        <v>3525692</v>
      </c>
      <c r="BM114">
        <v>67632526</v>
      </c>
      <c r="BN114">
        <v>8572100</v>
      </c>
      <c r="BO114">
        <v>12630868</v>
      </c>
      <c r="BP114">
        <v>45401167</v>
      </c>
      <c r="BQ114">
        <v>4143358</v>
      </c>
      <c r="BR114">
        <v>27532972</v>
      </c>
      <c r="BS114">
        <v>26975042</v>
      </c>
      <c r="BT114">
        <v>4849175</v>
      </c>
      <c r="BU114">
        <v>12083128</v>
      </c>
      <c r="BV114">
        <v>7656936</v>
      </c>
      <c r="BW114">
        <v>2744355</v>
      </c>
      <c r="BX114">
        <v>11190068</v>
      </c>
      <c r="BY114">
        <v>25297565</v>
      </c>
      <c r="BZ114">
        <v>2600442</v>
      </c>
      <c r="CA114">
        <v>22093901</v>
      </c>
      <c r="CB114">
        <v>9933520</v>
      </c>
      <c r="CC114">
        <v>23906473</v>
      </c>
      <c r="CD114">
        <v>14361054</v>
      </c>
      <c r="CE114">
        <v>22763318</v>
      </c>
      <c r="CF114">
        <v>8909086</v>
      </c>
      <c r="CG114">
        <v>14448812</v>
      </c>
      <c r="CH114">
        <v>8273898</v>
      </c>
      <c r="CI114">
        <v>6979841</v>
      </c>
      <c r="CJ114">
        <v>22589680</v>
      </c>
      <c r="CK114">
        <v>18770181</v>
      </c>
      <c r="CL114">
        <v>2927103</v>
      </c>
      <c r="CM114" s="930">
        <v>9607921</v>
      </c>
      <c r="CN114">
        <v>1389185</v>
      </c>
      <c r="CO114">
        <v>45528190</v>
      </c>
      <c r="CP114">
        <v>6820005</v>
      </c>
      <c r="CQ114">
        <v>141379562</v>
      </c>
      <c r="CR114">
        <v>7418963</v>
      </c>
      <c r="CS114">
        <v>3103826</v>
      </c>
      <c r="CT114">
        <v>7428510</v>
      </c>
      <c r="CU114">
        <v>19213526</v>
      </c>
      <c r="CV114">
        <v>12442468</v>
      </c>
      <c r="CW114">
        <v>18384663</v>
      </c>
      <c r="CX114">
        <v>3777697</v>
      </c>
      <c r="CY114">
        <v>3696746</v>
      </c>
    </row>
    <row r="115" spans="1:103" x14ac:dyDescent="0.3">
      <c r="A115">
        <v>555</v>
      </c>
      <c r="B115" t="s">
        <v>270</v>
      </c>
      <c r="D115">
        <v>9770312</v>
      </c>
      <c r="E115">
        <v>2129897</v>
      </c>
      <c r="F115">
        <v>1495407</v>
      </c>
      <c r="G115">
        <v>5870755</v>
      </c>
      <c r="H115">
        <v>7489343</v>
      </c>
      <c r="I115">
        <v>634136</v>
      </c>
      <c r="J115">
        <v>2029479</v>
      </c>
      <c r="K115">
        <v>5646239</v>
      </c>
      <c r="L115">
        <v>2918611</v>
      </c>
      <c r="M115">
        <v>9460119</v>
      </c>
      <c r="N115">
        <v>31574117</v>
      </c>
      <c r="O115">
        <v>17491991</v>
      </c>
      <c r="P115">
        <v>19586812</v>
      </c>
      <c r="Q115">
        <v>3658394</v>
      </c>
      <c r="R115">
        <v>1370282</v>
      </c>
      <c r="S115">
        <v>11419231</v>
      </c>
      <c r="U115">
        <v>14997585</v>
      </c>
      <c r="V115">
        <v>13589545</v>
      </c>
      <c r="X115">
        <v>878825</v>
      </c>
      <c r="Y115">
        <v>2376843</v>
      </c>
      <c r="Z115">
        <v>15760793</v>
      </c>
      <c r="AA115">
        <v>60209280</v>
      </c>
      <c r="AB115">
        <v>36308055</v>
      </c>
      <c r="AC115">
        <v>41361583</v>
      </c>
      <c r="AD115">
        <v>3518064</v>
      </c>
      <c r="AE115">
        <v>7009682</v>
      </c>
      <c r="AF115">
        <v>40249171</v>
      </c>
      <c r="AG115">
        <v>7844986</v>
      </c>
      <c r="AH115">
        <v>15571817</v>
      </c>
      <c r="AI115">
        <v>18850003</v>
      </c>
      <c r="AJ115">
        <v>7943413</v>
      </c>
      <c r="AK115">
        <v>55871318</v>
      </c>
      <c r="AL115">
        <v>11695279</v>
      </c>
      <c r="AM115">
        <v>27610472</v>
      </c>
      <c r="AN115">
        <v>592510</v>
      </c>
      <c r="AP115">
        <v>12054802</v>
      </c>
      <c r="AQ115">
        <v>1451020</v>
      </c>
      <c r="AR115">
        <v>75713829</v>
      </c>
      <c r="AS115">
        <v>11277116</v>
      </c>
      <c r="AT115">
        <v>11909602</v>
      </c>
      <c r="AU115">
        <v>8476986</v>
      </c>
      <c r="AV115">
        <v>5924656</v>
      </c>
      <c r="AW115">
        <v>3238784</v>
      </c>
      <c r="AX115">
        <v>13560436</v>
      </c>
      <c r="AY115">
        <v>1489858</v>
      </c>
      <c r="AZ115">
        <v>19465367</v>
      </c>
      <c r="BA115">
        <v>8882961</v>
      </c>
      <c r="BB115">
        <v>49846218</v>
      </c>
      <c r="BC115">
        <v>1183713</v>
      </c>
      <c r="BD115">
        <v>10035864</v>
      </c>
      <c r="BE115">
        <v>5784410</v>
      </c>
      <c r="BF115">
        <v>17561058</v>
      </c>
      <c r="BG115">
        <v>3807890</v>
      </c>
      <c r="BH115">
        <v>2925754</v>
      </c>
      <c r="BI115">
        <v>4348515</v>
      </c>
      <c r="BJ115">
        <v>4166273</v>
      </c>
      <c r="BK115">
        <v>119451878</v>
      </c>
      <c r="BL115">
        <v>1920481</v>
      </c>
      <c r="BM115">
        <v>64789440</v>
      </c>
      <c r="BN115">
        <v>4378755</v>
      </c>
      <c r="BO115">
        <v>5655332</v>
      </c>
      <c r="BP115">
        <v>31475527</v>
      </c>
      <c r="BQ115">
        <v>1936729</v>
      </c>
      <c r="BR115">
        <v>11385935</v>
      </c>
      <c r="BS115">
        <v>14382053</v>
      </c>
      <c r="BT115">
        <v>2471876</v>
      </c>
      <c r="BU115">
        <v>9565564</v>
      </c>
      <c r="BV115">
        <v>3187966</v>
      </c>
      <c r="BW115">
        <v>1825774</v>
      </c>
      <c r="BX115">
        <v>7316366</v>
      </c>
      <c r="BY115">
        <v>13692770</v>
      </c>
      <c r="BZ115">
        <v>638521</v>
      </c>
      <c r="CA115">
        <v>6673943</v>
      </c>
      <c r="CB115">
        <v>4960998</v>
      </c>
      <c r="CC115">
        <v>13243935</v>
      </c>
      <c r="CD115">
        <v>8511274</v>
      </c>
      <c r="CE115">
        <v>14699312</v>
      </c>
      <c r="CF115">
        <v>3955803</v>
      </c>
      <c r="CG115">
        <v>9607524</v>
      </c>
      <c r="CH115">
        <v>4224243</v>
      </c>
      <c r="CI115">
        <v>2005256</v>
      </c>
      <c r="CJ115">
        <v>19243401</v>
      </c>
      <c r="CK115">
        <v>13984769</v>
      </c>
      <c r="CL115">
        <v>1325222</v>
      </c>
      <c r="CM115" s="930">
        <v>5629523</v>
      </c>
      <c r="CN115">
        <v>425197</v>
      </c>
      <c r="CO115">
        <v>33697998</v>
      </c>
      <c r="CP115">
        <v>3623734</v>
      </c>
      <c r="CQ115">
        <v>100097736</v>
      </c>
      <c r="CR115">
        <v>4667526</v>
      </c>
      <c r="CS115">
        <v>1129128</v>
      </c>
      <c r="CT115">
        <v>5310051</v>
      </c>
      <c r="CU115">
        <v>9122691</v>
      </c>
      <c r="CV115">
        <v>6195881</v>
      </c>
      <c r="CW115">
        <v>10105343</v>
      </c>
      <c r="CX115">
        <v>1311576</v>
      </c>
      <c r="CY115">
        <v>1918713</v>
      </c>
    </row>
    <row r="116" spans="1:103" x14ac:dyDescent="0.3">
      <c r="A116">
        <v>556</v>
      </c>
      <c r="B116" t="s">
        <v>271</v>
      </c>
      <c r="D116">
        <v>13791942</v>
      </c>
      <c r="E116">
        <v>1988570</v>
      </c>
      <c r="F116">
        <v>1501175</v>
      </c>
      <c r="G116">
        <v>796374</v>
      </c>
      <c r="H116">
        <v>4112366</v>
      </c>
      <c r="I116">
        <v>1620794</v>
      </c>
      <c r="J116">
        <v>3586247</v>
      </c>
      <c r="K116">
        <v>1527144</v>
      </c>
      <c r="L116">
        <v>27138849</v>
      </c>
      <c r="M116">
        <v>4209364</v>
      </c>
      <c r="N116">
        <v>9373914</v>
      </c>
      <c r="O116">
        <v>6797190</v>
      </c>
      <c r="P116">
        <v>7860191</v>
      </c>
      <c r="Q116">
        <v>7548177</v>
      </c>
      <c r="R116">
        <v>589588</v>
      </c>
      <c r="S116">
        <v>11568032</v>
      </c>
      <c r="U116">
        <v>6627872</v>
      </c>
      <c r="V116">
        <v>3002097</v>
      </c>
      <c r="X116">
        <v>1812542</v>
      </c>
      <c r="Y116">
        <v>2433361</v>
      </c>
      <c r="Z116">
        <v>37181581</v>
      </c>
      <c r="AA116">
        <v>9603180</v>
      </c>
      <c r="AB116">
        <v>7963473</v>
      </c>
      <c r="AC116">
        <v>12015616</v>
      </c>
      <c r="AD116">
        <v>1284909</v>
      </c>
      <c r="AE116">
        <v>17947177</v>
      </c>
      <c r="AF116">
        <v>9463481</v>
      </c>
      <c r="AG116">
        <v>3763220</v>
      </c>
      <c r="AH116">
        <v>5712879</v>
      </c>
      <c r="AI116">
        <v>11055692</v>
      </c>
      <c r="AJ116">
        <v>3181255</v>
      </c>
      <c r="AK116">
        <v>24138678</v>
      </c>
      <c r="AL116">
        <v>7287306</v>
      </c>
      <c r="AM116">
        <v>10818288</v>
      </c>
      <c r="AN116">
        <v>295565</v>
      </c>
      <c r="AP116">
        <v>1759341</v>
      </c>
      <c r="AQ116">
        <v>2152523</v>
      </c>
      <c r="AR116">
        <v>22279691</v>
      </c>
      <c r="AS116">
        <v>2468444</v>
      </c>
      <c r="AT116">
        <v>18860420</v>
      </c>
      <c r="AU116">
        <v>3038409</v>
      </c>
      <c r="AV116">
        <v>6288646</v>
      </c>
      <c r="AW116">
        <v>836893</v>
      </c>
      <c r="AX116">
        <v>6054398</v>
      </c>
      <c r="AY116">
        <v>1656779</v>
      </c>
      <c r="AZ116">
        <v>5303434</v>
      </c>
      <c r="BA116">
        <v>1954492</v>
      </c>
      <c r="BB116">
        <v>19365471</v>
      </c>
      <c r="BC116">
        <v>1586516</v>
      </c>
      <c r="BD116">
        <v>2092080</v>
      </c>
      <c r="BE116">
        <v>2709687</v>
      </c>
      <c r="BF116">
        <v>4930997</v>
      </c>
      <c r="BG116">
        <v>3138960</v>
      </c>
      <c r="BH116">
        <v>3247889</v>
      </c>
      <c r="BI116">
        <v>1634252</v>
      </c>
      <c r="BJ116">
        <v>2068490</v>
      </c>
      <c r="BK116">
        <v>25086266</v>
      </c>
      <c r="BL116">
        <v>6814780</v>
      </c>
      <c r="BM116">
        <v>1450592</v>
      </c>
      <c r="BN116">
        <v>2006780</v>
      </c>
      <c r="BO116">
        <v>15904103</v>
      </c>
      <c r="BP116">
        <v>7634448</v>
      </c>
      <c r="BQ116">
        <v>8217252</v>
      </c>
      <c r="BR116">
        <v>6666238</v>
      </c>
      <c r="BS116">
        <v>4561683</v>
      </c>
      <c r="BT116">
        <v>1379721</v>
      </c>
      <c r="BU116">
        <v>1232158</v>
      </c>
      <c r="BV116">
        <v>3743418</v>
      </c>
      <c r="BW116">
        <v>7105444</v>
      </c>
      <c r="BX116">
        <v>4390708</v>
      </c>
      <c r="BY116">
        <v>7638116</v>
      </c>
      <c r="BZ116">
        <v>2004520</v>
      </c>
      <c r="CA116">
        <v>6671351</v>
      </c>
      <c r="CB116">
        <v>6581202</v>
      </c>
      <c r="CC116">
        <v>13460291</v>
      </c>
      <c r="CD116">
        <v>7648892</v>
      </c>
      <c r="CE116">
        <v>6896807</v>
      </c>
      <c r="CF116">
        <v>4151053</v>
      </c>
      <c r="CG116">
        <v>7910953</v>
      </c>
      <c r="CH116">
        <v>4811628</v>
      </c>
      <c r="CI116">
        <v>3436023</v>
      </c>
      <c r="CJ116">
        <v>3238967</v>
      </c>
      <c r="CK116">
        <v>4483355</v>
      </c>
      <c r="CL116">
        <v>1402874</v>
      </c>
      <c r="CM116" s="930">
        <v>2804306</v>
      </c>
      <c r="CN116">
        <v>953973</v>
      </c>
      <c r="CO116">
        <v>7116625</v>
      </c>
      <c r="CP116">
        <v>2173085</v>
      </c>
      <c r="CQ116">
        <v>35517325</v>
      </c>
      <c r="CR116">
        <v>2195648</v>
      </c>
      <c r="CS116">
        <v>2049109</v>
      </c>
      <c r="CT116">
        <v>1826993</v>
      </c>
      <c r="CU116">
        <v>33886338</v>
      </c>
      <c r="CV116">
        <v>18465740</v>
      </c>
      <c r="CW116">
        <v>7663803</v>
      </c>
      <c r="CX116">
        <v>2852489</v>
      </c>
      <c r="CY116">
        <v>2989704</v>
      </c>
    </row>
    <row r="117" spans="1:103" x14ac:dyDescent="0.3">
      <c r="A117">
        <v>557</v>
      </c>
      <c r="B117" t="s">
        <v>272</v>
      </c>
      <c r="D117">
        <v>11000157</v>
      </c>
      <c r="E117">
        <v>690489</v>
      </c>
      <c r="F117">
        <v>713880</v>
      </c>
      <c r="G117">
        <v>388805</v>
      </c>
      <c r="H117">
        <v>1990384</v>
      </c>
      <c r="I117">
        <v>1048534</v>
      </c>
      <c r="J117">
        <v>881613</v>
      </c>
      <c r="K117">
        <v>687547</v>
      </c>
      <c r="L117">
        <v>25514795</v>
      </c>
      <c r="M117">
        <v>1878252</v>
      </c>
      <c r="N117">
        <v>5364179</v>
      </c>
      <c r="O117">
        <v>2300000</v>
      </c>
      <c r="P117">
        <v>5872130</v>
      </c>
      <c r="Q117">
        <v>5187553</v>
      </c>
      <c r="R117">
        <v>417865</v>
      </c>
      <c r="S117">
        <v>9206776</v>
      </c>
      <c r="U117">
        <v>2117805</v>
      </c>
      <c r="V117">
        <v>1041365</v>
      </c>
      <c r="X117">
        <v>1303308</v>
      </c>
      <c r="Y117">
        <v>1229492</v>
      </c>
      <c r="Z117">
        <v>33640145</v>
      </c>
      <c r="AA117">
        <v>6839773</v>
      </c>
      <c r="AB117">
        <v>5219064</v>
      </c>
      <c r="AC117">
        <v>7009860</v>
      </c>
      <c r="AD117">
        <v>515549</v>
      </c>
      <c r="AE117">
        <v>14794305</v>
      </c>
      <c r="AF117">
        <v>4983882</v>
      </c>
      <c r="AG117">
        <v>1934485</v>
      </c>
      <c r="AH117">
        <v>2927673</v>
      </c>
      <c r="AI117">
        <v>6473867</v>
      </c>
      <c r="AJ117">
        <v>1476861</v>
      </c>
      <c r="AK117">
        <v>15840960</v>
      </c>
      <c r="AL117">
        <v>4291829</v>
      </c>
      <c r="AM117">
        <v>4933700</v>
      </c>
      <c r="AN117">
        <v>1645</v>
      </c>
      <c r="AP117">
        <v>947088</v>
      </c>
      <c r="AQ117">
        <v>1067650</v>
      </c>
      <c r="AR117">
        <v>8612647</v>
      </c>
      <c r="AS117">
        <v>1057121</v>
      </c>
      <c r="AT117">
        <v>15671224</v>
      </c>
      <c r="AU117">
        <v>1503166</v>
      </c>
      <c r="AV117">
        <v>2796499</v>
      </c>
      <c r="AW117">
        <v>379946</v>
      </c>
      <c r="AX117">
        <v>4781931</v>
      </c>
      <c r="AY117">
        <v>768997</v>
      </c>
      <c r="AZ117">
        <v>2794098</v>
      </c>
      <c r="BA117">
        <v>391607</v>
      </c>
      <c r="BB117">
        <v>15422703</v>
      </c>
      <c r="BC117">
        <v>757577</v>
      </c>
      <c r="BD117">
        <v>722039</v>
      </c>
      <c r="BE117">
        <v>1165809</v>
      </c>
      <c r="BF117">
        <v>2166959</v>
      </c>
      <c r="BG117">
        <v>1052045</v>
      </c>
      <c r="BH117">
        <v>1875633</v>
      </c>
      <c r="BI117">
        <v>834204</v>
      </c>
      <c r="BJ117">
        <v>759543</v>
      </c>
      <c r="BK117">
        <v>15162743</v>
      </c>
      <c r="BL117">
        <v>6057141</v>
      </c>
      <c r="BM117">
        <v>594883</v>
      </c>
      <c r="BN117">
        <v>1045939</v>
      </c>
      <c r="BO117">
        <v>6132238</v>
      </c>
      <c r="BP117">
        <v>3356241</v>
      </c>
      <c r="BQ117">
        <v>6975176</v>
      </c>
      <c r="BR117">
        <v>2830992</v>
      </c>
      <c r="BS117">
        <v>2395341</v>
      </c>
      <c r="BT117">
        <v>649909</v>
      </c>
      <c r="BU117">
        <v>642424</v>
      </c>
      <c r="BV117">
        <v>1518044</v>
      </c>
      <c r="BW117">
        <v>4488008</v>
      </c>
      <c r="BX117">
        <v>2636767</v>
      </c>
      <c r="BY117">
        <v>3457486</v>
      </c>
      <c r="BZ117">
        <v>754329</v>
      </c>
      <c r="CA117">
        <v>2944303</v>
      </c>
      <c r="CB117">
        <v>3720490</v>
      </c>
      <c r="CC117">
        <v>9658534</v>
      </c>
      <c r="CD117">
        <v>3472604</v>
      </c>
      <c r="CE117">
        <v>2938907</v>
      </c>
      <c r="CF117">
        <v>2032364</v>
      </c>
      <c r="CG117">
        <v>4608442</v>
      </c>
      <c r="CH117">
        <v>2704400</v>
      </c>
      <c r="CI117">
        <v>1255571</v>
      </c>
      <c r="CJ117">
        <v>1418564</v>
      </c>
      <c r="CK117">
        <v>2146700</v>
      </c>
      <c r="CL117">
        <v>555970</v>
      </c>
      <c r="CM117" s="930">
        <v>1354015</v>
      </c>
      <c r="CN117">
        <v>210796</v>
      </c>
      <c r="CO117">
        <v>3791812</v>
      </c>
      <c r="CP117">
        <v>1078465</v>
      </c>
      <c r="CQ117">
        <v>26860018</v>
      </c>
      <c r="CR117">
        <v>1064115</v>
      </c>
      <c r="CS117">
        <v>1472744</v>
      </c>
      <c r="CT117">
        <v>1055901</v>
      </c>
      <c r="CU117">
        <v>28973770</v>
      </c>
      <c r="CV117">
        <v>14370793</v>
      </c>
      <c r="CW117">
        <v>4879536</v>
      </c>
      <c r="CX117">
        <v>650623</v>
      </c>
      <c r="CY117">
        <v>2169257</v>
      </c>
    </row>
    <row r="118" spans="1:103" x14ac:dyDescent="0.3">
      <c r="A118">
        <v>575</v>
      </c>
      <c r="B118" t="s">
        <v>255</v>
      </c>
      <c r="D118">
        <v>0</v>
      </c>
      <c r="E118">
        <v>27447</v>
      </c>
      <c r="F118">
        <v>0</v>
      </c>
      <c r="G118">
        <v>0</v>
      </c>
      <c r="H118">
        <v>0</v>
      </c>
      <c r="I118">
        <v>0</v>
      </c>
      <c r="J118">
        <v>0</v>
      </c>
      <c r="K118">
        <v>0</v>
      </c>
      <c r="L118">
        <v>0</v>
      </c>
      <c r="M118">
        <v>0</v>
      </c>
      <c r="N118">
        <v>0</v>
      </c>
      <c r="O118">
        <v>0</v>
      </c>
      <c r="P118">
        <v>0</v>
      </c>
      <c r="Q118">
        <v>0</v>
      </c>
      <c r="R118">
        <v>0</v>
      </c>
      <c r="S118">
        <v>0</v>
      </c>
      <c r="U118">
        <v>0</v>
      </c>
      <c r="V118">
        <v>0</v>
      </c>
      <c r="X118">
        <v>233614</v>
      </c>
      <c r="Y118">
        <v>0</v>
      </c>
      <c r="Z118">
        <v>0</v>
      </c>
      <c r="AA118">
        <v>571632</v>
      </c>
      <c r="AB118">
        <v>0</v>
      </c>
      <c r="AC118">
        <v>5500</v>
      </c>
      <c r="AD118">
        <v>0</v>
      </c>
      <c r="AE118">
        <v>0</v>
      </c>
      <c r="AF118">
        <v>0</v>
      </c>
      <c r="AG118">
        <v>0</v>
      </c>
      <c r="AH118">
        <v>0</v>
      </c>
      <c r="AI118">
        <v>0</v>
      </c>
      <c r="AJ118">
        <v>0</v>
      </c>
      <c r="AK118">
        <v>0</v>
      </c>
      <c r="AL118">
        <v>988149</v>
      </c>
      <c r="AM118">
        <v>0</v>
      </c>
      <c r="AN118">
        <v>0</v>
      </c>
      <c r="AP118">
        <v>483129</v>
      </c>
      <c r="AQ118">
        <v>255880</v>
      </c>
      <c r="AR118">
        <v>32023439</v>
      </c>
      <c r="AS118">
        <v>0</v>
      </c>
      <c r="AT118">
        <v>0</v>
      </c>
      <c r="AU118">
        <v>0</v>
      </c>
      <c r="AV118">
        <v>0</v>
      </c>
      <c r="AW118">
        <v>99666</v>
      </c>
      <c r="AX118">
        <v>0</v>
      </c>
      <c r="AY118">
        <v>196992</v>
      </c>
      <c r="AZ118">
        <v>0</v>
      </c>
      <c r="BA118">
        <v>0</v>
      </c>
      <c r="BB118">
        <v>70449</v>
      </c>
      <c r="BC118">
        <v>0</v>
      </c>
      <c r="BD118">
        <v>0</v>
      </c>
      <c r="BE118">
        <v>0</v>
      </c>
      <c r="BF118">
        <v>0</v>
      </c>
      <c r="BG118">
        <v>0</v>
      </c>
      <c r="BH118">
        <v>0</v>
      </c>
      <c r="BI118">
        <v>1643354</v>
      </c>
      <c r="BJ118">
        <v>839598</v>
      </c>
      <c r="BK118">
        <v>0</v>
      </c>
      <c r="BL118">
        <v>0</v>
      </c>
      <c r="BM118">
        <v>0</v>
      </c>
      <c r="BN118">
        <v>0</v>
      </c>
      <c r="BO118">
        <v>241427</v>
      </c>
      <c r="BP118">
        <v>0</v>
      </c>
      <c r="BQ118">
        <v>0</v>
      </c>
      <c r="BR118">
        <v>3380</v>
      </c>
      <c r="BS118">
        <v>0</v>
      </c>
      <c r="BT118">
        <v>0</v>
      </c>
      <c r="BU118">
        <v>0</v>
      </c>
      <c r="BV118">
        <v>98690</v>
      </c>
      <c r="BW118">
        <v>0</v>
      </c>
      <c r="BX118">
        <v>0</v>
      </c>
      <c r="BY118">
        <v>0</v>
      </c>
      <c r="BZ118">
        <v>0</v>
      </c>
      <c r="CA118">
        <v>0</v>
      </c>
      <c r="CB118">
        <v>0</v>
      </c>
      <c r="CC118">
        <v>0</v>
      </c>
      <c r="CD118">
        <v>343621</v>
      </c>
      <c r="CE118">
        <v>942493</v>
      </c>
      <c r="CF118">
        <v>0</v>
      </c>
      <c r="CG118">
        <v>0</v>
      </c>
      <c r="CH118">
        <v>0</v>
      </c>
      <c r="CI118">
        <v>261630</v>
      </c>
      <c r="CJ118">
        <v>0</v>
      </c>
      <c r="CK118">
        <v>1950724</v>
      </c>
      <c r="CL118">
        <v>373142</v>
      </c>
      <c r="CM118">
        <v>56996</v>
      </c>
      <c r="CN118">
        <v>2000</v>
      </c>
      <c r="CO118">
        <v>0</v>
      </c>
      <c r="CP118">
        <v>0</v>
      </c>
      <c r="CQ118">
        <v>0</v>
      </c>
      <c r="CR118">
        <v>0</v>
      </c>
      <c r="CS118">
        <v>165145</v>
      </c>
      <c r="CT118">
        <v>0</v>
      </c>
      <c r="CU118">
        <v>467298</v>
      </c>
      <c r="CV118">
        <v>400000</v>
      </c>
      <c r="CW118">
        <v>0</v>
      </c>
      <c r="CX118">
        <v>0</v>
      </c>
      <c r="CY118">
        <v>606470</v>
      </c>
    </row>
    <row r="119" spans="1:103" x14ac:dyDescent="0.3">
      <c r="A119">
        <v>576</v>
      </c>
      <c r="B119" t="s">
        <v>256</v>
      </c>
      <c r="D119">
        <v>0</v>
      </c>
      <c r="E119">
        <v>0</v>
      </c>
      <c r="F119">
        <v>0</v>
      </c>
      <c r="G119">
        <v>0</v>
      </c>
      <c r="H119">
        <v>0</v>
      </c>
      <c r="I119">
        <v>0</v>
      </c>
      <c r="J119">
        <v>0</v>
      </c>
      <c r="K119">
        <v>0</v>
      </c>
      <c r="L119">
        <v>0</v>
      </c>
      <c r="M119">
        <v>0</v>
      </c>
      <c r="N119">
        <v>0</v>
      </c>
      <c r="O119">
        <v>0</v>
      </c>
      <c r="P119">
        <v>0</v>
      </c>
      <c r="Q119">
        <v>0</v>
      </c>
      <c r="R119">
        <v>0</v>
      </c>
      <c r="S119">
        <v>0</v>
      </c>
      <c r="U119">
        <v>0</v>
      </c>
      <c r="V119">
        <v>0</v>
      </c>
      <c r="X119">
        <v>0</v>
      </c>
      <c r="Y119">
        <v>0</v>
      </c>
      <c r="Z119">
        <v>0</v>
      </c>
      <c r="AA119">
        <v>0</v>
      </c>
      <c r="AB119">
        <v>0</v>
      </c>
      <c r="AC119">
        <v>0</v>
      </c>
      <c r="AD119">
        <v>0</v>
      </c>
      <c r="AE119">
        <v>491356</v>
      </c>
      <c r="AF119">
        <v>0</v>
      </c>
      <c r="AG119">
        <v>0</v>
      </c>
      <c r="AH119">
        <v>0</v>
      </c>
      <c r="AI119">
        <v>0</v>
      </c>
      <c r="AJ119">
        <v>0</v>
      </c>
      <c r="AK119">
        <v>0</v>
      </c>
      <c r="AL119">
        <v>0</v>
      </c>
      <c r="AM119">
        <v>0</v>
      </c>
      <c r="AN119">
        <v>0</v>
      </c>
      <c r="AP119">
        <v>0</v>
      </c>
      <c r="AQ119">
        <v>0</v>
      </c>
      <c r="AR119">
        <v>0</v>
      </c>
      <c r="AS119">
        <v>0</v>
      </c>
      <c r="AT119">
        <v>2842811</v>
      </c>
      <c r="AU119">
        <v>0</v>
      </c>
      <c r="AV119">
        <v>0</v>
      </c>
      <c r="AW119">
        <v>0</v>
      </c>
      <c r="AX119">
        <v>0</v>
      </c>
      <c r="AY119">
        <v>0</v>
      </c>
      <c r="AZ119">
        <v>0</v>
      </c>
      <c r="BA119">
        <v>0</v>
      </c>
      <c r="BB119">
        <v>0</v>
      </c>
      <c r="BC119">
        <v>0</v>
      </c>
      <c r="BD119">
        <v>0</v>
      </c>
      <c r="BE119">
        <v>0</v>
      </c>
      <c r="BF119">
        <v>0</v>
      </c>
      <c r="BG119">
        <v>0</v>
      </c>
      <c r="BH119">
        <v>2032502</v>
      </c>
      <c r="BI119">
        <v>0</v>
      </c>
      <c r="BJ119">
        <v>0</v>
      </c>
      <c r="BK119">
        <v>83879</v>
      </c>
      <c r="BL119">
        <v>0</v>
      </c>
      <c r="BM119">
        <v>0</v>
      </c>
      <c r="BN119">
        <v>0</v>
      </c>
      <c r="BO119">
        <v>0</v>
      </c>
      <c r="BP119">
        <v>0</v>
      </c>
      <c r="BQ119">
        <v>0</v>
      </c>
      <c r="BR119">
        <v>0</v>
      </c>
      <c r="BS119">
        <v>0</v>
      </c>
      <c r="BT119">
        <v>0</v>
      </c>
      <c r="BU119">
        <v>0</v>
      </c>
      <c r="BV119">
        <v>0</v>
      </c>
      <c r="BW119">
        <v>0</v>
      </c>
      <c r="BX119">
        <v>0</v>
      </c>
      <c r="BY119">
        <v>0</v>
      </c>
      <c r="BZ119">
        <v>0</v>
      </c>
      <c r="CA119">
        <v>0</v>
      </c>
      <c r="CB119">
        <v>0</v>
      </c>
      <c r="CC119">
        <v>482386</v>
      </c>
      <c r="CD119">
        <v>0</v>
      </c>
      <c r="CE119">
        <v>0</v>
      </c>
      <c r="CF119">
        <v>0</v>
      </c>
      <c r="CG119">
        <v>0</v>
      </c>
      <c r="CH119">
        <v>0</v>
      </c>
      <c r="CI119">
        <v>0</v>
      </c>
      <c r="CJ119">
        <v>0</v>
      </c>
      <c r="CK119">
        <v>0</v>
      </c>
      <c r="CL119">
        <v>0</v>
      </c>
      <c r="CM119">
        <v>0</v>
      </c>
      <c r="CN119">
        <v>2000</v>
      </c>
      <c r="CO119">
        <v>58482</v>
      </c>
      <c r="CP119">
        <v>0</v>
      </c>
      <c r="CQ119">
        <v>0</v>
      </c>
      <c r="CR119">
        <v>29777</v>
      </c>
      <c r="CS119">
        <v>0</v>
      </c>
      <c r="CT119">
        <v>0</v>
      </c>
      <c r="CU119">
        <v>0</v>
      </c>
      <c r="CV119">
        <v>0</v>
      </c>
      <c r="CW119">
        <v>176162</v>
      </c>
      <c r="CX119">
        <v>0</v>
      </c>
      <c r="CY119">
        <v>0</v>
      </c>
    </row>
    <row r="120" spans="1:103" x14ac:dyDescent="0.3">
      <c r="A120">
        <v>577</v>
      </c>
      <c r="B120" t="s">
        <v>617</v>
      </c>
      <c r="D120">
        <v>2</v>
      </c>
      <c r="E120">
        <v>2</v>
      </c>
      <c r="F120">
        <v>2</v>
      </c>
      <c r="G120">
        <v>2</v>
      </c>
      <c r="H120">
        <v>2</v>
      </c>
      <c r="I120">
        <v>2</v>
      </c>
      <c r="J120">
        <v>2</v>
      </c>
      <c r="K120">
        <v>2</v>
      </c>
      <c r="L120">
        <v>1</v>
      </c>
      <c r="M120">
        <v>1</v>
      </c>
      <c r="N120">
        <v>2</v>
      </c>
      <c r="O120">
        <v>2</v>
      </c>
      <c r="P120">
        <v>2</v>
      </c>
      <c r="Q120">
        <v>2</v>
      </c>
      <c r="R120">
        <v>2</v>
      </c>
      <c r="S120">
        <v>2</v>
      </c>
      <c r="U120">
        <v>0</v>
      </c>
      <c r="V120">
        <v>2</v>
      </c>
      <c r="X120">
        <v>2</v>
      </c>
      <c r="Y120">
        <v>2</v>
      </c>
      <c r="Z120">
        <v>2</v>
      </c>
      <c r="AA120">
        <v>2</v>
      </c>
      <c r="AB120">
        <v>2</v>
      </c>
      <c r="AC120">
        <v>2</v>
      </c>
      <c r="AD120">
        <v>2</v>
      </c>
      <c r="AE120">
        <v>2</v>
      </c>
      <c r="AF120">
        <v>2</v>
      </c>
      <c r="AG120">
        <v>2</v>
      </c>
      <c r="AH120">
        <v>2</v>
      </c>
      <c r="AI120">
        <v>0</v>
      </c>
      <c r="AJ120">
        <v>2</v>
      </c>
      <c r="AK120">
        <v>1</v>
      </c>
      <c r="AL120">
        <v>1</v>
      </c>
      <c r="AM120">
        <v>2</v>
      </c>
      <c r="AN120">
        <v>2</v>
      </c>
      <c r="AP120">
        <v>2</v>
      </c>
      <c r="AQ120">
        <v>2</v>
      </c>
      <c r="AR120">
        <v>2</v>
      </c>
      <c r="AS120">
        <v>2</v>
      </c>
      <c r="AT120">
        <v>2</v>
      </c>
      <c r="AU120">
        <v>2</v>
      </c>
      <c r="AV120">
        <v>2</v>
      </c>
      <c r="AW120">
        <v>2</v>
      </c>
      <c r="AX120">
        <v>2</v>
      </c>
      <c r="AY120">
        <v>2</v>
      </c>
      <c r="AZ120">
        <v>2</v>
      </c>
      <c r="BA120">
        <v>2</v>
      </c>
      <c r="BB120">
        <v>2</v>
      </c>
      <c r="BC120">
        <v>2</v>
      </c>
      <c r="BD120">
        <v>2</v>
      </c>
      <c r="BE120">
        <v>2</v>
      </c>
      <c r="BF120">
        <v>2</v>
      </c>
      <c r="BG120">
        <v>2</v>
      </c>
      <c r="BH120">
        <v>2</v>
      </c>
      <c r="BI120">
        <v>2</v>
      </c>
      <c r="BJ120">
        <v>2</v>
      </c>
      <c r="BK120">
        <v>1</v>
      </c>
      <c r="BL120">
        <v>2</v>
      </c>
      <c r="BM120">
        <v>2</v>
      </c>
      <c r="BN120">
        <v>2</v>
      </c>
      <c r="BO120">
        <v>2</v>
      </c>
      <c r="BP120">
        <v>2</v>
      </c>
      <c r="BQ120">
        <v>2</v>
      </c>
      <c r="BR120">
        <v>2</v>
      </c>
      <c r="BS120">
        <v>2</v>
      </c>
      <c r="BT120">
        <v>2</v>
      </c>
      <c r="BU120">
        <v>2</v>
      </c>
      <c r="BV120">
        <v>2</v>
      </c>
      <c r="BW120">
        <v>2</v>
      </c>
      <c r="BX120">
        <v>2</v>
      </c>
      <c r="BY120">
        <v>2</v>
      </c>
      <c r="BZ120">
        <v>2</v>
      </c>
      <c r="CA120">
        <v>2</v>
      </c>
      <c r="CB120">
        <v>2</v>
      </c>
      <c r="CC120">
        <v>2</v>
      </c>
      <c r="CD120">
        <v>2</v>
      </c>
      <c r="CE120">
        <v>2</v>
      </c>
      <c r="CF120">
        <v>1</v>
      </c>
      <c r="CG120">
        <v>2</v>
      </c>
      <c r="CH120">
        <v>2</v>
      </c>
      <c r="CI120">
        <v>0</v>
      </c>
      <c r="CJ120">
        <v>2</v>
      </c>
      <c r="CK120">
        <v>2</v>
      </c>
      <c r="CL120">
        <v>2</v>
      </c>
      <c r="CM120">
        <v>2</v>
      </c>
      <c r="CN120">
        <v>2</v>
      </c>
      <c r="CO120">
        <v>1</v>
      </c>
      <c r="CP120">
        <v>2</v>
      </c>
      <c r="CQ120">
        <v>1</v>
      </c>
      <c r="CR120">
        <v>2</v>
      </c>
      <c r="CS120">
        <v>1</v>
      </c>
      <c r="CT120">
        <v>2</v>
      </c>
      <c r="CU120">
        <v>2</v>
      </c>
      <c r="CV120">
        <v>2</v>
      </c>
      <c r="CW120">
        <v>2</v>
      </c>
      <c r="CX120">
        <v>2</v>
      </c>
      <c r="CY120">
        <v>2</v>
      </c>
    </row>
    <row r="121" spans="1:103" x14ac:dyDescent="0.3">
      <c r="A121">
        <v>578</v>
      </c>
      <c r="B121" t="s">
        <v>618</v>
      </c>
      <c r="D121">
        <v>0</v>
      </c>
      <c r="E121">
        <v>0</v>
      </c>
      <c r="F121">
        <v>0</v>
      </c>
      <c r="G121">
        <v>0</v>
      </c>
      <c r="H121">
        <v>0</v>
      </c>
      <c r="I121">
        <v>0</v>
      </c>
      <c r="J121">
        <v>0</v>
      </c>
      <c r="K121">
        <v>0</v>
      </c>
      <c r="L121">
        <v>0</v>
      </c>
      <c r="M121">
        <v>0</v>
      </c>
      <c r="N121">
        <v>0</v>
      </c>
      <c r="O121">
        <v>0</v>
      </c>
      <c r="P121">
        <v>0</v>
      </c>
      <c r="Q121">
        <v>0</v>
      </c>
      <c r="R121">
        <v>0</v>
      </c>
      <c r="S121">
        <v>0</v>
      </c>
      <c r="U121">
        <v>0</v>
      </c>
      <c r="V121">
        <v>0</v>
      </c>
      <c r="X121">
        <v>0</v>
      </c>
      <c r="Y121">
        <v>0</v>
      </c>
      <c r="Z121">
        <v>0</v>
      </c>
      <c r="AA121">
        <v>0</v>
      </c>
      <c r="AB121">
        <v>0</v>
      </c>
      <c r="AC121">
        <v>0</v>
      </c>
      <c r="AD121">
        <v>0</v>
      </c>
      <c r="AE121">
        <v>0</v>
      </c>
      <c r="AF121">
        <v>0</v>
      </c>
      <c r="AG121">
        <v>0</v>
      </c>
      <c r="AH121">
        <v>0</v>
      </c>
      <c r="AI121">
        <v>0</v>
      </c>
      <c r="AJ121">
        <v>0</v>
      </c>
      <c r="AK121">
        <v>0</v>
      </c>
      <c r="AL121">
        <v>0</v>
      </c>
      <c r="AM121">
        <v>0</v>
      </c>
      <c r="AN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row>
    <row r="122" spans="1:103" x14ac:dyDescent="0.3">
      <c r="A122">
        <v>579</v>
      </c>
      <c r="B122" t="s">
        <v>619</v>
      </c>
      <c r="D122">
        <v>0</v>
      </c>
      <c r="E122">
        <v>0</v>
      </c>
      <c r="F122">
        <v>0</v>
      </c>
      <c r="G122">
        <v>0</v>
      </c>
      <c r="H122">
        <v>0</v>
      </c>
      <c r="I122">
        <v>0</v>
      </c>
      <c r="J122">
        <v>0</v>
      </c>
      <c r="K122">
        <v>0</v>
      </c>
      <c r="L122">
        <v>0</v>
      </c>
      <c r="M122">
        <v>0</v>
      </c>
      <c r="N122">
        <v>0</v>
      </c>
      <c r="O122">
        <v>0</v>
      </c>
      <c r="P122">
        <v>0</v>
      </c>
      <c r="Q122">
        <v>0</v>
      </c>
      <c r="R122">
        <v>0</v>
      </c>
      <c r="S122">
        <v>0</v>
      </c>
      <c r="U122">
        <v>0</v>
      </c>
      <c r="V122">
        <v>0</v>
      </c>
      <c r="X122">
        <v>0</v>
      </c>
      <c r="Y122">
        <v>0</v>
      </c>
      <c r="Z122">
        <v>0</v>
      </c>
      <c r="AA122">
        <v>0</v>
      </c>
      <c r="AB122">
        <v>0</v>
      </c>
      <c r="AC122">
        <v>0</v>
      </c>
      <c r="AD122">
        <v>0</v>
      </c>
      <c r="AE122">
        <v>0</v>
      </c>
      <c r="AF122">
        <v>0</v>
      </c>
      <c r="AG122">
        <v>0</v>
      </c>
      <c r="AH122">
        <v>0</v>
      </c>
      <c r="AI122">
        <v>0</v>
      </c>
      <c r="AJ122">
        <v>0</v>
      </c>
      <c r="AK122">
        <v>0</v>
      </c>
      <c r="AL122">
        <v>0</v>
      </c>
      <c r="AM122">
        <v>0</v>
      </c>
      <c r="AN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9660000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row>
    <row r="123" spans="1:103" x14ac:dyDescent="0.3">
      <c r="A123">
        <v>585</v>
      </c>
      <c r="B123" t="s">
        <v>620</v>
      </c>
      <c r="D123">
        <v>0</v>
      </c>
      <c r="E123">
        <v>0</v>
      </c>
      <c r="F123">
        <v>0</v>
      </c>
      <c r="G123">
        <v>0</v>
      </c>
      <c r="H123">
        <v>6088</v>
      </c>
      <c r="I123">
        <v>38737</v>
      </c>
      <c r="J123">
        <v>0</v>
      </c>
      <c r="K123">
        <v>0</v>
      </c>
      <c r="L123">
        <v>0</v>
      </c>
      <c r="M123">
        <v>0</v>
      </c>
      <c r="N123">
        <v>21881</v>
      </c>
      <c r="O123">
        <v>59586</v>
      </c>
      <c r="P123">
        <v>0</v>
      </c>
      <c r="Q123">
        <v>0</v>
      </c>
      <c r="R123">
        <v>0</v>
      </c>
      <c r="S123">
        <v>0</v>
      </c>
      <c r="U123">
        <v>0</v>
      </c>
      <c r="V123">
        <v>0</v>
      </c>
      <c r="X123">
        <v>0</v>
      </c>
      <c r="Y123">
        <v>88251</v>
      </c>
      <c r="Z123">
        <v>0</v>
      </c>
      <c r="AA123">
        <v>0</v>
      </c>
      <c r="AB123">
        <v>0</v>
      </c>
      <c r="AC123">
        <v>0</v>
      </c>
      <c r="AD123">
        <v>0</v>
      </c>
      <c r="AE123">
        <v>0</v>
      </c>
      <c r="AF123">
        <v>4189</v>
      </c>
      <c r="AG123">
        <v>0</v>
      </c>
      <c r="AH123">
        <v>0</v>
      </c>
      <c r="AI123">
        <v>0</v>
      </c>
      <c r="AJ123">
        <v>0</v>
      </c>
      <c r="AK123">
        <v>0</v>
      </c>
      <c r="AL123">
        <v>0</v>
      </c>
      <c r="AM123">
        <v>0</v>
      </c>
      <c r="AN123">
        <v>0</v>
      </c>
      <c r="AP123">
        <v>0</v>
      </c>
      <c r="AQ123">
        <v>0</v>
      </c>
      <c r="AR123">
        <v>0</v>
      </c>
      <c r="AS123">
        <v>0</v>
      </c>
      <c r="AT123">
        <v>0</v>
      </c>
      <c r="AU123">
        <v>0</v>
      </c>
      <c r="AV123">
        <v>0</v>
      </c>
      <c r="AW123">
        <v>0</v>
      </c>
      <c r="AX123">
        <v>0</v>
      </c>
      <c r="AY123">
        <v>0</v>
      </c>
      <c r="AZ123">
        <v>0</v>
      </c>
      <c r="BA123">
        <v>141928</v>
      </c>
      <c r="BB123">
        <v>0</v>
      </c>
      <c r="BC123">
        <v>40595</v>
      </c>
      <c r="BD123">
        <v>0</v>
      </c>
      <c r="BE123">
        <v>0</v>
      </c>
      <c r="BF123">
        <v>0</v>
      </c>
      <c r="BG123">
        <v>134515</v>
      </c>
      <c r="BH123">
        <v>0</v>
      </c>
      <c r="BI123">
        <v>0</v>
      </c>
      <c r="BJ123">
        <v>91189</v>
      </c>
      <c r="BK123">
        <v>0</v>
      </c>
      <c r="BL123">
        <v>23700</v>
      </c>
      <c r="BM123">
        <v>51941</v>
      </c>
      <c r="BN123">
        <v>0</v>
      </c>
      <c r="BO123">
        <v>0</v>
      </c>
      <c r="BP123">
        <v>0</v>
      </c>
      <c r="BQ123">
        <v>0</v>
      </c>
      <c r="BR123">
        <v>0</v>
      </c>
      <c r="BS123">
        <v>0</v>
      </c>
      <c r="BT123">
        <v>0</v>
      </c>
      <c r="BU123">
        <v>0</v>
      </c>
      <c r="BV123">
        <v>0</v>
      </c>
      <c r="BW123">
        <v>0</v>
      </c>
      <c r="BX123">
        <v>0</v>
      </c>
      <c r="BY123">
        <v>0</v>
      </c>
      <c r="BZ123">
        <v>0</v>
      </c>
      <c r="CA123">
        <v>13015</v>
      </c>
      <c r="CB123">
        <v>0</v>
      </c>
      <c r="CC123">
        <v>0</v>
      </c>
      <c r="CD123">
        <v>0</v>
      </c>
      <c r="CE123">
        <v>0</v>
      </c>
      <c r="CF123">
        <v>0</v>
      </c>
      <c r="CG123">
        <v>0</v>
      </c>
      <c r="CH123">
        <v>0</v>
      </c>
      <c r="CI123">
        <v>0</v>
      </c>
      <c r="CJ123">
        <v>0</v>
      </c>
      <c r="CK123">
        <v>0</v>
      </c>
      <c r="CL123">
        <v>18618</v>
      </c>
      <c r="CM123">
        <v>78044</v>
      </c>
      <c r="CN123">
        <v>0</v>
      </c>
      <c r="CO123">
        <v>0</v>
      </c>
      <c r="CP123">
        <v>0</v>
      </c>
      <c r="CQ123">
        <v>0</v>
      </c>
      <c r="CR123">
        <v>0</v>
      </c>
      <c r="CS123">
        <v>0</v>
      </c>
      <c r="CT123">
        <v>445</v>
      </c>
      <c r="CU123">
        <v>0</v>
      </c>
      <c r="CV123">
        <v>0</v>
      </c>
      <c r="CW123">
        <v>0</v>
      </c>
      <c r="CX123">
        <v>0</v>
      </c>
      <c r="CY123">
        <v>52546</v>
      </c>
    </row>
    <row r="124" spans="1:103" x14ac:dyDescent="0.3">
      <c r="A124">
        <v>586</v>
      </c>
      <c r="B124" t="s">
        <v>621</v>
      </c>
      <c r="D124">
        <v>0</v>
      </c>
      <c r="E124">
        <v>0</v>
      </c>
      <c r="F124">
        <v>0</v>
      </c>
      <c r="G124">
        <v>0</v>
      </c>
      <c r="H124">
        <v>0</v>
      </c>
      <c r="I124">
        <v>0</v>
      </c>
      <c r="J124">
        <v>0</v>
      </c>
      <c r="K124">
        <v>0</v>
      </c>
      <c r="L124">
        <v>0</v>
      </c>
      <c r="M124">
        <v>0</v>
      </c>
      <c r="N124">
        <v>0</v>
      </c>
      <c r="O124">
        <v>0</v>
      </c>
      <c r="P124">
        <v>0</v>
      </c>
      <c r="Q124">
        <v>0</v>
      </c>
      <c r="R124">
        <v>0</v>
      </c>
      <c r="S124">
        <v>0</v>
      </c>
      <c r="U124">
        <v>0</v>
      </c>
      <c r="V124">
        <v>0</v>
      </c>
      <c r="X124">
        <v>0</v>
      </c>
      <c r="Y124">
        <v>0</v>
      </c>
      <c r="Z124">
        <v>0</v>
      </c>
      <c r="AA124">
        <v>0</v>
      </c>
      <c r="AB124">
        <v>0</v>
      </c>
      <c r="AC124">
        <v>0</v>
      </c>
      <c r="AD124">
        <v>0</v>
      </c>
      <c r="AE124">
        <v>0</v>
      </c>
      <c r="AF124">
        <v>0</v>
      </c>
      <c r="AG124">
        <v>0</v>
      </c>
      <c r="AH124">
        <v>0</v>
      </c>
      <c r="AI124">
        <v>0</v>
      </c>
      <c r="AJ124">
        <v>0</v>
      </c>
      <c r="AK124">
        <v>0</v>
      </c>
      <c r="AL124">
        <v>0</v>
      </c>
      <c r="AM124">
        <v>0</v>
      </c>
      <c r="AN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2073896</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373142</v>
      </c>
      <c r="CM124">
        <v>0</v>
      </c>
      <c r="CN124">
        <v>0</v>
      </c>
      <c r="CO124">
        <v>0</v>
      </c>
      <c r="CP124">
        <v>0</v>
      </c>
      <c r="CQ124">
        <v>0</v>
      </c>
      <c r="CR124">
        <v>0</v>
      </c>
      <c r="CS124">
        <v>0</v>
      </c>
      <c r="CT124">
        <v>0</v>
      </c>
      <c r="CU124">
        <v>467298</v>
      </c>
      <c r="CV124">
        <v>0</v>
      </c>
      <c r="CW124">
        <v>0</v>
      </c>
      <c r="CX124">
        <v>0</v>
      </c>
      <c r="CY124">
        <v>0</v>
      </c>
    </row>
    <row r="125" spans="1:103" x14ac:dyDescent="0.3">
      <c r="A125">
        <v>589</v>
      </c>
      <c r="B125" t="s">
        <v>622</v>
      </c>
      <c r="D125">
        <v>0</v>
      </c>
      <c r="E125">
        <v>0</v>
      </c>
      <c r="F125">
        <v>0</v>
      </c>
      <c r="G125">
        <v>0</v>
      </c>
      <c r="H125">
        <v>0</v>
      </c>
      <c r="I125">
        <v>0</v>
      </c>
      <c r="J125">
        <v>0</v>
      </c>
      <c r="K125">
        <v>0</v>
      </c>
      <c r="L125">
        <v>0</v>
      </c>
      <c r="M125">
        <v>0</v>
      </c>
      <c r="N125">
        <v>0</v>
      </c>
      <c r="O125">
        <v>0</v>
      </c>
      <c r="P125">
        <v>0</v>
      </c>
      <c r="Q125">
        <v>0</v>
      </c>
      <c r="R125">
        <v>0</v>
      </c>
      <c r="S125">
        <v>0</v>
      </c>
      <c r="U125">
        <v>0</v>
      </c>
      <c r="V125">
        <v>0</v>
      </c>
      <c r="X125">
        <v>0</v>
      </c>
      <c r="Y125">
        <v>0</v>
      </c>
      <c r="Z125">
        <v>0</v>
      </c>
      <c r="AA125">
        <v>0</v>
      </c>
      <c r="AB125">
        <v>0</v>
      </c>
      <c r="AC125">
        <v>0</v>
      </c>
      <c r="AD125">
        <v>0</v>
      </c>
      <c r="AE125">
        <v>0</v>
      </c>
      <c r="AF125">
        <v>0</v>
      </c>
      <c r="AG125">
        <v>0</v>
      </c>
      <c r="AH125">
        <v>0</v>
      </c>
      <c r="AI125">
        <v>0</v>
      </c>
      <c r="AJ125">
        <v>0</v>
      </c>
      <c r="AK125">
        <v>0</v>
      </c>
      <c r="AL125">
        <v>0</v>
      </c>
      <c r="AM125">
        <v>0</v>
      </c>
      <c r="AN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0</v>
      </c>
    </row>
    <row r="126" spans="1:103" x14ac:dyDescent="0.3">
      <c r="A126">
        <v>590</v>
      </c>
      <c r="B126" t="s">
        <v>1345</v>
      </c>
      <c r="D126" t="s">
        <v>1788</v>
      </c>
      <c r="E126" t="s">
        <v>1788</v>
      </c>
      <c r="F126" t="s">
        <v>1788</v>
      </c>
      <c r="G126" t="s">
        <v>1788</v>
      </c>
      <c r="H126" t="s">
        <v>1788</v>
      </c>
      <c r="I126" t="s">
        <v>1788</v>
      </c>
      <c r="J126" t="s">
        <v>1788</v>
      </c>
      <c r="K126" t="s">
        <v>1788</v>
      </c>
      <c r="L126" t="s">
        <v>1789</v>
      </c>
      <c r="M126" t="s">
        <v>1788</v>
      </c>
      <c r="N126" t="s">
        <v>1788</v>
      </c>
      <c r="O126" t="s">
        <v>1790</v>
      </c>
      <c r="P126" t="s">
        <v>1788</v>
      </c>
      <c r="Q126" t="s">
        <v>1788</v>
      </c>
      <c r="S126" t="s">
        <v>1788</v>
      </c>
      <c r="U126" t="s">
        <v>1788</v>
      </c>
      <c r="V126" t="s">
        <v>1788</v>
      </c>
      <c r="X126" t="s">
        <v>1788</v>
      </c>
      <c r="Y126" t="s">
        <v>1788</v>
      </c>
      <c r="Z126" t="s">
        <v>1788</v>
      </c>
      <c r="AA126" t="s">
        <v>1788</v>
      </c>
      <c r="AB126" t="s">
        <v>1788</v>
      </c>
      <c r="AC126" t="s">
        <v>1788</v>
      </c>
      <c r="AD126" t="s">
        <v>1788</v>
      </c>
      <c r="AE126" t="s">
        <v>1788</v>
      </c>
      <c r="AF126" t="s">
        <v>1788</v>
      </c>
      <c r="AG126" t="s">
        <v>1788</v>
      </c>
      <c r="AH126" t="s">
        <v>1788</v>
      </c>
      <c r="AI126" t="s">
        <v>1788</v>
      </c>
      <c r="AJ126" t="s">
        <v>1788</v>
      </c>
      <c r="AK126" t="s">
        <v>1788</v>
      </c>
      <c r="AL126" t="s">
        <v>1788</v>
      </c>
      <c r="AM126" t="s">
        <v>1788</v>
      </c>
      <c r="AN126" t="s">
        <v>1788</v>
      </c>
      <c r="AP126" t="s">
        <v>1791</v>
      </c>
      <c r="AQ126" t="s">
        <v>1788</v>
      </c>
      <c r="AR126" t="s">
        <v>1788</v>
      </c>
      <c r="AS126" t="s">
        <v>1788</v>
      </c>
      <c r="AT126" t="s">
        <v>1788</v>
      </c>
      <c r="AU126" t="s">
        <v>1788</v>
      </c>
      <c r="AV126" t="s">
        <v>1788</v>
      </c>
      <c r="AW126" t="s">
        <v>1788</v>
      </c>
      <c r="AX126" t="s">
        <v>1788</v>
      </c>
      <c r="AY126" t="s">
        <v>1788</v>
      </c>
      <c r="AZ126" t="s">
        <v>1788</v>
      </c>
      <c r="BA126" t="s">
        <v>1788</v>
      </c>
      <c r="BB126" t="s">
        <v>1788</v>
      </c>
      <c r="BC126" t="s">
        <v>1788</v>
      </c>
      <c r="BD126" t="s">
        <v>1792</v>
      </c>
      <c r="BE126" t="s">
        <v>1788</v>
      </c>
      <c r="BF126" t="s">
        <v>1788</v>
      </c>
      <c r="BG126" t="s">
        <v>1788</v>
      </c>
      <c r="BH126" t="s">
        <v>1788</v>
      </c>
      <c r="BI126" t="s">
        <v>1788</v>
      </c>
      <c r="BJ126" t="s">
        <v>1788</v>
      </c>
      <c r="BK126" t="s">
        <v>1788</v>
      </c>
      <c r="BL126" t="s">
        <v>1788</v>
      </c>
      <c r="BM126" t="s">
        <v>1788</v>
      </c>
      <c r="BN126" t="s">
        <v>1793</v>
      </c>
      <c r="BO126" t="s">
        <v>1793</v>
      </c>
      <c r="BP126" t="s">
        <v>1793</v>
      </c>
      <c r="BQ126" t="s">
        <v>1788</v>
      </c>
      <c r="BR126" t="s">
        <v>1788</v>
      </c>
      <c r="BS126" t="s">
        <v>1793</v>
      </c>
      <c r="BT126" t="s">
        <v>1788</v>
      </c>
      <c r="BU126" t="s">
        <v>1788</v>
      </c>
      <c r="BV126" t="s">
        <v>1788</v>
      </c>
      <c r="BW126" t="s">
        <v>1788</v>
      </c>
      <c r="BX126" t="s">
        <v>1788</v>
      </c>
      <c r="BY126" t="s">
        <v>1788</v>
      </c>
      <c r="BZ126" t="s">
        <v>1788</v>
      </c>
      <c r="CA126" t="s">
        <v>1788</v>
      </c>
      <c r="CB126" t="s">
        <v>1788</v>
      </c>
      <c r="CC126" t="s">
        <v>1788</v>
      </c>
      <c r="CD126" t="s">
        <v>1788</v>
      </c>
      <c r="CE126" t="s">
        <v>1788</v>
      </c>
      <c r="CF126" t="s">
        <v>1793</v>
      </c>
      <c r="CG126" t="s">
        <v>1788</v>
      </c>
      <c r="CH126" t="s">
        <v>1794</v>
      </c>
      <c r="CI126" t="s">
        <v>1788</v>
      </c>
      <c r="CJ126" t="s">
        <v>1788</v>
      </c>
      <c r="CL126" t="s">
        <v>1795</v>
      </c>
      <c r="CM126" t="s">
        <v>1788</v>
      </c>
      <c r="CN126" t="s">
        <v>1789</v>
      </c>
      <c r="CO126" t="s">
        <v>1788</v>
      </c>
      <c r="CP126" t="s">
        <v>1788</v>
      </c>
      <c r="CQ126" t="s">
        <v>1788</v>
      </c>
      <c r="CR126" t="s">
        <v>1788</v>
      </c>
      <c r="CS126" t="s">
        <v>1788</v>
      </c>
      <c r="CT126" t="s">
        <v>1788</v>
      </c>
      <c r="CU126" t="s">
        <v>1788</v>
      </c>
      <c r="CV126" t="s">
        <v>1788</v>
      </c>
      <c r="CW126" t="s">
        <v>1793</v>
      </c>
      <c r="CX126" t="s">
        <v>1796</v>
      </c>
      <c r="CY126" t="s">
        <v>1788</v>
      </c>
    </row>
    <row r="127" spans="1:103" x14ac:dyDescent="0.3">
      <c r="A127">
        <v>591</v>
      </c>
      <c r="B127" t="s">
        <v>278</v>
      </c>
      <c r="D127">
        <v>6011179</v>
      </c>
      <c r="E127">
        <v>6646700</v>
      </c>
      <c r="F127">
        <v>1256389</v>
      </c>
      <c r="G127">
        <v>9962401</v>
      </c>
      <c r="H127">
        <v>3276485</v>
      </c>
      <c r="I127">
        <v>0</v>
      </c>
      <c r="J127">
        <v>12063542</v>
      </c>
      <c r="K127">
        <v>2924510</v>
      </c>
      <c r="L127">
        <v>6392104</v>
      </c>
      <c r="M127">
        <v>62324820</v>
      </c>
      <c r="N127">
        <v>14842498</v>
      </c>
      <c r="O127">
        <v>9535475</v>
      </c>
      <c r="P127">
        <v>2370143</v>
      </c>
      <c r="Q127">
        <v>4455136</v>
      </c>
      <c r="R127">
        <v>2126315</v>
      </c>
      <c r="S127">
        <v>1213675</v>
      </c>
      <c r="U127">
        <v>14240464</v>
      </c>
      <c r="V127">
        <v>13240203</v>
      </c>
      <c r="X127">
        <v>5103772</v>
      </c>
      <c r="Y127">
        <v>864365</v>
      </c>
      <c r="Z127">
        <v>9116937</v>
      </c>
      <c r="AA127">
        <v>11970464</v>
      </c>
      <c r="AB127">
        <v>5021897</v>
      </c>
      <c r="AC127">
        <v>24174477</v>
      </c>
      <c r="AD127">
        <v>17196932</v>
      </c>
      <c r="AE127">
        <v>15862613</v>
      </c>
      <c r="AF127">
        <v>5524093</v>
      </c>
      <c r="AG127">
        <v>8061374</v>
      </c>
      <c r="AH127">
        <v>11493262</v>
      </c>
      <c r="AI127">
        <v>13388035</v>
      </c>
      <c r="AJ127">
        <v>8961426</v>
      </c>
      <c r="AK127">
        <v>0</v>
      </c>
      <c r="AL127">
        <v>17305219</v>
      </c>
      <c r="AM127">
        <v>14221442</v>
      </c>
      <c r="AN127">
        <v>2429577</v>
      </c>
      <c r="AP127">
        <v>4039178</v>
      </c>
      <c r="AQ127">
        <v>6172889</v>
      </c>
      <c r="AR127">
        <v>0</v>
      </c>
      <c r="AS127">
        <v>11488804</v>
      </c>
      <c r="AT127">
        <v>56291972</v>
      </c>
      <c r="AU127">
        <v>0</v>
      </c>
      <c r="AV127">
        <v>9203152</v>
      </c>
      <c r="AW127">
        <v>2987060</v>
      </c>
      <c r="AX127">
        <v>15646342</v>
      </c>
      <c r="AY127">
        <v>2109283</v>
      </c>
      <c r="AZ127">
        <v>19894681</v>
      </c>
      <c r="BA127">
        <v>4964516</v>
      </c>
      <c r="BB127">
        <v>68344111</v>
      </c>
      <c r="BC127">
        <v>2014977</v>
      </c>
      <c r="BD127">
        <v>1885875</v>
      </c>
      <c r="BE127">
        <v>3488082</v>
      </c>
      <c r="BF127">
        <v>23244107</v>
      </c>
      <c r="BG127">
        <v>9339633</v>
      </c>
      <c r="BH127">
        <v>2589979</v>
      </c>
      <c r="BI127">
        <v>1920122</v>
      </c>
      <c r="BJ127">
        <v>4173760</v>
      </c>
      <c r="BK127">
        <v>56124002</v>
      </c>
      <c r="BL127">
        <v>0</v>
      </c>
      <c r="BM127">
        <v>4178713</v>
      </c>
      <c r="BN127">
        <v>22092790</v>
      </c>
      <c r="BO127">
        <v>6950600</v>
      </c>
      <c r="BP127">
        <v>36629779</v>
      </c>
      <c r="BQ127">
        <v>6098630</v>
      </c>
      <c r="BR127">
        <v>14461207</v>
      </c>
      <c r="BS127">
        <v>13911928</v>
      </c>
      <c r="BT127">
        <v>3419567</v>
      </c>
      <c r="BU127">
        <v>14372133</v>
      </c>
      <c r="BV127">
        <v>19614856</v>
      </c>
      <c r="BW127">
        <v>4035871</v>
      </c>
      <c r="BX127">
        <v>460291</v>
      </c>
      <c r="BY127">
        <v>13738165</v>
      </c>
      <c r="BZ127">
        <v>2537107</v>
      </c>
      <c r="CA127">
        <v>1282319</v>
      </c>
      <c r="CB127">
        <v>11025207</v>
      </c>
      <c r="CC127">
        <v>26150236</v>
      </c>
      <c r="CD127">
        <v>6020219</v>
      </c>
      <c r="CE127">
        <v>11426742</v>
      </c>
      <c r="CF127">
        <v>5256978</v>
      </c>
      <c r="CG127">
        <v>3626204</v>
      </c>
      <c r="CH127">
        <v>4638218</v>
      </c>
      <c r="CI127">
        <v>9884007</v>
      </c>
      <c r="CJ127">
        <v>525545</v>
      </c>
      <c r="CK127">
        <v>6314867</v>
      </c>
      <c r="CL127">
        <v>1321441</v>
      </c>
      <c r="CM127">
        <v>6894209</v>
      </c>
      <c r="CN127">
        <v>1700895</v>
      </c>
      <c r="CO127">
        <v>80139024</v>
      </c>
      <c r="CP127">
        <v>4045792</v>
      </c>
      <c r="CQ127">
        <v>38041159</v>
      </c>
      <c r="CR127">
        <v>6493397</v>
      </c>
      <c r="CS127">
        <v>2787141</v>
      </c>
      <c r="CT127">
        <v>5899763</v>
      </c>
      <c r="CU127">
        <v>11980327</v>
      </c>
      <c r="CV127">
        <v>5452885</v>
      </c>
      <c r="CW127">
        <v>5639452</v>
      </c>
      <c r="CX127">
        <v>3582161</v>
      </c>
      <c r="CY127">
        <v>0</v>
      </c>
    </row>
    <row r="128" spans="1:103" x14ac:dyDescent="0.3">
      <c r="A128">
        <v>592</v>
      </c>
      <c r="B128" t="s">
        <v>279</v>
      </c>
      <c r="D128">
        <v>1168289</v>
      </c>
      <c r="E128">
        <v>84750</v>
      </c>
      <c r="F128">
        <v>28392</v>
      </c>
      <c r="G128">
        <v>-761671</v>
      </c>
      <c r="H128">
        <v>244710</v>
      </c>
      <c r="I128">
        <v>0</v>
      </c>
      <c r="J128">
        <v>1156612</v>
      </c>
      <c r="K128">
        <v>-156498</v>
      </c>
      <c r="L128">
        <v>-141128</v>
      </c>
      <c r="M128">
        <v>60382114</v>
      </c>
      <c r="N128">
        <v>-2364328</v>
      </c>
      <c r="O128">
        <v>2503542</v>
      </c>
      <c r="P128">
        <v>60031</v>
      </c>
      <c r="Q128">
        <v>-740680</v>
      </c>
      <c r="R128">
        <v>14803</v>
      </c>
      <c r="S128">
        <v>-85786</v>
      </c>
      <c r="U128">
        <v>4737337</v>
      </c>
      <c r="V128">
        <v>741174</v>
      </c>
      <c r="X128">
        <v>45814</v>
      </c>
      <c r="Y128">
        <v>-270864</v>
      </c>
      <c r="Z128">
        <v>882951</v>
      </c>
      <c r="AA128">
        <v>1000717</v>
      </c>
      <c r="AB128">
        <v>3990983</v>
      </c>
      <c r="AC128">
        <v>9339218</v>
      </c>
      <c r="AD128">
        <v>8059384</v>
      </c>
      <c r="AE128">
        <v>2431480</v>
      </c>
      <c r="AF128">
        <v>8305747</v>
      </c>
      <c r="AG128">
        <v>5811453</v>
      </c>
      <c r="AH128">
        <v>3095795</v>
      </c>
      <c r="AI128">
        <v>10994276</v>
      </c>
      <c r="AJ128">
        <v>897658</v>
      </c>
      <c r="AK128">
        <v>0</v>
      </c>
      <c r="AL128">
        <v>5959867</v>
      </c>
      <c r="AM128">
        <v>678169</v>
      </c>
      <c r="AN128">
        <v>-154778</v>
      </c>
      <c r="AP128">
        <v>6648247</v>
      </c>
      <c r="AQ128">
        <v>188624</v>
      </c>
      <c r="AR128">
        <v>0</v>
      </c>
      <c r="AS128">
        <v>481818</v>
      </c>
      <c r="AT128">
        <v>13555751</v>
      </c>
      <c r="AU128">
        <v>0</v>
      </c>
      <c r="AV128">
        <v>929066</v>
      </c>
      <c r="AW128">
        <v>-111485</v>
      </c>
      <c r="AX128">
        <v>-3308843</v>
      </c>
      <c r="AY128">
        <v>409274</v>
      </c>
      <c r="AZ128">
        <v>-4065634</v>
      </c>
      <c r="BA128">
        <v>577835</v>
      </c>
      <c r="BB128">
        <v>23102689</v>
      </c>
      <c r="BC128">
        <v>759392</v>
      </c>
      <c r="BD128">
        <v>459669</v>
      </c>
      <c r="BE128">
        <v>-46132</v>
      </c>
      <c r="BF128">
        <v>5608699</v>
      </c>
      <c r="BG128">
        <v>-3337580</v>
      </c>
      <c r="BH128">
        <v>349343</v>
      </c>
      <c r="BI128">
        <v>-105090</v>
      </c>
      <c r="BJ128">
        <v>1350513</v>
      </c>
      <c r="BK128">
        <v>12214102</v>
      </c>
      <c r="BL128">
        <v>0</v>
      </c>
      <c r="BM128">
        <v>564171</v>
      </c>
      <c r="BN128">
        <v>5397777</v>
      </c>
      <c r="BO128">
        <v>482612</v>
      </c>
      <c r="BP128">
        <v>-17150561</v>
      </c>
      <c r="BQ128">
        <v>600142</v>
      </c>
      <c r="BR128">
        <v>6417459</v>
      </c>
      <c r="BS128">
        <v>2643428</v>
      </c>
      <c r="BT128">
        <v>-650043</v>
      </c>
      <c r="BU128">
        <v>3094113</v>
      </c>
      <c r="BV128">
        <v>78100</v>
      </c>
      <c r="BW128">
        <v>-53082</v>
      </c>
      <c r="BX128">
        <v>-172492</v>
      </c>
      <c r="BY128">
        <v>1132148</v>
      </c>
      <c r="BZ128">
        <v>-385966</v>
      </c>
      <c r="CA128">
        <v>6425</v>
      </c>
      <c r="CB128">
        <v>511289</v>
      </c>
      <c r="CC128">
        <v>10396427</v>
      </c>
      <c r="CD128">
        <v>6281140</v>
      </c>
      <c r="CE128">
        <v>431849</v>
      </c>
      <c r="CF128">
        <v>796004</v>
      </c>
      <c r="CG128">
        <v>2665584</v>
      </c>
      <c r="CH128">
        <v>1150673</v>
      </c>
      <c r="CI128">
        <v>3507556</v>
      </c>
      <c r="CJ128">
        <v>20047</v>
      </c>
      <c r="CK128">
        <v>-122758</v>
      </c>
      <c r="CL128">
        <v>140026</v>
      </c>
      <c r="CM128">
        <v>533170</v>
      </c>
      <c r="CN128">
        <v>63746</v>
      </c>
      <c r="CO128">
        <v>30719738</v>
      </c>
      <c r="CP128">
        <v>74657</v>
      </c>
      <c r="CQ128">
        <v>3193598</v>
      </c>
      <c r="CR128">
        <v>367681</v>
      </c>
      <c r="CS128">
        <v>164792</v>
      </c>
      <c r="CT128">
        <v>483735</v>
      </c>
      <c r="CU128">
        <v>1694375</v>
      </c>
      <c r="CV128">
        <v>1580949</v>
      </c>
      <c r="CW128">
        <v>4079586</v>
      </c>
      <c r="CX128">
        <v>-88013</v>
      </c>
      <c r="CY128">
        <v>50000</v>
      </c>
    </row>
    <row r="129" spans="1:103" x14ac:dyDescent="0.3">
      <c r="A129">
        <v>596</v>
      </c>
      <c r="B129" t="s">
        <v>284</v>
      </c>
      <c r="D129">
        <v>0</v>
      </c>
      <c r="E129">
        <v>52</v>
      </c>
      <c r="F129">
        <v>0</v>
      </c>
      <c r="G129">
        <v>52</v>
      </c>
      <c r="H129">
        <v>0</v>
      </c>
      <c r="I129">
        <v>0</v>
      </c>
      <c r="J129">
        <v>52</v>
      </c>
      <c r="K129">
        <v>52</v>
      </c>
      <c r="L129">
        <v>52</v>
      </c>
      <c r="M129">
        <v>52</v>
      </c>
      <c r="N129">
        <v>0</v>
      </c>
      <c r="O129">
        <v>52</v>
      </c>
      <c r="P129">
        <v>0</v>
      </c>
      <c r="Q129">
        <v>52</v>
      </c>
      <c r="R129">
        <v>52</v>
      </c>
      <c r="S129">
        <v>52</v>
      </c>
      <c r="U129">
        <v>0</v>
      </c>
      <c r="V129">
        <v>52</v>
      </c>
      <c r="X129">
        <v>52</v>
      </c>
      <c r="Y129">
        <v>52</v>
      </c>
      <c r="Z129">
        <v>0</v>
      </c>
      <c r="AA129">
        <v>52</v>
      </c>
      <c r="AB129">
        <v>52</v>
      </c>
      <c r="AC129">
        <v>52</v>
      </c>
      <c r="AD129">
        <v>52</v>
      </c>
      <c r="AE129">
        <v>52</v>
      </c>
      <c r="AF129">
        <v>52</v>
      </c>
      <c r="AG129">
        <v>52</v>
      </c>
      <c r="AH129">
        <v>52</v>
      </c>
      <c r="AI129">
        <v>52</v>
      </c>
      <c r="AJ129">
        <v>52</v>
      </c>
      <c r="AK129">
        <v>52</v>
      </c>
      <c r="AL129">
        <v>52</v>
      </c>
      <c r="AM129">
        <v>52</v>
      </c>
      <c r="AN129">
        <v>52</v>
      </c>
      <c r="AP129">
        <v>52</v>
      </c>
      <c r="AQ129">
        <v>52</v>
      </c>
      <c r="AR129">
        <v>0</v>
      </c>
      <c r="AS129">
        <v>52</v>
      </c>
      <c r="AT129">
        <v>52</v>
      </c>
      <c r="AU129">
        <v>52</v>
      </c>
      <c r="AV129">
        <v>52</v>
      </c>
      <c r="AW129">
        <v>52</v>
      </c>
      <c r="AX129">
        <v>52</v>
      </c>
      <c r="AY129">
        <v>52</v>
      </c>
      <c r="AZ129">
        <v>52</v>
      </c>
      <c r="BA129">
        <v>0</v>
      </c>
      <c r="BB129">
        <v>52</v>
      </c>
      <c r="BC129">
        <v>52</v>
      </c>
      <c r="BD129">
        <v>52</v>
      </c>
      <c r="BE129">
        <v>52</v>
      </c>
      <c r="BF129">
        <v>52</v>
      </c>
      <c r="BG129">
        <v>0</v>
      </c>
      <c r="BH129">
        <v>0</v>
      </c>
      <c r="BI129">
        <v>52</v>
      </c>
      <c r="BJ129">
        <v>52</v>
      </c>
      <c r="BK129">
        <v>0</v>
      </c>
      <c r="BL129">
        <v>0</v>
      </c>
      <c r="BM129">
        <v>52</v>
      </c>
      <c r="BN129">
        <v>52</v>
      </c>
      <c r="BO129">
        <v>52</v>
      </c>
      <c r="BP129">
        <v>0</v>
      </c>
      <c r="BQ129">
        <v>52</v>
      </c>
      <c r="BR129">
        <v>0</v>
      </c>
      <c r="BS129">
        <v>0</v>
      </c>
      <c r="BT129">
        <v>52</v>
      </c>
      <c r="BU129">
        <v>52</v>
      </c>
      <c r="BV129">
        <v>52</v>
      </c>
      <c r="BW129">
        <v>52</v>
      </c>
      <c r="BX129">
        <v>52</v>
      </c>
      <c r="BY129">
        <v>52</v>
      </c>
      <c r="BZ129">
        <v>52</v>
      </c>
      <c r="CA129">
        <v>0</v>
      </c>
      <c r="CB129">
        <v>52</v>
      </c>
      <c r="CC129">
        <v>52</v>
      </c>
      <c r="CD129">
        <v>52</v>
      </c>
      <c r="CE129">
        <v>52</v>
      </c>
      <c r="CF129">
        <v>52</v>
      </c>
      <c r="CG129">
        <v>52</v>
      </c>
      <c r="CH129">
        <v>52</v>
      </c>
      <c r="CI129">
        <v>52</v>
      </c>
      <c r="CJ129">
        <v>52</v>
      </c>
      <c r="CK129">
        <v>52</v>
      </c>
      <c r="CL129">
        <v>52</v>
      </c>
      <c r="CM129">
        <v>52</v>
      </c>
      <c r="CN129">
        <v>52</v>
      </c>
      <c r="CO129">
        <v>52</v>
      </c>
      <c r="CP129">
        <v>52</v>
      </c>
      <c r="CQ129">
        <v>0</v>
      </c>
      <c r="CR129">
        <v>52</v>
      </c>
      <c r="CS129">
        <v>52</v>
      </c>
      <c r="CT129">
        <v>52</v>
      </c>
      <c r="CU129">
        <v>52</v>
      </c>
      <c r="CV129">
        <v>0</v>
      </c>
      <c r="CW129">
        <v>52</v>
      </c>
      <c r="CX129">
        <v>52</v>
      </c>
      <c r="CY129">
        <v>52</v>
      </c>
    </row>
    <row r="130" spans="1:103" x14ac:dyDescent="0.3">
      <c r="A130">
        <v>597</v>
      </c>
      <c r="B130" t="s">
        <v>287</v>
      </c>
      <c r="D130">
        <v>8012439</v>
      </c>
      <c r="E130">
        <v>1382607</v>
      </c>
      <c r="F130">
        <v>94837</v>
      </c>
      <c r="G130">
        <v>1184666</v>
      </c>
      <c r="H130">
        <v>1306424</v>
      </c>
      <c r="I130">
        <v>1482900</v>
      </c>
      <c r="J130">
        <v>2462539</v>
      </c>
      <c r="K130">
        <v>251647</v>
      </c>
      <c r="L130">
        <v>1388086</v>
      </c>
      <c r="M130">
        <v>12472064</v>
      </c>
      <c r="N130">
        <v>9231476</v>
      </c>
      <c r="O130">
        <v>1254668</v>
      </c>
      <c r="P130">
        <v>9986820</v>
      </c>
      <c r="Q130">
        <v>602968</v>
      </c>
      <c r="R130">
        <v>760082</v>
      </c>
      <c r="S130">
        <v>3869109</v>
      </c>
      <c r="U130">
        <v>2509456</v>
      </c>
      <c r="V130">
        <v>4398221</v>
      </c>
      <c r="X130">
        <v>285318</v>
      </c>
      <c r="Y130">
        <v>465694</v>
      </c>
      <c r="Z130">
        <v>2782045</v>
      </c>
      <c r="AA130">
        <v>1962613</v>
      </c>
      <c r="AB130">
        <v>2357868</v>
      </c>
      <c r="AC130">
        <v>14107519</v>
      </c>
      <c r="AD130">
        <v>3001588</v>
      </c>
      <c r="AE130">
        <v>5444451</v>
      </c>
      <c r="AF130">
        <v>7731279</v>
      </c>
      <c r="AG130">
        <v>899472</v>
      </c>
      <c r="AH130">
        <v>3978432</v>
      </c>
      <c r="AI130">
        <v>11004843</v>
      </c>
      <c r="AJ130">
        <v>1650566</v>
      </c>
      <c r="AK130">
        <v>17693527</v>
      </c>
      <c r="AL130">
        <v>3166883</v>
      </c>
      <c r="AM130">
        <v>8461980</v>
      </c>
      <c r="AN130">
        <v>50172</v>
      </c>
      <c r="AP130">
        <v>2150136</v>
      </c>
      <c r="AQ130">
        <v>722664</v>
      </c>
      <c r="AR130">
        <v>10009399</v>
      </c>
      <c r="AS130">
        <v>2217791</v>
      </c>
      <c r="AT130">
        <v>9097367</v>
      </c>
      <c r="AU130">
        <v>3011721</v>
      </c>
      <c r="AV130">
        <v>4417820</v>
      </c>
      <c r="AW130">
        <v>205139</v>
      </c>
      <c r="AX130">
        <v>3356842</v>
      </c>
      <c r="AY130">
        <v>134580</v>
      </c>
      <c r="AZ130">
        <v>10455647</v>
      </c>
      <c r="BA130">
        <v>1851389</v>
      </c>
      <c r="BB130">
        <v>13400707</v>
      </c>
      <c r="BC130">
        <v>1345956</v>
      </c>
      <c r="BD130">
        <v>1617476</v>
      </c>
      <c r="BE130">
        <v>1664418</v>
      </c>
      <c r="BF130">
        <v>4476394</v>
      </c>
      <c r="BG130">
        <v>3310080</v>
      </c>
      <c r="BH130">
        <v>814254</v>
      </c>
      <c r="BI130">
        <v>1022596</v>
      </c>
      <c r="BJ130">
        <v>995206</v>
      </c>
      <c r="BK130">
        <v>39123084</v>
      </c>
      <c r="BL130">
        <v>127266</v>
      </c>
      <c r="BM130">
        <v>2224745</v>
      </c>
      <c r="BN130">
        <v>8630078</v>
      </c>
      <c r="BO130">
        <v>3071327</v>
      </c>
      <c r="BP130">
        <v>15217186</v>
      </c>
      <c r="BQ130">
        <v>784956</v>
      </c>
      <c r="BR130">
        <v>7561324</v>
      </c>
      <c r="BS130">
        <v>5433362</v>
      </c>
      <c r="BT130">
        <v>623212</v>
      </c>
      <c r="BU130">
        <v>2072684</v>
      </c>
      <c r="BV130">
        <v>4107275</v>
      </c>
      <c r="BW130">
        <v>292980</v>
      </c>
      <c r="BX130">
        <v>2623123</v>
      </c>
      <c r="BY130">
        <v>9707748</v>
      </c>
      <c r="BZ130">
        <v>1075637</v>
      </c>
      <c r="CA130">
        <v>5245835</v>
      </c>
      <c r="CB130">
        <v>1887898</v>
      </c>
      <c r="CC130">
        <v>4691142</v>
      </c>
      <c r="CD130">
        <v>3377222</v>
      </c>
      <c r="CE130">
        <v>6689196</v>
      </c>
      <c r="CF130">
        <v>2282522</v>
      </c>
      <c r="CG130">
        <v>1871111</v>
      </c>
      <c r="CH130">
        <v>1110926</v>
      </c>
      <c r="CI130">
        <v>3580889</v>
      </c>
      <c r="CJ130">
        <v>1607090</v>
      </c>
      <c r="CK130">
        <v>2866896</v>
      </c>
      <c r="CL130">
        <v>1686238</v>
      </c>
      <c r="CM130">
        <v>2695937</v>
      </c>
      <c r="CN130">
        <v>174612</v>
      </c>
      <c r="CO130">
        <v>15645699</v>
      </c>
      <c r="CP130">
        <v>1172426</v>
      </c>
      <c r="CQ130">
        <v>50590610</v>
      </c>
      <c r="CR130">
        <v>0</v>
      </c>
      <c r="CS130">
        <v>523202</v>
      </c>
      <c r="CT130">
        <v>4174181</v>
      </c>
      <c r="CU130">
        <v>2663500</v>
      </c>
      <c r="CV130">
        <v>1739919</v>
      </c>
      <c r="CW130">
        <v>3131231</v>
      </c>
      <c r="CX130">
        <v>461837</v>
      </c>
      <c r="CY130">
        <v>552993</v>
      </c>
    </row>
    <row r="131" spans="1:103" x14ac:dyDescent="0.3">
      <c r="A131">
        <v>598</v>
      </c>
      <c r="B131" t="s">
        <v>292</v>
      </c>
      <c r="D131">
        <v>272241</v>
      </c>
      <c r="E131">
        <v>74495</v>
      </c>
      <c r="F131">
        <v>8674</v>
      </c>
      <c r="G131">
        <v>12200</v>
      </c>
      <c r="H131">
        <v>39674</v>
      </c>
      <c r="I131">
        <v>31605</v>
      </c>
      <c r="J131">
        <v>56183</v>
      </c>
      <c r="K131">
        <v>16945</v>
      </c>
      <c r="L131">
        <v>44532</v>
      </c>
      <c r="M131">
        <v>221929</v>
      </c>
      <c r="N131">
        <v>599024</v>
      </c>
      <c r="O131">
        <v>159802</v>
      </c>
      <c r="P131">
        <v>651134</v>
      </c>
      <c r="Q131">
        <v>139432</v>
      </c>
      <c r="R131">
        <v>20521</v>
      </c>
      <c r="S131">
        <v>25387</v>
      </c>
      <c r="U131">
        <v>0</v>
      </c>
      <c r="V131">
        <v>100158</v>
      </c>
      <c r="X131">
        <v>53437</v>
      </c>
      <c r="Y131">
        <v>0</v>
      </c>
      <c r="Z131">
        <v>230835</v>
      </c>
      <c r="AA131">
        <v>64858</v>
      </c>
      <c r="AB131">
        <v>58753</v>
      </c>
      <c r="AC131">
        <v>791427</v>
      </c>
      <c r="AD131">
        <v>193915</v>
      </c>
      <c r="AE131">
        <v>182163</v>
      </c>
      <c r="AF131">
        <v>177338</v>
      </c>
      <c r="AG131">
        <v>127301</v>
      </c>
      <c r="AH131">
        <v>266195</v>
      </c>
      <c r="AI131">
        <v>712161</v>
      </c>
      <c r="AJ131">
        <v>117565</v>
      </c>
      <c r="AK131">
        <v>738702</v>
      </c>
      <c r="AL131">
        <v>93852</v>
      </c>
      <c r="AM131">
        <v>876868</v>
      </c>
      <c r="AN131">
        <v>13220</v>
      </c>
      <c r="AP131">
        <v>121073</v>
      </c>
      <c r="AQ131">
        <v>12768</v>
      </c>
      <c r="AR131">
        <v>1260760</v>
      </c>
      <c r="AS131">
        <v>123807</v>
      </c>
      <c r="AT131">
        <v>181432</v>
      </c>
      <c r="AU131">
        <v>82747</v>
      </c>
      <c r="AV131">
        <v>356268</v>
      </c>
      <c r="AW131">
        <v>24790</v>
      </c>
      <c r="AX131">
        <v>27191</v>
      </c>
      <c r="AY131">
        <v>84594</v>
      </c>
      <c r="AZ131">
        <v>420011</v>
      </c>
      <c r="BA131">
        <v>140096</v>
      </c>
      <c r="BB131">
        <v>249297</v>
      </c>
      <c r="BC131">
        <v>0</v>
      </c>
      <c r="BD131">
        <v>130641</v>
      </c>
      <c r="BE131">
        <v>174691</v>
      </c>
      <c r="BF131">
        <v>108247</v>
      </c>
      <c r="BG131">
        <v>34193</v>
      </c>
      <c r="BH131">
        <v>20289</v>
      </c>
      <c r="BI131">
        <v>35733</v>
      </c>
      <c r="BJ131">
        <v>88199</v>
      </c>
      <c r="BK131">
        <v>2169425</v>
      </c>
      <c r="BL131">
        <v>0</v>
      </c>
      <c r="BM131">
        <v>45721</v>
      </c>
      <c r="BN131">
        <v>274163</v>
      </c>
      <c r="BO131">
        <v>145482</v>
      </c>
      <c r="BP131">
        <v>468454</v>
      </c>
      <c r="BQ131">
        <v>80125</v>
      </c>
      <c r="BR131">
        <v>293696</v>
      </c>
      <c r="BS131">
        <v>278600</v>
      </c>
      <c r="BT131">
        <v>6097</v>
      </c>
      <c r="BU131">
        <v>136014</v>
      </c>
      <c r="BV131">
        <v>48634</v>
      </c>
      <c r="BW131">
        <v>18138</v>
      </c>
      <c r="BX131">
        <v>122412</v>
      </c>
      <c r="BY131">
        <v>331735</v>
      </c>
      <c r="BZ131">
        <v>0</v>
      </c>
      <c r="CA131">
        <v>184399</v>
      </c>
      <c r="CB131">
        <v>68792</v>
      </c>
      <c r="CC131">
        <v>241895</v>
      </c>
      <c r="CD131">
        <v>257655</v>
      </c>
      <c r="CE131">
        <v>310199</v>
      </c>
      <c r="CF131">
        <v>205184</v>
      </c>
      <c r="CG131">
        <v>80421</v>
      </c>
      <c r="CH131">
        <v>72738</v>
      </c>
      <c r="CI131">
        <v>47355</v>
      </c>
      <c r="CJ131">
        <v>92293</v>
      </c>
      <c r="CK131">
        <v>171448</v>
      </c>
      <c r="CL131">
        <v>0</v>
      </c>
      <c r="CM131">
        <v>206926</v>
      </c>
      <c r="CN131">
        <v>9281</v>
      </c>
      <c r="CO131">
        <v>1321393</v>
      </c>
      <c r="CP131">
        <v>19127</v>
      </c>
      <c r="CQ131">
        <v>1331957</v>
      </c>
      <c r="CR131">
        <v>0</v>
      </c>
      <c r="CS131">
        <v>11482</v>
      </c>
      <c r="CT131">
        <v>29790</v>
      </c>
      <c r="CU131">
        <v>192940</v>
      </c>
      <c r="CV131">
        <v>200990</v>
      </c>
      <c r="CW131">
        <v>163879</v>
      </c>
      <c r="CX131">
        <v>35165</v>
      </c>
      <c r="CY131">
        <v>0</v>
      </c>
    </row>
    <row r="132" spans="1:103" x14ac:dyDescent="0.3">
      <c r="A132">
        <v>599</v>
      </c>
      <c r="B132" t="s">
        <v>291</v>
      </c>
      <c r="D132">
        <v>5595579</v>
      </c>
      <c r="E132">
        <v>1119120</v>
      </c>
      <c r="F132">
        <v>606283</v>
      </c>
      <c r="G132">
        <v>0</v>
      </c>
      <c r="H132">
        <v>772283</v>
      </c>
      <c r="I132">
        <v>496002</v>
      </c>
      <c r="J132">
        <v>1629612</v>
      </c>
      <c r="K132">
        <v>551871</v>
      </c>
      <c r="L132">
        <v>1442714</v>
      </c>
      <c r="M132">
        <v>7821779</v>
      </c>
      <c r="N132">
        <v>9479366</v>
      </c>
      <c r="O132">
        <v>2842161</v>
      </c>
      <c r="P132">
        <v>12244359</v>
      </c>
      <c r="Q132">
        <v>2580895</v>
      </c>
      <c r="R132">
        <v>568168</v>
      </c>
      <c r="S132">
        <v>2054784</v>
      </c>
      <c r="U132">
        <v>0</v>
      </c>
      <c r="V132">
        <v>2802608</v>
      </c>
      <c r="X132">
        <v>864306</v>
      </c>
      <c r="Y132">
        <v>316328</v>
      </c>
      <c r="Z132">
        <v>4766302</v>
      </c>
      <c r="AA132">
        <v>2220770</v>
      </c>
      <c r="AB132">
        <v>2115459</v>
      </c>
      <c r="AC132">
        <v>11738337</v>
      </c>
      <c r="AD132">
        <v>3363634</v>
      </c>
      <c r="AE132">
        <v>2836225</v>
      </c>
      <c r="AF132">
        <v>5718336</v>
      </c>
      <c r="AG132">
        <v>2290473</v>
      </c>
      <c r="AH132">
        <v>2323841</v>
      </c>
      <c r="AI132">
        <v>8768866</v>
      </c>
      <c r="AJ132">
        <v>2343781</v>
      </c>
      <c r="AK132">
        <v>11651675</v>
      </c>
      <c r="AL132">
        <v>2266402</v>
      </c>
      <c r="AM132">
        <v>16621056</v>
      </c>
      <c r="AN132">
        <v>126100</v>
      </c>
      <c r="AP132">
        <v>2654926</v>
      </c>
      <c r="AQ132">
        <v>285180</v>
      </c>
      <c r="AR132">
        <v>13229739</v>
      </c>
      <c r="AS132">
        <v>2112056</v>
      </c>
      <c r="AT132">
        <v>4394896</v>
      </c>
      <c r="AU132">
        <v>2154735</v>
      </c>
      <c r="AV132">
        <v>7172543</v>
      </c>
      <c r="AW132">
        <v>690344</v>
      </c>
      <c r="AX132">
        <v>1165316</v>
      </c>
      <c r="AY132">
        <v>370298</v>
      </c>
      <c r="AZ132">
        <v>7336888</v>
      </c>
      <c r="BA132">
        <v>2707798</v>
      </c>
      <c r="BB132">
        <v>5464849</v>
      </c>
      <c r="BC132">
        <v>254233</v>
      </c>
      <c r="BD132">
        <v>1965674</v>
      </c>
      <c r="BE132">
        <v>2164214</v>
      </c>
      <c r="BF132">
        <v>3901463</v>
      </c>
      <c r="BG132">
        <v>1709071</v>
      </c>
      <c r="BH132">
        <v>417849</v>
      </c>
      <c r="BI132">
        <v>1591788</v>
      </c>
      <c r="BJ132">
        <v>1317084</v>
      </c>
      <c r="BK132">
        <v>23851550</v>
      </c>
      <c r="BL132">
        <v>488335</v>
      </c>
      <c r="BM132">
        <v>637891</v>
      </c>
      <c r="BN132">
        <v>3918836</v>
      </c>
      <c r="BO132">
        <v>4228256</v>
      </c>
      <c r="BP132">
        <v>17581669</v>
      </c>
      <c r="BQ132">
        <v>740140</v>
      </c>
      <c r="BR132">
        <v>4485820</v>
      </c>
      <c r="BS132">
        <v>6143097</v>
      </c>
      <c r="BT132">
        <v>473709</v>
      </c>
      <c r="BU132">
        <v>1775090</v>
      </c>
      <c r="BV132">
        <v>2445185</v>
      </c>
      <c r="BW132">
        <v>560734</v>
      </c>
      <c r="BX132">
        <v>2444442</v>
      </c>
      <c r="BY132">
        <v>7019856</v>
      </c>
      <c r="BZ132">
        <v>610253</v>
      </c>
      <c r="CA132">
        <v>5434111</v>
      </c>
      <c r="CB132">
        <v>2516357</v>
      </c>
      <c r="CC132">
        <v>5809608</v>
      </c>
      <c r="CD132">
        <v>4410412</v>
      </c>
      <c r="CE132">
        <v>5005387</v>
      </c>
      <c r="CF132">
        <v>3398491</v>
      </c>
      <c r="CG132">
        <v>3170497</v>
      </c>
      <c r="CH132">
        <v>789652</v>
      </c>
      <c r="CI132">
        <v>1747209</v>
      </c>
      <c r="CJ132">
        <v>1294861</v>
      </c>
      <c r="CK132">
        <v>3017297</v>
      </c>
      <c r="CL132">
        <v>607646</v>
      </c>
      <c r="CM132">
        <v>2757992</v>
      </c>
      <c r="CN132">
        <v>156658</v>
      </c>
      <c r="CO132">
        <v>18734002</v>
      </c>
      <c r="CP132">
        <v>1233287</v>
      </c>
      <c r="CQ132">
        <v>24699018</v>
      </c>
      <c r="CR132">
        <v>559139</v>
      </c>
      <c r="CS132">
        <v>273057</v>
      </c>
      <c r="CT132">
        <v>1220841</v>
      </c>
      <c r="CU132">
        <v>4017410</v>
      </c>
      <c r="CV132">
        <v>2714701</v>
      </c>
      <c r="CW132">
        <v>3844435</v>
      </c>
      <c r="CX132">
        <v>715191</v>
      </c>
      <c r="CY132">
        <v>1174720</v>
      </c>
    </row>
    <row r="133" spans="1:103" x14ac:dyDescent="0.3">
      <c r="A133">
        <v>602</v>
      </c>
      <c r="B133" t="s">
        <v>293</v>
      </c>
      <c r="D133">
        <v>0</v>
      </c>
      <c r="E133">
        <v>0</v>
      </c>
      <c r="F133">
        <v>0</v>
      </c>
      <c r="G133">
        <v>0</v>
      </c>
      <c r="H133">
        <v>0</v>
      </c>
      <c r="I133">
        <v>0</v>
      </c>
      <c r="J133">
        <v>0</v>
      </c>
      <c r="K133">
        <v>0</v>
      </c>
      <c r="L133">
        <v>0</v>
      </c>
      <c r="M133">
        <v>0</v>
      </c>
      <c r="N133">
        <v>0</v>
      </c>
      <c r="O133">
        <v>0</v>
      </c>
      <c r="P133">
        <v>0</v>
      </c>
      <c r="Q133">
        <v>0</v>
      </c>
      <c r="R133">
        <v>0</v>
      </c>
      <c r="S133">
        <v>0</v>
      </c>
      <c r="U133">
        <v>0</v>
      </c>
      <c r="V133">
        <v>0</v>
      </c>
      <c r="X133">
        <v>0</v>
      </c>
      <c r="Y133">
        <v>0</v>
      </c>
      <c r="Z133">
        <v>0</v>
      </c>
      <c r="AA133">
        <v>0</v>
      </c>
      <c r="AB133">
        <v>0</v>
      </c>
      <c r="AC133">
        <v>0</v>
      </c>
      <c r="AD133">
        <v>504744</v>
      </c>
      <c r="AE133">
        <v>2443815</v>
      </c>
      <c r="AF133">
        <v>0</v>
      </c>
      <c r="AG133">
        <v>0</v>
      </c>
      <c r="AH133">
        <v>0</v>
      </c>
      <c r="AI133">
        <v>0</v>
      </c>
      <c r="AJ133">
        <v>0</v>
      </c>
      <c r="AK133">
        <v>0</v>
      </c>
      <c r="AL133">
        <v>0</v>
      </c>
      <c r="AM133">
        <v>0</v>
      </c>
      <c r="AN133">
        <v>0</v>
      </c>
      <c r="AP133">
        <v>0</v>
      </c>
      <c r="AQ133">
        <v>0</v>
      </c>
      <c r="AR133">
        <v>4020145</v>
      </c>
      <c r="AS133">
        <v>0</v>
      </c>
      <c r="AT133">
        <v>318301</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4765519</v>
      </c>
      <c r="CP133">
        <v>0</v>
      </c>
      <c r="CQ133">
        <v>0</v>
      </c>
      <c r="CR133">
        <v>0</v>
      </c>
      <c r="CS133">
        <v>0</v>
      </c>
      <c r="CT133">
        <v>840713</v>
      </c>
      <c r="CU133">
        <v>0</v>
      </c>
      <c r="CV133">
        <v>0</v>
      </c>
      <c r="CW133">
        <v>0</v>
      </c>
      <c r="CX133">
        <v>0</v>
      </c>
      <c r="CY133">
        <v>0</v>
      </c>
    </row>
    <row r="134" spans="1:103" x14ac:dyDescent="0.3">
      <c r="A134">
        <v>606</v>
      </c>
      <c r="B134" t="s">
        <v>623</v>
      </c>
      <c r="D134">
        <v>1</v>
      </c>
      <c r="E134">
        <v>1</v>
      </c>
      <c r="F134">
        <v>1</v>
      </c>
      <c r="G134">
        <v>1</v>
      </c>
      <c r="H134">
        <v>1</v>
      </c>
      <c r="I134">
        <v>1</v>
      </c>
      <c r="J134">
        <v>1</v>
      </c>
      <c r="K134">
        <v>1</v>
      </c>
      <c r="L134">
        <v>1</v>
      </c>
      <c r="M134">
        <v>1</v>
      </c>
      <c r="N134">
        <v>1</v>
      </c>
      <c r="O134">
        <v>1</v>
      </c>
      <c r="P134">
        <v>1</v>
      </c>
      <c r="Q134">
        <v>1</v>
      </c>
      <c r="R134">
        <v>1</v>
      </c>
      <c r="S134">
        <v>1</v>
      </c>
      <c r="U134">
        <v>1</v>
      </c>
      <c r="V134">
        <v>1</v>
      </c>
      <c r="X134">
        <v>1</v>
      </c>
      <c r="Y134">
        <v>1</v>
      </c>
      <c r="Z134">
        <v>1</v>
      </c>
      <c r="AA134">
        <v>1</v>
      </c>
      <c r="AB134">
        <v>1</v>
      </c>
      <c r="AC134">
        <v>1</v>
      </c>
      <c r="AD134">
        <v>1</v>
      </c>
      <c r="AE134">
        <v>1</v>
      </c>
      <c r="AF134">
        <v>1</v>
      </c>
      <c r="AG134">
        <v>1</v>
      </c>
      <c r="AH134">
        <v>1</v>
      </c>
      <c r="AI134">
        <v>1</v>
      </c>
      <c r="AJ134">
        <v>1</v>
      </c>
      <c r="AK134">
        <v>1</v>
      </c>
      <c r="AL134">
        <v>1</v>
      </c>
      <c r="AM134">
        <v>2</v>
      </c>
      <c r="AN134">
        <v>1</v>
      </c>
      <c r="AP134">
        <v>1</v>
      </c>
      <c r="AQ134">
        <v>1</v>
      </c>
      <c r="AR134">
        <v>1</v>
      </c>
      <c r="AS134">
        <v>1</v>
      </c>
      <c r="AT134">
        <v>1</v>
      </c>
      <c r="AU134">
        <v>1</v>
      </c>
      <c r="AV134">
        <v>1</v>
      </c>
      <c r="AW134">
        <v>1</v>
      </c>
      <c r="AX134">
        <v>1</v>
      </c>
      <c r="AY134">
        <v>1</v>
      </c>
      <c r="AZ134">
        <v>1</v>
      </c>
      <c r="BA134">
        <v>1</v>
      </c>
      <c r="BB134">
        <v>1</v>
      </c>
      <c r="BC134">
        <v>1</v>
      </c>
      <c r="BD134">
        <v>1</v>
      </c>
      <c r="BE134">
        <v>1</v>
      </c>
      <c r="BF134">
        <v>1</v>
      </c>
      <c r="BG134">
        <v>1</v>
      </c>
      <c r="BH134">
        <v>1</v>
      </c>
      <c r="BI134">
        <v>1</v>
      </c>
      <c r="BJ134">
        <v>1</v>
      </c>
      <c r="BK134">
        <v>1</v>
      </c>
      <c r="BL134">
        <v>1</v>
      </c>
      <c r="BM134">
        <v>1</v>
      </c>
      <c r="BN134">
        <v>1</v>
      </c>
      <c r="BO134">
        <v>1</v>
      </c>
      <c r="BP134">
        <v>1</v>
      </c>
      <c r="BQ134">
        <v>1</v>
      </c>
      <c r="BR134">
        <v>1</v>
      </c>
      <c r="BS134">
        <v>1</v>
      </c>
      <c r="BT134">
        <v>1</v>
      </c>
      <c r="BU134">
        <v>1</v>
      </c>
      <c r="BV134">
        <v>1</v>
      </c>
      <c r="BW134">
        <v>1</v>
      </c>
      <c r="BX134">
        <v>1</v>
      </c>
      <c r="BY134">
        <v>1</v>
      </c>
      <c r="BZ134">
        <v>1</v>
      </c>
      <c r="CA134">
        <v>1</v>
      </c>
      <c r="CB134">
        <v>1</v>
      </c>
      <c r="CC134">
        <v>1</v>
      </c>
      <c r="CD134">
        <v>1</v>
      </c>
      <c r="CE134">
        <v>1</v>
      </c>
      <c r="CF134">
        <v>1</v>
      </c>
      <c r="CG134">
        <v>1</v>
      </c>
      <c r="CH134">
        <v>1</v>
      </c>
      <c r="CI134">
        <v>1</v>
      </c>
      <c r="CJ134">
        <v>1</v>
      </c>
      <c r="CK134">
        <v>1</v>
      </c>
      <c r="CL134">
        <v>1</v>
      </c>
      <c r="CM134" s="913">
        <v>1</v>
      </c>
      <c r="CN134">
        <v>1</v>
      </c>
      <c r="CO134">
        <v>1</v>
      </c>
      <c r="CP134">
        <v>1</v>
      </c>
      <c r="CQ134">
        <v>1</v>
      </c>
      <c r="CR134">
        <v>1</v>
      </c>
      <c r="CS134">
        <v>1</v>
      </c>
      <c r="CT134">
        <v>1</v>
      </c>
      <c r="CU134">
        <v>1</v>
      </c>
      <c r="CV134">
        <v>1</v>
      </c>
      <c r="CW134">
        <v>1</v>
      </c>
      <c r="CX134">
        <v>1</v>
      </c>
      <c r="CY134">
        <v>1</v>
      </c>
    </row>
    <row r="135" spans="1:103" x14ac:dyDescent="0.3">
      <c r="A135">
        <v>619</v>
      </c>
      <c r="B135" t="s">
        <v>624</v>
      </c>
      <c r="D135">
        <v>0</v>
      </c>
      <c r="E135">
        <v>0</v>
      </c>
      <c r="F135">
        <v>0</v>
      </c>
      <c r="G135">
        <v>0</v>
      </c>
      <c r="H135">
        <v>0</v>
      </c>
      <c r="I135">
        <v>0</v>
      </c>
      <c r="J135">
        <v>0</v>
      </c>
      <c r="K135">
        <v>0</v>
      </c>
      <c r="L135">
        <v>63.6</v>
      </c>
      <c r="M135">
        <v>0</v>
      </c>
      <c r="N135">
        <v>0</v>
      </c>
      <c r="O135">
        <v>0</v>
      </c>
      <c r="P135">
        <v>0</v>
      </c>
      <c r="Q135">
        <v>0</v>
      </c>
      <c r="R135">
        <v>0</v>
      </c>
      <c r="S135">
        <v>0</v>
      </c>
      <c r="U135">
        <v>0</v>
      </c>
      <c r="V135">
        <v>0</v>
      </c>
      <c r="X135">
        <v>0</v>
      </c>
      <c r="Y135">
        <v>0</v>
      </c>
      <c r="Z135">
        <v>0</v>
      </c>
      <c r="AA135">
        <v>0</v>
      </c>
      <c r="AB135">
        <v>0</v>
      </c>
      <c r="AC135">
        <v>0</v>
      </c>
      <c r="AD135">
        <v>15</v>
      </c>
      <c r="AE135">
        <v>86.2</v>
      </c>
      <c r="AF135">
        <v>0</v>
      </c>
      <c r="AG135">
        <v>0</v>
      </c>
      <c r="AH135">
        <v>0</v>
      </c>
      <c r="AI135">
        <v>0</v>
      </c>
      <c r="AJ135">
        <v>0</v>
      </c>
      <c r="AK135">
        <v>0</v>
      </c>
      <c r="AL135">
        <v>0</v>
      </c>
      <c r="AM135">
        <v>0</v>
      </c>
      <c r="AN135">
        <v>0</v>
      </c>
      <c r="AP135">
        <v>0</v>
      </c>
      <c r="AQ135">
        <v>0</v>
      </c>
      <c r="AR135">
        <v>30.4</v>
      </c>
      <c r="AS135">
        <v>0</v>
      </c>
      <c r="AT135">
        <v>7.2</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25.4</v>
      </c>
      <c r="CP135">
        <v>0</v>
      </c>
      <c r="CQ135">
        <v>0</v>
      </c>
      <c r="CR135">
        <v>0</v>
      </c>
      <c r="CS135">
        <v>0</v>
      </c>
      <c r="CT135">
        <v>68.900000000000006</v>
      </c>
      <c r="CU135">
        <v>0</v>
      </c>
      <c r="CV135">
        <v>0</v>
      </c>
      <c r="CW135">
        <v>0</v>
      </c>
      <c r="CX135">
        <v>0</v>
      </c>
      <c r="CY135">
        <v>0</v>
      </c>
    </row>
    <row r="136" spans="1:103" x14ac:dyDescent="0.3">
      <c r="A136">
        <v>620</v>
      </c>
      <c r="B136" t="s">
        <v>625</v>
      </c>
      <c r="D136">
        <v>1</v>
      </c>
      <c r="E136">
        <v>2</v>
      </c>
      <c r="F136">
        <v>2</v>
      </c>
      <c r="G136">
        <v>2</v>
      </c>
      <c r="H136">
        <v>1</v>
      </c>
      <c r="I136">
        <v>2</v>
      </c>
      <c r="J136">
        <v>2</v>
      </c>
      <c r="K136">
        <v>2</v>
      </c>
      <c r="L136">
        <v>2</v>
      </c>
      <c r="M136">
        <v>1</v>
      </c>
      <c r="N136">
        <v>1</v>
      </c>
      <c r="O136">
        <v>1</v>
      </c>
      <c r="P136">
        <v>2</v>
      </c>
      <c r="Q136">
        <v>2</v>
      </c>
      <c r="R136">
        <v>2</v>
      </c>
      <c r="S136">
        <v>2</v>
      </c>
      <c r="U136">
        <v>2</v>
      </c>
      <c r="V136">
        <v>2</v>
      </c>
      <c r="X136">
        <v>1</v>
      </c>
      <c r="Y136">
        <v>2</v>
      </c>
      <c r="Z136">
        <v>1</v>
      </c>
      <c r="AA136">
        <v>2</v>
      </c>
      <c r="AB136">
        <v>2</v>
      </c>
      <c r="AC136">
        <v>1</v>
      </c>
      <c r="AD136">
        <v>2</v>
      </c>
      <c r="AE136">
        <v>1</v>
      </c>
      <c r="AF136">
        <v>2</v>
      </c>
      <c r="AG136">
        <v>2</v>
      </c>
      <c r="AH136">
        <v>2</v>
      </c>
      <c r="AI136">
        <v>1</v>
      </c>
      <c r="AJ136">
        <v>2</v>
      </c>
      <c r="AK136">
        <v>1</v>
      </c>
      <c r="AL136">
        <v>1</v>
      </c>
      <c r="AM136">
        <v>2</v>
      </c>
      <c r="AN136">
        <v>2</v>
      </c>
      <c r="AP136">
        <v>1</v>
      </c>
      <c r="AQ136">
        <v>2</v>
      </c>
      <c r="AR136">
        <v>1</v>
      </c>
      <c r="AS136">
        <v>2</v>
      </c>
      <c r="AT136">
        <v>2</v>
      </c>
      <c r="AU136">
        <v>1</v>
      </c>
      <c r="AV136">
        <v>1</v>
      </c>
      <c r="AW136">
        <v>2</v>
      </c>
      <c r="AX136">
        <v>2</v>
      </c>
      <c r="AY136">
        <v>2</v>
      </c>
      <c r="AZ136">
        <v>1</v>
      </c>
      <c r="BA136">
        <v>2</v>
      </c>
      <c r="BB136">
        <v>1</v>
      </c>
      <c r="BC136">
        <v>2</v>
      </c>
      <c r="BD136">
        <v>1</v>
      </c>
      <c r="BE136">
        <v>1</v>
      </c>
      <c r="BF136">
        <v>1</v>
      </c>
      <c r="BG136">
        <v>2</v>
      </c>
      <c r="BH136">
        <v>2</v>
      </c>
      <c r="BI136">
        <v>2</v>
      </c>
      <c r="BJ136">
        <v>1</v>
      </c>
      <c r="BK136">
        <v>1</v>
      </c>
      <c r="BL136">
        <v>2</v>
      </c>
      <c r="BM136">
        <v>2</v>
      </c>
      <c r="BN136">
        <v>1</v>
      </c>
      <c r="BO136">
        <v>1</v>
      </c>
      <c r="BP136">
        <v>1</v>
      </c>
      <c r="BQ136">
        <v>2</v>
      </c>
      <c r="BR136">
        <v>1</v>
      </c>
      <c r="BS136">
        <v>1</v>
      </c>
      <c r="BT136">
        <v>2</v>
      </c>
      <c r="BU136">
        <v>2</v>
      </c>
      <c r="BV136">
        <v>1</v>
      </c>
      <c r="BW136">
        <v>2</v>
      </c>
      <c r="BX136">
        <v>1</v>
      </c>
      <c r="BY136">
        <v>1</v>
      </c>
      <c r="BZ136">
        <v>2</v>
      </c>
      <c r="CA136">
        <v>2</v>
      </c>
      <c r="CB136">
        <v>2</v>
      </c>
      <c r="CC136">
        <v>2</v>
      </c>
      <c r="CD136">
        <v>1</v>
      </c>
      <c r="CE136">
        <v>1</v>
      </c>
      <c r="CF136">
        <v>1</v>
      </c>
      <c r="CG136">
        <v>2</v>
      </c>
      <c r="CH136">
        <v>2</v>
      </c>
      <c r="CI136">
        <v>1</v>
      </c>
      <c r="CJ136">
        <v>1</v>
      </c>
      <c r="CK136">
        <v>2</v>
      </c>
      <c r="CL136">
        <v>2</v>
      </c>
      <c r="CM136">
        <v>2</v>
      </c>
      <c r="CN136">
        <v>2</v>
      </c>
      <c r="CO136">
        <v>1</v>
      </c>
      <c r="CP136">
        <v>2</v>
      </c>
      <c r="CQ136">
        <v>1</v>
      </c>
      <c r="CR136">
        <v>1</v>
      </c>
      <c r="CS136">
        <v>2</v>
      </c>
      <c r="CT136">
        <v>2</v>
      </c>
      <c r="CU136">
        <v>2</v>
      </c>
      <c r="CV136">
        <v>2</v>
      </c>
      <c r="CW136">
        <v>1</v>
      </c>
      <c r="CX136">
        <v>2</v>
      </c>
      <c r="CY136">
        <v>1</v>
      </c>
    </row>
    <row r="137" spans="1:103" x14ac:dyDescent="0.3">
      <c r="A137">
        <v>621</v>
      </c>
      <c r="B137" t="s">
        <v>626</v>
      </c>
      <c r="D137">
        <v>0</v>
      </c>
      <c r="E137">
        <v>0</v>
      </c>
      <c r="F137">
        <v>0</v>
      </c>
      <c r="G137">
        <v>0</v>
      </c>
      <c r="H137">
        <v>0</v>
      </c>
      <c r="I137">
        <v>0</v>
      </c>
      <c r="J137">
        <v>0</v>
      </c>
      <c r="K137">
        <v>0</v>
      </c>
      <c r="L137">
        <v>19650252</v>
      </c>
      <c r="M137">
        <v>0</v>
      </c>
      <c r="N137">
        <v>0</v>
      </c>
      <c r="O137">
        <v>0</v>
      </c>
      <c r="P137">
        <v>0</v>
      </c>
      <c r="Q137">
        <v>0</v>
      </c>
      <c r="R137">
        <v>0</v>
      </c>
      <c r="S137">
        <v>0</v>
      </c>
      <c r="U137">
        <v>0</v>
      </c>
      <c r="V137">
        <v>0</v>
      </c>
      <c r="X137">
        <v>0</v>
      </c>
      <c r="Y137">
        <v>0</v>
      </c>
      <c r="Z137">
        <v>0</v>
      </c>
      <c r="AA137">
        <v>0</v>
      </c>
      <c r="AB137">
        <v>0</v>
      </c>
      <c r="AC137">
        <v>0</v>
      </c>
      <c r="AD137">
        <v>32595008</v>
      </c>
      <c r="AE137">
        <v>0</v>
      </c>
      <c r="AF137">
        <v>0</v>
      </c>
      <c r="AG137">
        <v>0</v>
      </c>
      <c r="AH137">
        <v>0</v>
      </c>
      <c r="AI137">
        <v>0</v>
      </c>
      <c r="AJ137">
        <v>0</v>
      </c>
      <c r="AK137">
        <v>0</v>
      </c>
      <c r="AL137">
        <v>0</v>
      </c>
      <c r="AM137">
        <v>0</v>
      </c>
      <c r="AN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13830898</v>
      </c>
      <c r="BJ137">
        <v>0</v>
      </c>
      <c r="BK137">
        <v>0</v>
      </c>
      <c r="BL137">
        <v>0</v>
      </c>
      <c r="BM137">
        <v>0</v>
      </c>
      <c r="BN137">
        <v>0</v>
      </c>
      <c r="BO137">
        <v>0</v>
      </c>
      <c r="BP137">
        <v>0</v>
      </c>
      <c r="BQ137">
        <v>16515889</v>
      </c>
      <c r="BR137">
        <v>0</v>
      </c>
      <c r="BS137">
        <v>0</v>
      </c>
      <c r="BT137">
        <v>0</v>
      </c>
      <c r="BU137">
        <v>0</v>
      </c>
      <c r="BV137">
        <v>0</v>
      </c>
      <c r="BW137">
        <v>0</v>
      </c>
      <c r="BX137">
        <v>0</v>
      </c>
      <c r="BY137">
        <v>0</v>
      </c>
      <c r="BZ137">
        <v>0</v>
      </c>
      <c r="CA137">
        <v>0</v>
      </c>
      <c r="CB137">
        <v>0</v>
      </c>
      <c r="CC137">
        <v>0</v>
      </c>
      <c r="CD137">
        <v>0</v>
      </c>
      <c r="CE137">
        <v>0</v>
      </c>
      <c r="CF137">
        <v>26255448</v>
      </c>
      <c r="CG137">
        <v>0</v>
      </c>
      <c r="CH137">
        <v>0</v>
      </c>
      <c r="CI137">
        <v>0</v>
      </c>
      <c r="CJ137">
        <v>0</v>
      </c>
      <c r="CK137">
        <v>0</v>
      </c>
      <c r="CL137">
        <v>0</v>
      </c>
      <c r="CM137">
        <v>0</v>
      </c>
      <c r="CN137">
        <v>0</v>
      </c>
      <c r="CO137">
        <v>37890123</v>
      </c>
      <c r="CP137">
        <v>0</v>
      </c>
      <c r="CQ137">
        <v>0</v>
      </c>
      <c r="CR137">
        <v>0</v>
      </c>
      <c r="CS137">
        <v>7668018</v>
      </c>
      <c r="CT137">
        <v>0</v>
      </c>
      <c r="CU137">
        <v>0</v>
      </c>
      <c r="CV137">
        <v>0</v>
      </c>
      <c r="CW137">
        <v>0</v>
      </c>
      <c r="CX137">
        <v>0</v>
      </c>
      <c r="CY137">
        <v>0</v>
      </c>
    </row>
    <row r="138" spans="1:103" x14ac:dyDescent="0.3">
      <c r="A138">
        <v>622</v>
      </c>
      <c r="B138" t="s">
        <v>627</v>
      </c>
      <c r="D138">
        <v>33785948</v>
      </c>
      <c r="E138">
        <v>10486851</v>
      </c>
      <c r="F138">
        <v>3745344</v>
      </c>
      <c r="G138">
        <v>7927899</v>
      </c>
      <c r="H138">
        <v>8622359</v>
      </c>
      <c r="I138">
        <v>6860541</v>
      </c>
      <c r="J138">
        <v>14008230</v>
      </c>
      <c r="K138">
        <v>6913006</v>
      </c>
      <c r="L138">
        <v>11762376</v>
      </c>
      <c r="M138">
        <v>50172601</v>
      </c>
      <c r="N138">
        <v>76183535</v>
      </c>
      <c r="O138">
        <v>21496097</v>
      </c>
      <c r="P138">
        <v>49020060</v>
      </c>
      <c r="Q138">
        <v>20261189</v>
      </c>
      <c r="R138">
        <v>2731015</v>
      </c>
      <c r="S138">
        <v>16536718</v>
      </c>
      <c r="U138">
        <v>0</v>
      </c>
      <c r="V138">
        <v>20647062</v>
      </c>
      <c r="X138">
        <v>4385082</v>
      </c>
      <c r="Y138">
        <v>6195980</v>
      </c>
      <c r="Z138">
        <v>30318162</v>
      </c>
      <c r="AA138">
        <v>14955426</v>
      </c>
      <c r="AB138">
        <v>22554429</v>
      </c>
      <c r="AC138">
        <v>69215808</v>
      </c>
      <c r="AD138">
        <v>17489555</v>
      </c>
      <c r="AE138">
        <v>31179931</v>
      </c>
      <c r="AF138">
        <v>30137637</v>
      </c>
      <c r="AG138">
        <v>14173524</v>
      </c>
      <c r="AH138">
        <v>16652931</v>
      </c>
      <c r="AI138">
        <v>83900465</v>
      </c>
      <c r="AJ138">
        <v>13194736</v>
      </c>
      <c r="AK138">
        <v>74765845</v>
      </c>
      <c r="AL138">
        <v>20304628</v>
      </c>
      <c r="AM138">
        <v>63844041</v>
      </c>
      <c r="AN138">
        <v>2452892</v>
      </c>
      <c r="AP138">
        <v>11459997</v>
      </c>
      <c r="AQ138">
        <v>5449055</v>
      </c>
      <c r="AR138">
        <v>103480714</v>
      </c>
      <c r="AS138">
        <v>16276084</v>
      </c>
      <c r="AT138">
        <v>31587486</v>
      </c>
      <c r="AU138">
        <v>20102665</v>
      </c>
      <c r="AV138">
        <v>33753228</v>
      </c>
      <c r="AW138">
        <v>5176574</v>
      </c>
      <c r="AX138">
        <v>13474551</v>
      </c>
      <c r="AY138">
        <v>3713188</v>
      </c>
      <c r="AZ138">
        <v>43652241</v>
      </c>
      <c r="BA138">
        <v>0</v>
      </c>
      <c r="BB138">
        <v>51577144</v>
      </c>
      <c r="BC138">
        <v>4191017</v>
      </c>
      <c r="BD138">
        <v>13454806</v>
      </c>
      <c r="BE138">
        <v>13681027</v>
      </c>
      <c r="BF138">
        <v>31081448</v>
      </c>
      <c r="BG138">
        <v>12476582</v>
      </c>
      <c r="BH138">
        <v>6762944</v>
      </c>
      <c r="BI138">
        <v>5097030</v>
      </c>
      <c r="BJ138">
        <v>12715215</v>
      </c>
      <c r="BK138">
        <v>250521714</v>
      </c>
      <c r="BL138">
        <v>0</v>
      </c>
      <c r="BM138">
        <v>6364095</v>
      </c>
      <c r="BN138">
        <v>26054371</v>
      </c>
      <c r="BO138">
        <v>23782568</v>
      </c>
      <c r="BP138">
        <v>81912406</v>
      </c>
      <c r="BQ138">
        <v>8556241</v>
      </c>
      <c r="BR138">
        <v>45244253</v>
      </c>
      <c r="BS138">
        <v>39085506</v>
      </c>
      <c r="BT138">
        <v>4434727</v>
      </c>
      <c r="BU138">
        <v>10778513</v>
      </c>
      <c r="BV138">
        <v>17098040</v>
      </c>
      <c r="BW138">
        <v>3734061</v>
      </c>
      <c r="BX138">
        <v>12772757</v>
      </c>
      <c r="BY138">
        <v>39547539</v>
      </c>
      <c r="BZ138">
        <v>6911313</v>
      </c>
      <c r="CA138">
        <v>31181175</v>
      </c>
      <c r="CB138">
        <v>13237611</v>
      </c>
      <c r="CC138">
        <v>35539304</v>
      </c>
      <c r="CD138">
        <v>20406173</v>
      </c>
      <c r="CE138">
        <v>31016571</v>
      </c>
      <c r="CF138">
        <v>15206468</v>
      </c>
      <c r="CG138">
        <v>18758312</v>
      </c>
      <c r="CH138">
        <v>10837183</v>
      </c>
      <c r="CI138">
        <v>15843386</v>
      </c>
      <c r="CJ138">
        <v>11718374</v>
      </c>
      <c r="CK138">
        <v>19756845</v>
      </c>
      <c r="CL138">
        <v>6275525</v>
      </c>
      <c r="CM138">
        <v>13582866</v>
      </c>
      <c r="CN138">
        <v>1476926</v>
      </c>
      <c r="CO138">
        <v>55424774</v>
      </c>
      <c r="CP138">
        <v>9550938</v>
      </c>
      <c r="CQ138">
        <v>202717381</v>
      </c>
      <c r="CR138">
        <v>7981492</v>
      </c>
      <c r="CS138">
        <v>4480422</v>
      </c>
      <c r="CT138">
        <v>9633867</v>
      </c>
      <c r="CU138">
        <v>28378639</v>
      </c>
      <c r="CV138">
        <v>17151634</v>
      </c>
      <c r="CW138">
        <v>25789224</v>
      </c>
      <c r="CX138">
        <v>8530403</v>
      </c>
      <c r="CY138">
        <v>6066228</v>
      </c>
    </row>
    <row r="139" spans="1:103" x14ac:dyDescent="0.3">
      <c r="A139">
        <v>626</v>
      </c>
      <c r="B139" t="s">
        <v>628</v>
      </c>
      <c r="D139">
        <v>70381750</v>
      </c>
      <c r="E139">
        <v>11632842</v>
      </c>
      <c r="F139">
        <v>4552854</v>
      </c>
      <c r="G139">
        <v>2051650</v>
      </c>
      <c r="H139">
        <v>3365558</v>
      </c>
      <c r="I139">
        <v>2449296</v>
      </c>
      <c r="J139">
        <v>7783950</v>
      </c>
      <c r="K139">
        <v>4287302</v>
      </c>
      <c r="L139">
        <v>7128470</v>
      </c>
      <c r="M139">
        <v>41343621</v>
      </c>
      <c r="N139">
        <v>124254036</v>
      </c>
      <c r="O139">
        <v>16111535</v>
      </c>
      <c r="P139">
        <v>206221526</v>
      </c>
      <c r="Q139">
        <v>32778551</v>
      </c>
      <c r="R139">
        <v>1161095</v>
      </c>
      <c r="S139">
        <v>6154510</v>
      </c>
      <c r="U139">
        <v>44795085</v>
      </c>
      <c r="V139">
        <v>31436366</v>
      </c>
      <c r="X139">
        <v>2452618</v>
      </c>
      <c r="Y139">
        <v>6075122</v>
      </c>
      <c r="Z139">
        <v>83486995</v>
      </c>
      <c r="AA139">
        <v>13224017</v>
      </c>
      <c r="AB139">
        <v>22681233</v>
      </c>
      <c r="AC139">
        <v>84148328</v>
      </c>
      <c r="AD139">
        <v>9334918</v>
      </c>
      <c r="AE139">
        <v>66994083</v>
      </c>
      <c r="AF139">
        <v>21823484</v>
      </c>
      <c r="AG139">
        <v>17081728</v>
      </c>
      <c r="AH139">
        <v>9740168</v>
      </c>
      <c r="AI139">
        <v>163355850</v>
      </c>
      <c r="AJ139">
        <v>12061463</v>
      </c>
      <c r="AK139">
        <v>166329957</v>
      </c>
      <c r="AL139">
        <v>16344867</v>
      </c>
      <c r="AM139">
        <v>101673897</v>
      </c>
      <c r="AN139">
        <v>4432046</v>
      </c>
      <c r="AP139">
        <v>13867406</v>
      </c>
      <c r="AQ139">
        <v>2801952</v>
      </c>
      <c r="AR139">
        <v>216946409</v>
      </c>
      <c r="AS139">
        <v>8724739</v>
      </c>
      <c r="AT139">
        <v>63640863</v>
      </c>
      <c r="AU139">
        <v>22076887</v>
      </c>
      <c r="AV139">
        <v>52089220</v>
      </c>
      <c r="AW139">
        <v>4154875</v>
      </c>
      <c r="AX139">
        <v>38450976</v>
      </c>
      <c r="AY139">
        <v>3726394</v>
      </c>
      <c r="AZ139">
        <v>63661714</v>
      </c>
      <c r="BA139">
        <v>12500369</v>
      </c>
      <c r="BB139">
        <v>89286632</v>
      </c>
      <c r="BC139">
        <v>1390935</v>
      </c>
      <c r="BD139">
        <v>19384331</v>
      </c>
      <c r="BE139">
        <v>16651795</v>
      </c>
      <c r="BF139">
        <v>36573910</v>
      </c>
      <c r="BG139">
        <v>11903552</v>
      </c>
      <c r="BH139">
        <v>5445207</v>
      </c>
      <c r="BI139">
        <v>5637452</v>
      </c>
      <c r="BJ139">
        <v>12195485</v>
      </c>
      <c r="BK139">
        <v>597025486</v>
      </c>
      <c r="BL139">
        <v>10308606</v>
      </c>
      <c r="BM139">
        <v>9661196</v>
      </c>
      <c r="BN139">
        <v>41066864</v>
      </c>
      <c r="BO139">
        <v>27177644</v>
      </c>
      <c r="BP139">
        <v>105280566</v>
      </c>
      <c r="BQ139">
        <v>13225859</v>
      </c>
      <c r="BR139">
        <v>74007695</v>
      </c>
      <c r="BS139">
        <v>68589986</v>
      </c>
      <c r="BT139">
        <v>1686042</v>
      </c>
      <c r="BU139">
        <v>7791821</v>
      </c>
      <c r="BV139">
        <v>26685406</v>
      </c>
      <c r="BW139">
        <v>166275</v>
      </c>
      <c r="BX139">
        <v>20933808</v>
      </c>
      <c r="BY139">
        <v>55227441</v>
      </c>
      <c r="BZ139">
        <v>11908572</v>
      </c>
      <c r="CA139">
        <v>44373555</v>
      </c>
      <c r="CB139">
        <v>9159800</v>
      </c>
      <c r="CC139">
        <v>5783740</v>
      </c>
      <c r="CD139">
        <v>32710191</v>
      </c>
      <c r="CE139">
        <v>43016981</v>
      </c>
      <c r="CF139">
        <v>13233575</v>
      </c>
      <c r="CG139">
        <v>15163408</v>
      </c>
      <c r="CH139">
        <v>9896909</v>
      </c>
      <c r="CI139">
        <v>23295643</v>
      </c>
      <c r="CJ139">
        <v>24436254</v>
      </c>
      <c r="CK139">
        <v>24023217</v>
      </c>
      <c r="CL139">
        <v>8885941</v>
      </c>
      <c r="CM139">
        <v>7399090</v>
      </c>
      <c r="CN139">
        <v>1007149</v>
      </c>
      <c r="CO139">
        <v>96345315</v>
      </c>
      <c r="CP139">
        <v>11092785</v>
      </c>
      <c r="CQ139">
        <v>564617321</v>
      </c>
      <c r="CR139">
        <v>2825769</v>
      </c>
      <c r="CS139">
        <v>5943593</v>
      </c>
      <c r="CT139">
        <v>19392129</v>
      </c>
      <c r="CU139">
        <v>60549957</v>
      </c>
      <c r="CV139">
        <v>17865128</v>
      </c>
      <c r="CW139">
        <v>15524512</v>
      </c>
      <c r="CX139">
        <v>7461043</v>
      </c>
      <c r="CY139">
        <v>10694283</v>
      </c>
    </row>
    <row r="140" spans="1:103" x14ac:dyDescent="0.3">
      <c r="A140">
        <v>627</v>
      </c>
      <c r="B140" t="s">
        <v>629</v>
      </c>
      <c r="D140">
        <v>0</v>
      </c>
      <c r="E140">
        <v>0</v>
      </c>
      <c r="F140">
        <v>0</v>
      </c>
      <c r="G140">
        <v>0</v>
      </c>
      <c r="H140">
        <v>0</v>
      </c>
      <c r="I140">
        <v>0</v>
      </c>
      <c r="J140">
        <v>0</v>
      </c>
      <c r="K140">
        <v>0</v>
      </c>
      <c r="L140">
        <v>101580</v>
      </c>
      <c r="M140">
        <v>0</v>
      </c>
      <c r="N140">
        <v>0</v>
      </c>
      <c r="O140">
        <v>0</v>
      </c>
      <c r="P140">
        <v>0</v>
      </c>
      <c r="Q140">
        <v>0</v>
      </c>
      <c r="R140">
        <v>0</v>
      </c>
      <c r="S140">
        <v>0</v>
      </c>
      <c r="U140">
        <v>0</v>
      </c>
      <c r="V140">
        <v>0</v>
      </c>
      <c r="X140">
        <v>0</v>
      </c>
      <c r="Y140">
        <v>0</v>
      </c>
      <c r="Z140">
        <v>0</v>
      </c>
      <c r="AA140">
        <v>0</v>
      </c>
      <c r="AB140">
        <v>0</v>
      </c>
      <c r="AC140">
        <v>0</v>
      </c>
      <c r="AD140">
        <v>0</v>
      </c>
      <c r="AE140">
        <v>0</v>
      </c>
      <c r="AF140">
        <v>0</v>
      </c>
      <c r="AG140">
        <v>0</v>
      </c>
      <c r="AH140">
        <v>0</v>
      </c>
      <c r="AI140">
        <v>53208931</v>
      </c>
      <c r="AJ140">
        <v>0</v>
      </c>
      <c r="AK140">
        <v>0</v>
      </c>
      <c r="AL140">
        <v>0</v>
      </c>
      <c r="AM140">
        <v>0</v>
      </c>
      <c r="AN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v>
      </c>
      <c r="CR140">
        <v>0</v>
      </c>
      <c r="CS140">
        <v>0</v>
      </c>
      <c r="CT140">
        <v>0</v>
      </c>
      <c r="CU140">
        <v>0</v>
      </c>
      <c r="CV140">
        <v>0</v>
      </c>
      <c r="CW140">
        <v>0</v>
      </c>
      <c r="CX140">
        <v>0</v>
      </c>
      <c r="CY140">
        <v>0</v>
      </c>
    </row>
    <row r="141" spans="1:103" x14ac:dyDescent="0.3">
      <c r="A141">
        <v>628</v>
      </c>
      <c r="B141" t="s">
        <v>630</v>
      </c>
      <c r="D141">
        <v>2054682</v>
      </c>
      <c r="E141">
        <v>1036000</v>
      </c>
      <c r="F141">
        <v>309654</v>
      </c>
      <c r="G141">
        <v>0</v>
      </c>
      <c r="H141">
        <v>0</v>
      </c>
      <c r="I141">
        <v>0</v>
      </c>
      <c r="J141">
        <v>445189</v>
      </c>
      <c r="K141">
        <v>328059</v>
      </c>
      <c r="L141">
        <v>416479</v>
      </c>
      <c r="M141">
        <v>275000</v>
      </c>
      <c r="N141">
        <v>7404395</v>
      </c>
      <c r="O141">
        <v>2112567</v>
      </c>
      <c r="P141">
        <v>4754123</v>
      </c>
      <c r="Q141">
        <v>3203055</v>
      </c>
      <c r="R141">
        <v>185000</v>
      </c>
      <c r="S141">
        <v>1409647</v>
      </c>
      <c r="U141">
        <v>4052046</v>
      </c>
      <c r="V141">
        <v>2314864</v>
      </c>
      <c r="X141">
        <v>271094</v>
      </c>
      <c r="Y141">
        <v>0</v>
      </c>
      <c r="Z141">
        <v>465304</v>
      </c>
      <c r="AA141">
        <v>306755</v>
      </c>
      <c r="AB141">
        <v>2924720</v>
      </c>
      <c r="AC141">
        <v>6459070</v>
      </c>
      <c r="AD141">
        <v>591029</v>
      </c>
      <c r="AE141">
        <v>1184070</v>
      </c>
      <c r="AF141">
        <v>2100000</v>
      </c>
      <c r="AG141">
        <v>837000</v>
      </c>
      <c r="AH141">
        <v>338386</v>
      </c>
      <c r="AI141">
        <v>6823365</v>
      </c>
      <c r="AJ141">
        <v>317293</v>
      </c>
      <c r="AK141">
        <v>6559230</v>
      </c>
      <c r="AL141">
        <v>525107</v>
      </c>
      <c r="AM141">
        <v>2738145</v>
      </c>
      <c r="AN141">
        <v>198468</v>
      </c>
      <c r="AP141">
        <v>383299</v>
      </c>
      <c r="AQ141">
        <v>359900</v>
      </c>
      <c r="AR141">
        <v>4526337</v>
      </c>
      <c r="AS141">
        <v>805437</v>
      </c>
      <c r="AT141">
        <v>2350715</v>
      </c>
      <c r="AU141">
        <v>2100000</v>
      </c>
      <c r="AV141">
        <v>451739</v>
      </c>
      <c r="AW141">
        <v>127479</v>
      </c>
      <c r="AX141">
        <v>1077762</v>
      </c>
      <c r="AY141">
        <v>0</v>
      </c>
      <c r="AZ141">
        <v>3107963</v>
      </c>
      <c r="BA141">
        <v>471254</v>
      </c>
      <c r="BB141">
        <v>2355608</v>
      </c>
      <c r="BC141">
        <v>0</v>
      </c>
      <c r="BD141">
        <v>2000000</v>
      </c>
      <c r="BE141">
        <v>500000</v>
      </c>
      <c r="BF141">
        <v>1481574</v>
      </c>
      <c r="BG141">
        <v>128250</v>
      </c>
      <c r="BH141">
        <v>578739</v>
      </c>
      <c r="BI141">
        <v>200000</v>
      </c>
      <c r="BJ141">
        <v>0</v>
      </c>
      <c r="BK141">
        <v>33855464</v>
      </c>
      <c r="BL141">
        <v>146478</v>
      </c>
      <c r="BM141">
        <v>136219</v>
      </c>
      <c r="BN141">
        <v>900000</v>
      </c>
      <c r="BO141">
        <v>168230</v>
      </c>
      <c r="BP141">
        <v>6571352</v>
      </c>
      <c r="BQ141">
        <v>0</v>
      </c>
      <c r="BR141">
        <v>1193434</v>
      </c>
      <c r="BS141">
        <v>2908055</v>
      </c>
      <c r="BT141">
        <v>150000</v>
      </c>
      <c r="BU141">
        <v>650000</v>
      </c>
      <c r="BV141">
        <v>646067</v>
      </c>
      <c r="BW141">
        <v>0</v>
      </c>
      <c r="BX141">
        <v>363311</v>
      </c>
      <c r="BY141">
        <v>1473000</v>
      </c>
      <c r="BZ141">
        <v>365000</v>
      </c>
      <c r="CA141">
        <v>3692464</v>
      </c>
      <c r="CB141">
        <v>0</v>
      </c>
      <c r="CC141">
        <v>456118</v>
      </c>
      <c r="CD141">
        <v>1983120</v>
      </c>
      <c r="CE141">
        <v>967364</v>
      </c>
      <c r="CF141">
        <v>1522092</v>
      </c>
      <c r="CG141">
        <v>476400</v>
      </c>
      <c r="CH141">
        <v>0</v>
      </c>
      <c r="CI141">
        <v>1282812</v>
      </c>
      <c r="CJ141">
        <v>1310692</v>
      </c>
      <c r="CK141">
        <v>2002000</v>
      </c>
      <c r="CL141">
        <v>465000</v>
      </c>
      <c r="CM141">
        <v>1127182</v>
      </c>
      <c r="CN141">
        <v>0</v>
      </c>
      <c r="CO141">
        <v>6385894</v>
      </c>
      <c r="CP141">
        <v>0</v>
      </c>
      <c r="CQ141">
        <v>16561000</v>
      </c>
      <c r="CR141">
        <v>240704</v>
      </c>
      <c r="CS141">
        <v>0</v>
      </c>
      <c r="CT141">
        <v>111850</v>
      </c>
      <c r="CU141">
        <v>2727902</v>
      </c>
      <c r="CV141">
        <v>1962197</v>
      </c>
      <c r="CW141">
        <v>2778657</v>
      </c>
      <c r="CX141">
        <v>238741</v>
      </c>
      <c r="CY141">
        <v>430000</v>
      </c>
    </row>
    <row r="142" spans="1:103" x14ac:dyDescent="0.3">
      <c r="A142">
        <v>629</v>
      </c>
      <c r="B142" t="s">
        <v>631</v>
      </c>
      <c r="D142">
        <v>696101</v>
      </c>
      <c r="E142">
        <v>0</v>
      </c>
      <c r="F142">
        <v>0</v>
      </c>
      <c r="G142">
        <v>0</v>
      </c>
      <c r="H142">
        <v>0</v>
      </c>
      <c r="I142">
        <v>0</v>
      </c>
      <c r="J142">
        <v>0</v>
      </c>
      <c r="K142">
        <v>14476</v>
      </c>
      <c r="L142">
        <v>0</v>
      </c>
      <c r="M142">
        <v>0</v>
      </c>
      <c r="N142">
        <v>570848</v>
      </c>
      <c r="O142">
        <v>0</v>
      </c>
      <c r="P142">
        <v>0</v>
      </c>
      <c r="Q142">
        <v>0</v>
      </c>
      <c r="R142">
        <v>0</v>
      </c>
      <c r="S142">
        <v>0</v>
      </c>
      <c r="U142">
        <v>0</v>
      </c>
      <c r="V142">
        <v>70108</v>
      </c>
      <c r="X142">
        <v>0</v>
      </c>
      <c r="Y142">
        <v>0</v>
      </c>
      <c r="Z142">
        <v>0</v>
      </c>
      <c r="AA142">
        <v>0</v>
      </c>
      <c r="AB142">
        <v>0</v>
      </c>
      <c r="AC142">
        <v>0</v>
      </c>
      <c r="AD142">
        <v>0</v>
      </c>
      <c r="AE142">
        <v>0</v>
      </c>
      <c r="AF142">
        <v>0</v>
      </c>
      <c r="AG142">
        <v>0</v>
      </c>
      <c r="AH142">
        <v>0</v>
      </c>
      <c r="AI142">
        <v>0</v>
      </c>
      <c r="AJ142">
        <v>0</v>
      </c>
      <c r="AK142">
        <v>0</v>
      </c>
      <c r="AL142">
        <v>0</v>
      </c>
      <c r="AM142">
        <v>0</v>
      </c>
      <c r="AN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793140</v>
      </c>
      <c r="BQ142">
        <v>0</v>
      </c>
      <c r="BR142">
        <v>0</v>
      </c>
      <c r="BS142">
        <v>237641</v>
      </c>
      <c r="BT142">
        <v>0</v>
      </c>
      <c r="BU142">
        <v>123560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c r="CP142">
        <v>0</v>
      </c>
      <c r="CQ142">
        <v>0</v>
      </c>
      <c r="CR142">
        <v>0</v>
      </c>
      <c r="CS142">
        <v>0</v>
      </c>
      <c r="CT142">
        <v>0</v>
      </c>
      <c r="CU142">
        <v>0</v>
      </c>
      <c r="CV142">
        <v>0</v>
      </c>
      <c r="CW142">
        <v>0</v>
      </c>
      <c r="CX142">
        <v>0</v>
      </c>
      <c r="CY142">
        <v>0</v>
      </c>
    </row>
    <row r="143" spans="1:103" x14ac:dyDescent="0.3">
      <c r="A143">
        <v>630</v>
      </c>
      <c r="B143" t="s">
        <v>632</v>
      </c>
      <c r="D143">
        <v>28724486</v>
      </c>
      <c r="E143">
        <v>2027</v>
      </c>
      <c r="F143">
        <v>0</v>
      </c>
      <c r="G143">
        <v>0</v>
      </c>
      <c r="H143">
        <v>540420</v>
      </c>
      <c r="I143">
        <v>0</v>
      </c>
      <c r="J143">
        <v>0</v>
      </c>
      <c r="K143">
        <v>0</v>
      </c>
      <c r="L143">
        <v>0</v>
      </c>
      <c r="M143">
        <v>0</v>
      </c>
      <c r="N143">
        <v>1682451</v>
      </c>
      <c r="O143">
        <v>433429</v>
      </c>
      <c r="P143">
        <v>0</v>
      </c>
      <c r="Q143">
        <v>21135696</v>
      </c>
      <c r="R143">
        <v>63147</v>
      </c>
      <c r="S143">
        <v>0</v>
      </c>
      <c r="U143">
        <v>0</v>
      </c>
      <c r="V143">
        <v>1015691</v>
      </c>
      <c r="X143">
        <v>0</v>
      </c>
      <c r="Y143">
        <v>0</v>
      </c>
      <c r="Z143">
        <v>0</v>
      </c>
      <c r="AA143">
        <v>0</v>
      </c>
      <c r="AB143">
        <v>0</v>
      </c>
      <c r="AC143">
        <v>2310836</v>
      </c>
      <c r="AD143">
        <v>0</v>
      </c>
      <c r="AE143">
        <v>197854</v>
      </c>
      <c r="AF143">
        <v>1497101</v>
      </c>
      <c r="AG143">
        <v>4904698</v>
      </c>
      <c r="AH143">
        <v>0</v>
      </c>
      <c r="AI143">
        <v>0</v>
      </c>
      <c r="AJ143">
        <v>0</v>
      </c>
      <c r="AK143">
        <v>0</v>
      </c>
      <c r="AL143">
        <v>1151593</v>
      </c>
      <c r="AM143">
        <v>0</v>
      </c>
      <c r="AN143">
        <v>0</v>
      </c>
      <c r="AP143">
        <v>2352524</v>
      </c>
      <c r="AQ143">
        <v>0</v>
      </c>
      <c r="AR143">
        <v>0</v>
      </c>
      <c r="AS143">
        <v>72393</v>
      </c>
      <c r="AT143">
        <v>0</v>
      </c>
      <c r="AU143">
        <v>5643950</v>
      </c>
      <c r="AV143">
        <v>23415518</v>
      </c>
      <c r="AW143">
        <v>25000</v>
      </c>
      <c r="AX143">
        <v>15954</v>
      </c>
      <c r="AY143">
        <v>1975575</v>
      </c>
      <c r="AZ143">
        <v>115976</v>
      </c>
      <c r="BA143">
        <v>0</v>
      </c>
      <c r="BB143">
        <v>42873457</v>
      </c>
      <c r="BC143">
        <v>0</v>
      </c>
      <c r="BD143">
        <v>379027</v>
      </c>
      <c r="BE143">
        <v>0</v>
      </c>
      <c r="BF143">
        <v>422632</v>
      </c>
      <c r="BG143">
        <v>4621683</v>
      </c>
      <c r="BH143">
        <v>0</v>
      </c>
      <c r="BI143">
        <v>0</v>
      </c>
      <c r="BJ143">
        <v>9979520</v>
      </c>
      <c r="BK143">
        <v>19357994</v>
      </c>
      <c r="BL143">
        <v>0</v>
      </c>
      <c r="BM143">
        <v>0</v>
      </c>
      <c r="BN143">
        <v>4860733</v>
      </c>
      <c r="BO143">
        <v>14010595</v>
      </c>
      <c r="BP143">
        <v>0</v>
      </c>
      <c r="BQ143">
        <v>0</v>
      </c>
      <c r="BR143">
        <v>438147</v>
      </c>
      <c r="BS143">
        <v>0</v>
      </c>
      <c r="BT143">
        <v>0</v>
      </c>
      <c r="BU143">
        <v>0</v>
      </c>
      <c r="BV143">
        <v>0</v>
      </c>
      <c r="BW143">
        <v>0</v>
      </c>
      <c r="BX143">
        <v>0</v>
      </c>
      <c r="BY143">
        <v>2318439</v>
      </c>
      <c r="BZ143">
        <v>222211</v>
      </c>
      <c r="CA143">
        <v>20056870</v>
      </c>
      <c r="CB143">
        <v>0</v>
      </c>
      <c r="CC143">
        <v>0</v>
      </c>
      <c r="CD143">
        <v>0</v>
      </c>
      <c r="CE143">
        <v>31661</v>
      </c>
      <c r="CF143">
        <v>4657963</v>
      </c>
      <c r="CG143">
        <v>0</v>
      </c>
      <c r="CH143">
        <v>4924778</v>
      </c>
      <c r="CI143">
        <v>0</v>
      </c>
      <c r="CJ143">
        <v>53847</v>
      </c>
      <c r="CK143">
        <v>9147147</v>
      </c>
      <c r="CL143">
        <v>0</v>
      </c>
      <c r="CM143">
        <v>0</v>
      </c>
      <c r="CN143">
        <v>305394</v>
      </c>
      <c r="CO143">
        <v>562998</v>
      </c>
      <c r="CP143">
        <v>0</v>
      </c>
      <c r="CQ143">
        <v>161706206</v>
      </c>
      <c r="CR143">
        <v>34296</v>
      </c>
      <c r="CS143">
        <v>3580765</v>
      </c>
      <c r="CT143">
        <v>721442</v>
      </c>
      <c r="CU143">
        <v>0</v>
      </c>
      <c r="CV143">
        <v>0</v>
      </c>
      <c r="CW143">
        <v>6669130</v>
      </c>
      <c r="CX143">
        <v>0</v>
      </c>
      <c r="CY143">
        <v>7052319</v>
      </c>
    </row>
    <row r="144" spans="1:103" x14ac:dyDescent="0.3">
      <c r="A144">
        <v>631</v>
      </c>
      <c r="B144" t="s">
        <v>633</v>
      </c>
      <c r="D144">
        <v>15892314</v>
      </c>
      <c r="E144">
        <v>0</v>
      </c>
      <c r="F144">
        <v>0</v>
      </c>
      <c r="G144">
        <v>0</v>
      </c>
      <c r="H144">
        <v>0</v>
      </c>
      <c r="I144">
        <v>0</v>
      </c>
      <c r="J144">
        <v>0</v>
      </c>
      <c r="K144">
        <v>360985</v>
      </c>
      <c r="L144">
        <v>0</v>
      </c>
      <c r="M144">
        <v>2705855</v>
      </c>
      <c r="N144">
        <v>0</v>
      </c>
      <c r="O144">
        <v>0</v>
      </c>
      <c r="P144">
        <v>0</v>
      </c>
      <c r="Q144">
        <v>0</v>
      </c>
      <c r="R144">
        <v>0</v>
      </c>
      <c r="S144">
        <v>0</v>
      </c>
      <c r="U144">
        <v>0</v>
      </c>
      <c r="V144">
        <v>285886</v>
      </c>
      <c r="X144">
        <v>0</v>
      </c>
      <c r="Y144">
        <v>0</v>
      </c>
      <c r="Z144">
        <v>0</v>
      </c>
      <c r="AA144">
        <v>0</v>
      </c>
      <c r="AB144">
        <v>0</v>
      </c>
      <c r="AC144">
        <v>0</v>
      </c>
      <c r="AD144">
        <v>0</v>
      </c>
      <c r="AE144">
        <v>0</v>
      </c>
      <c r="AF144">
        <v>0</v>
      </c>
      <c r="AG144">
        <v>0</v>
      </c>
      <c r="AH144">
        <v>0</v>
      </c>
      <c r="AI144">
        <v>0</v>
      </c>
      <c r="AJ144">
        <v>0</v>
      </c>
      <c r="AK144">
        <v>0</v>
      </c>
      <c r="AL144">
        <v>0</v>
      </c>
      <c r="AM144">
        <v>3928145</v>
      </c>
      <c r="AN144">
        <v>0</v>
      </c>
      <c r="AP144">
        <v>0</v>
      </c>
      <c r="AQ144">
        <v>0</v>
      </c>
      <c r="AR144">
        <v>0</v>
      </c>
      <c r="AS144">
        <v>0</v>
      </c>
      <c r="AT144">
        <v>0</v>
      </c>
      <c r="AU144">
        <v>0</v>
      </c>
      <c r="AV144">
        <v>0</v>
      </c>
      <c r="AW144">
        <v>0</v>
      </c>
      <c r="AX144">
        <v>0</v>
      </c>
      <c r="AY144">
        <v>0</v>
      </c>
      <c r="AZ144">
        <v>1217035</v>
      </c>
      <c r="BA144">
        <v>0</v>
      </c>
      <c r="BB144">
        <v>0</v>
      </c>
      <c r="BC144">
        <v>0</v>
      </c>
      <c r="BD144">
        <v>0</v>
      </c>
      <c r="BE144">
        <v>0</v>
      </c>
      <c r="BF144">
        <v>0</v>
      </c>
      <c r="BG144">
        <v>0</v>
      </c>
      <c r="BH144">
        <v>0</v>
      </c>
      <c r="BI144">
        <v>0</v>
      </c>
      <c r="BJ144">
        <v>0</v>
      </c>
      <c r="BK144">
        <v>0</v>
      </c>
      <c r="BL144">
        <v>0</v>
      </c>
      <c r="BM144">
        <v>0</v>
      </c>
      <c r="BN144">
        <v>0</v>
      </c>
      <c r="BO144">
        <v>0</v>
      </c>
      <c r="BP144">
        <v>4628237</v>
      </c>
      <c r="BQ144">
        <v>0</v>
      </c>
      <c r="BR144">
        <v>0</v>
      </c>
      <c r="BS144">
        <v>0</v>
      </c>
      <c r="BT144">
        <v>0</v>
      </c>
      <c r="BU144">
        <v>366856</v>
      </c>
      <c r="BV144">
        <v>0</v>
      </c>
      <c r="BW144">
        <v>0</v>
      </c>
      <c r="BX144">
        <v>274170</v>
      </c>
      <c r="BY144">
        <v>0</v>
      </c>
      <c r="BZ144">
        <v>0</v>
      </c>
      <c r="CA144">
        <v>0</v>
      </c>
      <c r="CB144">
        <v>0</v>
      </c>
      <c r="CC144">
        <v>0</v>
      </c>
      <c r="CD144">
        <v>0</v>
      </c>
      <c r="CE144">
        <v>344000</v>
      </c>
      <c r="CF144">
        <v>0</v>
      </c>
      <c r="CG144">
        <v>0</v>
      </c>
      <c r="CH144">
        <v>0</v>
      </c>
      <c r="CI144">
        <v>0</v>
      </c>
      <c r="CJ144">
        <v>0</v>
      </c>
      <c r="CK144">
        <v>0</v>
      </c>
      <c r="CL144">
        <v>0</v>
      </c>
      <c r="CM144">
        <v>140600</v>
      </c>
      <c r="CN144">
        <v>0</v>
      </c>
      <c r="CO144">
        <v>0</v>
      </c>
      <c r="CP144">
        <v>0</v>
      </c>
      <c r="CQ144">
        <v>0</v>
      </c>
      <c r="CR144">
        <v>0</v>
      </c>
      <c r="CS144">
        <v>0</v>
      </c>
      <c r="CT144">
        <v>0</v>
      </c>
      <c r="CU144">
        <v>0</v>
      </c>
      <c r="CV144">
        <v>0</v>
      </c>
      <c r="CW144">
        <v>0</v>
      </c>
      <c r="CX144">
        <v>0</v>
      </c>
      <c r="CY144">
        <v>0</v>
      </c>
    </row>
    <row r="145" spans="1:103" x14ac:dyDescent="0.3">
      <c r="A145">
        <v>632</v>
      </c>
      <c r="B145" t="s">
        <v>634</v>
      </c>
      <c r="D145">
        <v>0</v>
      </c>
      <c r="E145">
        <v>0</v>
      </c>
      <c r="F145">
        <v>0</v>
      </c>
      <c r="G145">
        <v>0</v>
      </c>
      <c r="H145">
        <v>0</v>
      </c>
      <c r="I145">
        <v>0</v>
      </c>
      <c r="J145">
        <v>0</v>
      </c>
      <c r="K145">
        <v>0</v>
      </c>
      <c r="L145">
        <v>0</v>
      </c>
      <c r="M145">
        <v>121697</v>
      </c>
      <c r="N145">
        <v>0</v>
      </c>
      <c r="O145">
        <v>0</v>
      </c>
      <c r="P145">
        <v>0</v>
      </c>
      <c r="Q145">
        <v>0</v>
      </c>
      <c r="R145">
        <v>0</v>
      </c>
      <c r="S145">
        <v>0</v>
      </c>
      <c r="U145">
        <v>0</v>
      </c>
      <c r="V145">
        <v>0</v>
      </c>
      <c r="X145">
        <v>0</v>
      </c>
      <c r="Y145">
        <v>0</v>
      </c>
      <c r="Z145">
        <v>0</v>
      </c>
      <c r="AA145">
        <v>0</v>
      </c>
      <c r="AB145">
        <v>0</v>
      </c>
      <c r="AC145">
        <v>0</v>
      </c>
      <c r="AD145">
        <v>0</v>
      </c>
      <c r="AE145">
        <v>0</v>
      </c>
      <c r="AF145">
        <v>0</v>
      </c>
      <c r="AG145">
        <v>0</v>
      </c>
      <c r="AH145">
        <v>0</v>
      </c>
      <c r="AI145">
        <v>0</v>
      </c>
      <c r="AJ145">
        <v>0</v>
      </c>
      <c r="AK145">
        <v>0</v>
      </c>
      <c r="AL145">
        <v>0</v>
      </c>
      <c r="AM145">
        <v>0</v>
      </c>
      <c r="AN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65000</v>
      </c>
      <c r="BO145">
        <v>0</v>
      </c>
      <c r="BP145">
        <v>0</v>
      </c>
      <c r="BQ145">
        <v>0</v>
      </c>
      <c r="BR145">
        <v>0</v>
      </c>
      <c r="BS145">
        <v>0</v>
      </c>
      <c r="BT145">
        <v>0</v>
      </c>
      <c r="BU145">
        <v>0</v>
      </c>
      <c r="BV145">
        <v>0</v>
      </c>
      <c r="BW145">
        <v>0</v>
      </c>
      <c r="BX145">
        <v>0</v>
      </c>
      <c r="BY145">
        <v>0</v>
      </c>
      <c r="BZ145">
        <v>0</v>
      </c>
      <c r="CA145">
        <v>61113</v>
      </c>
      <c r="CB145">
        <v>0</v>
      </c>
      <c r="CC145">
        <v>0</v>
      </c>
      <c r="CD145">
        <v>0</v>
      </c>
      <c r="CE145">
        <v>0</v>
      </c>
      <c r="CF145">
        <v>0</v>
      </c>
      <c r="CG145">
        <v>0</v>
      </c>
      <c r="CH145">
        <v>0</v>
      </c>
      <c r="CI145">
        <v>0</v>
      </c>
      <c r="CJ145">
        <v>0</v>
      </c>
      <c r="CK145">
        <v>0</v>
      </c>
      <c r="CL145">
        <v>0</v>
      </c>
      <c r="CM145">
        <v>0</v>
      </c>
      <c r="CN145">
        <v>0</v>
      </c>
      <c r="CO145">
        <v>0</v>
      </c>
      <c r="CP145">
        <v>0</v>
      </c>
      <c r="CQ145">
        <v>0</v>
      </c>
      <c r="CR145">
        <v>0</v>
      </c>
      <c r="CS145">
        <v>0</v>
      </c>
      <c r="CT145">
        <v>0</v>
      </c>
      <c r="CU145">
        <v>0</v>
      </c>
      <c r="CV145">
        <v>0</v>
      </c>
      <c r="CW145">
        <v>0</v>
      </c>
      <c r="CX145">
        <v>0</v>
      </c>
      <c r="CY145">
        <v>64000</v>
      </c>
    </row>
    <row r="146" spans="1:103" x14ac:dyDescent="0.3">
      <c r="A146">
        <v>633</v>
      </c>
      <c r="B146" t="s">
        <v>321</v>
      </c>
      <c r="D146">
        <v>0</v>
      </c>
      <c r="E146">
        <v>965147</v>
      </c>
      <c r="F146">
        <v>0</v>
      </c>
      <c r="G146">
        <v>562894</v>
      </c>
      <c r="H146">
        <v>0</v>
      </c>
      <c r="I146">
        <v>0</v>
      </c>
      <c r="J146">
        <v>3005856</v>
      </c>
      <c r="K146">
        <v>831737</v>
      </c>
      <c r="L146">
        <v>824047</v>
      </c>
      <c r="M146">
        <v>32638084</v>
      </c>
      <c r="N146">
        <v>0</v>
      </c>
      <c r="O146">
        <v>275482</v>
      </c>
      <c r="P146">
        <v>0</v>
      </c>
      <c r="Q146">
        <v>450854</v>
      </c>
      <c r="R146">
        <v>278195</v>
      </c>
      <c r="S146">
        <v>817048</v>
      </c>
      <c r="U146">
        <v>0</v>
      </c>
      <c r="V146">
        <v>2353139</v>
      </c>
      <c r="X146">
        <v>87284</v>
      </c>
      <c r="Y146">
        <v>256548</v>
      </c>
      <c r="Z146">
        <v>0</v>
      </c>
      <c r="AA146">
        <v>1462141</v>
      </c>
      <c r="AB146">
        <v>1764285</v>
      </c>
      <c r="AC146">
        <v>217150</v>
      </c>
      <c r="AD146">
        <v>2717349</v>
      </c>
      <c r="AE146">
        <v>4626388</v>
      </c>
      <c r="AF146">
        <v>740059</v>
      </c>
      <c r="AG146">
        <v>2356234</v>
      </c>
      <c r="AH146">
        <v>1310710</v>
      </c>
      <c r="AI146">
        <v>2566147</v>
      </c>
      <c r="AJ146">
        <v>980844</v>
      </c>
      <c r="AK146">
        <v>0</v>
      </c>
      <c r="AL146">
        <v>4018092</v>
      </c>
      <c r="AM146">
        <v>0</v>
      </c>
      <c r="AN146">
        <v>128806</v>
      </c>
      <c r="AP146">
        <v>0</v>
      </c>
      <c r="AQ146">
        <v>912155</v>
      </c>
      <c r="AR146">
        <v>0</v>
      </c>
      <c r="AS146">
        <v>2048574</v>
      </c>
      <c r="AT146">
        <v>7630552</v>
      </c>
      <c r="AU146">
        <v>0</v>
      </c>
      <c r="AV146">
        <v>2337</v>
      </c>
      <c r="AW146">
        <v>2024404</v>
      </c>
      <c r="AX146">
        <v>3614340</v>
      </c>
      <c r="AY146">
        <v>457656</v>
      </c>
      <c r="AZ146">
        <v>0</v>
      </c>
      <c r="BA146">
        <v>0</v>
      </c>
      <c r="BB146">
        <v>20264730</v>
      </c>
      <c r="BC146">
        <v>454265</v>
      </c>
      <c r="BD146">
        <v>0</v>
      </c>
      <c r="BE146">
        <v>0</v>
      </c>
      <c r="BF146">
        <v>5508962</v>
      </c>
      <c r="BG146">
        <v>0</v>
      </c>
      <c r="BH146">
        <v>0</v>
      </c>
      <c r="BI146">
        <v>2079980</v>
      </c>
      <c r="BJ146">
        <v>37128</v>
      </c>
      <c r="BK146">
        <v>0</v>
      </c>
      <c r="BL146">
        <v>0</v>
      </c>
      <c r="BM146">
        <v>1152263</v>
      </c>
      <c r="BN146">
        <v>11090289</v>
      </c>
      <c r="BO146">
        <v>1671414</v>
      </c>
      <c r="BP146">
        <v>0</v>
      </c>
      <c r="BQ146">
        <v>1133394</v>
      </c>
      <c r="BR146">
        <v>0</v>
      </c>
      <c r="BS146">
        <v>0</v>
      </c>
      <c r="BT146">
        <v>448057</v>
      </c>
      <c r="BU146">
        <v>1716652</v>
      </c>
      <c r="BV146">
        <v>4246541</v>
      </c>
      <c r="BW146">
        <v>272213</v>
      </c>
      <c r="BX146">
        <v>0</v>
      </c>
      <c r="BY146">
        <v>0</v>
      </c>
      <c r="BZ146">
        <v>222257</v>
      </c>
      <c r="CA146">
        <v>0</v>
      </c>
      <c r="CB146">
        <v>994917</v>
      </c>
      <c r="CC146">
        <v>2790381</v>
      </c>
      <c r="CD146">
        <v>772748</v>
      </c>
      <c r="CE146">
        <v>93968</v>
      </c>
      <c r="CF146">
        <v>0</v>
      </c>
      <c r="CG146">
        <v>1463233</v>
      </c>
      <c r="CH146">
        <v>669534</v>
      </c>
      <c r="CI146">
        <v>2432146</v>
      </c>
      <c r="CJ146">
        <v>5997</v>
      </c>
      <c r="CK146">
        <v>1950724</v>
      </c>
      <c r="CL146">
        <v>0</v>
      </c>
      <c r="CM146">
        <v>0</v>
      </c>
      <c r="CN146">
        <v>186509</v>
      </c>
      <c r="CO146">
        <v>40415564</v>
      </c>
      <c r="CP146">
        <v>380294</v>
      </c>
      <c r="CQ146">
        <v>0</v>
      </c>
      <c r="CR146">
        <v>1258786</v>
      </c>
      <c r="CS146">
        <v>592105</v>
      </c>
      <c r="CT146">
        <v>0</v>
      </c>
      <c r="CU146">
        <v>596498</v>
      </c>
      <c r="CV146">
        <v>0</v>
      </c>
      <c r="CW146">
        <v>466596</v>
      </c>
      <c r="CX146">
        <v>247476</v>
      </c>
      <c r="CY146">
        <v>644632</v>
      </c>
    </row>
    <row r="147" spans="1:103" x14ac:dyDescent="0.3">
      <c r="A147">
        <v>634</v>
      </c>
      <c r="B147" t="s">
        <v>322</v>
      </c>
      <c r="D147">
        <v>0</v>
      </c>
      <c r="E147">
        <v>0</v>
      </c>
      <c r="F147">
        <v>0</v>
      </c>
      <c r="G147">
        <v>0</v>
      </c>
      <c r="H147">
        <v>0</v>
      </c>
      <c r="I147">
        <v>0</v>
      </c>
      <c r="J147">
        <v>0</v>
      </c>
      <c r="K147">
        <v>0</v>
      </c>
      <c r="L147">
        <v>695771</v>
      </c>
      <c r="M147">
        <v>0</v>
      </c>
      <c r="N147">
        <v>0</v>
      </c>
      <c r="O147">
        <v>0</v>
      </c>
      <c r="P147">
        <v>0</v>
      </c>
      <c r="Q147">
        <v>0</v>
      </c>
      <c r="R147">
        <v>0</v>
      </c>
      <c r="S147">
        <v>0</v>
      </c>
      <c r="U147">
        <v>0</v>
      </c>
      <c r="V147">
        <v>1172376</v>
      </c>
      <c r="X147">
        <v>0</v>
      </c>
      <c r="Y147">
        <v>0</v>
      </c>
      <c r="Z147">
        <v>0</v>
      </c>
      <c r="AA147">
        <v>0</v>
      </c>
      <c r="AB147">
        <v>0</v>
      </c>
      <c r="AC147">
        <v>0</v>
      </c>
      <c r="AD147">
        <v>0</v>
      </c>
      <c r="AE147">
        <v>0</v>
      </c>
      <c r="AF147">
        <v>0</v>
      </c>
      <c r="AG147">
        <v>0</v>
      </c>
      <c r="AH147">
        <v>404477</v>
      </c>
      <c r="AI147">
        <v>1543033</v>
      </c>
      <c r="AJ147">
        <v>0</v>
      </c>
      <c r="AK147">
        <v>0</v>
      </c>
      <c r="AL147">
        <v>0</v>
      </c>
      <c r="AM147">
        <v>0</v>
      </c>
      <c r="AN147">
        <v>0</v>
      </c>
      <c r="AP147">
        <v>0</v>
      </c>
      <c r="AQ147">
        <v>0</v>
      </c>
      <c r="AR147">
        <v>0</v>
      </c>
      <c r="AS147">
        <v>0</v>
      </c>
      <c r="AT147">
        <v>0</v>
      </c>
      <c r="AU147">
        <v>0</v>
      </c>
      <c r="AV147">
        <v>0</v>
      </c>
      <c r="AW147">
        <v>0</v>
      </c>
      <c r="AX147">
        <v>0</v>
      </c>
      <c r="AY147">
        <v>0</v>
      </c>
      <c r="AZ147">
        <v>0</v>
      </c>
      <c r="BA147">
        <v>0</v>
      </c>
      <c r="BB147">
        <v>0</v>
      </c>
      <c r="BC147">
        <v>140447</v>
      </c>
      <c r="BD147">
        <v>0</v>
      </c>
      <c r="BE147">
        <v>0</v>
      </c>
      <c r="BF147">
        <v>0</v>
      </c>
      <c r="BG147">
        <v>0</v>
      </c>
      <c r="BH147">
        <v>0</v>
      </c>
      <c r="BI147">
        <v>0</v>
      </c>
      <c r="BJ147">
        <v>0</v>
      </c>
      <c r="BK147">
        <v>0</v>
      </c>
      <c r="BL147">
        <v>0</v>
      </c>
      <c r="BM147">
        <v>0</v>
      </c>
      <c r="BN147">
        <v>5413000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0</v>
      </c>
      <c r="CN147">
        <v>0</v>
      </c>
      <c r="CO147">
        <v>0</v>
      </c>
      <c r="CP147">
        <v>0</v>
      </c>
      <c r="CQ147">
        <v>0</v>
      </c>
      <c r="CR147">
        <v>0</v>
      </c>
      <c r="CS147">
        <v>0</v>
      </c>
      <c r="CT147">
        <v>0</v>
      </c>
      <c r="CU147">
        <v>90000</v>
      </c>
      <c r="CV147">
        <v>0</v>
      </c>
      <c r="CW147">
        <v>0</v>
      </c>
      <c r="CX147">
        <v>0</v>
      </c>
      <c r="CY147">
        <v>38162</v>
      </c>
    </row>
    <row r="148" spans="1:103" x14ac:dyDescent="0.3">
      <c r="A148">
        <v>635</v>
      </c>
      <c r="B148" t="s">
        <v>323</v>
      </c>
      <c r="D148">
        <v>0</v>
      </c>
      <c r="E148">
        <v>0</v>
      </c>
      <c r="F148">
        <v>0</v>
      </c>
      <c r="G148">
        <v>0</v>
      </c>
      <c r="H148">
        <v>0</v>
      </c>
      <c r="I148">
        <v>0</v>
      </c>
      <c r="J148">
        <v>35630</v>
      </c>
      <c r="K148">
        <v>22264</v>
      </c>
      <c r="L148">
        <v>7465</v>
      </c>
      <c r="M148">
        <v>32000</v>
      </c>
      <c r="N148">
        <v>0</v>
      </c>
      <c r="O148">
        <v>8583</v>
      </c>
      <c r="P148">
        <v>0</v>
      </c>
      <c r="Q148">
        <v>83015</v>
      </c>
      <c r="R148">
        <v>30756</v>
      </c>
      <c r="S148">
        <v>4119</v>
      </c>
      <c r="U148">
        <v>0</v>
      </c>
      <c r="V148">
        <v>83526</v>
      </c>
      <c r="X148">
        <v>20222</v>
      </c>
      <c r="Y148">
        <v>0</v>
      </c>
      <c r="Z148">
        <v>0</v>
      </c>
      <c r="AA148">
        <v>4847</v>
      </c>
      <c r="AB148">
        <v>46042</v>
      </c>
      <c r="AC148">
        <v>0</v>
      </c>
      <c r="AD148">
        <v>53901</v>
      </c>
      <c r="AE148">
        <v>118310</v>
      </c>
      <c r="AF148">
        <v>381</v>
      </c>
      <c r="AG148">
        <v>92414</v>
      </c>
      <c r="AH148">
        <v>9882</v>
      </c>
      <c r="AI148">
        <v>65716</v>
      </c>
      <c r="AJ148">
        <v>0</v>
      </c>
      <c r="AK148">
        <v>0</v>
      </c>
      <c r="AL148">
        <v>50018</v>
      </c>
      <c r="AM148">
        <v>0</v>
      </c>
      <c r="AN148">
        <v>32277</v>
      </c>
      <c r="AP148">
        <v>0</v>
      </c>
      <c r="AQ148">
        <v>25019</v>
      </c>
      <c r="AR148">
        <v>0</v>
      </c>
      <c r="AS148">
        <v>21225</v>
      </c>
      <c r="AT148">
        <v>522209</v>
      </c>
      <c r="AU148">
        <v>0</v>
      </c>
      <c r="AV148">
        <v>0</v>
      </c>
      <c r="AW148">
        <v>9063</v>
      </c>
      <c r="AX148">
        <v>48108</v>
      </c>
      <c r="AY148">
        <v>0</v>
      </c>
      <c r="AZ148">
        <v>0</v>
      </c>
      <c r="BA148">
        <v>0</v>
      </c>
      <c r="BB148">
        <v>197528</v>
      </c>
      <c r="BC148">
        <v>25059</v>
      </c>
      <c r="BD148">
        <v>0</v>
      </c>
      <c r="BE148">
        <v>0</v>
      </c>
      <c r="BF148">
        <v>106578</v>
      </c>
      <c r="BG148">
        <v>0</v>
      </c>
      <c r="BH148">
        <v>0</v>
      </c>
      <c r="BI148">
        <v>3000</v>
      </c>
      <c r="BJ148">
        <v>0</v>
      </c>
      <c r="BK148">
        <v>0</v>
      </c>
      <c r="BL148">
        <v>0</v>
      </c>
      <c r="BM148">
        <v>7839</v>
      </c>
      <c r="BN148">
        <v>60000</v>
      </c>
      <c r="BO148">
        <v>2944</v>
      </c>
      <c r="BP148">
        <v>0</v>
      </c>
      <c r="BQ148">
        <v>0</v>
      </c>
      <c r="BR148">
        <v>0</v>
      </c>
      <c r="BS148">
        <v>0</v>
      </c>
      <c r="BT148">
        <v>12000</v>
      </c>
      <c r="BU148">
        <v>36700</v>
      </c>
      <c r="BV148">
        <v>48092</v>
      </c>
      <c r="BW148">
        <v>20244</v>
      </c>
      <c r="BX148">
        <v>0</v>
      </c>
      <c r="BY148">
        <v>0</v>
      </c>
      <c r="BZ148">
        <v>0</v>
      </c>
      <c r="CA148">
        <v>0</v>
      </c>
      <c r="CB148">
        <v>0</v>
      </c>
      <c r="CC148">
        <v>26594</v>
      </c>
      <c r="CD148">
        <v>396</v>
      </c>
      <c r="CE148">
        <v>0</v>
      </c>
      <c r="CF148">
        <v>0</v>
      </c>
      <c r="CG148">
        <v>34587</v>
      </c>
      <c r="CH148">
        <v>0</v>
      </c>
      <c r="CI148">
        <v>50199</v>
      </c>
      <c r="CJ148">
        <v>0</v>
      </c>
      <c r="CK148">
        <v>0</v>
      </c>
      <c r="CL148">
        <v>0</v>
      </c>
      <c r="CM148">
        <v>0</v>
      </c>
      <c r="CN148">
        <v>0</v>
      </c>
      <c r="CO148">
        <v>921640</v>
      </c>
      <c r="CP148">
        <v>0</v>
      </c>
      <c r="CQ148">
        <v>0</v>
      </c>
      <c r="CR148">
        <v>13351</v>
      </c>
      <c r="CS148">
        <v>0</v>
      </c>
      <c r="CT148">
        <v>0</v>
      </c>
      <c r="CU148">
        <v>808</v>
      </c>
      <c r="CV148">
        <v>0</v>
      </c>
      <c r="CW148">
        <v>40194</v>
      </c>
      <c r="CX148">
        <v>434</v>
      </c>
      <c r="CY148">
        <v>0</v>
      </c>
    </row>
    <row r="149" spans="1:103" x14ac:dyDescent="0.3">
      <c r="A149">
        <v>636</v>
      </c>
      <c r="B149" t="s">
        <v>1348</v>
      </c>
      <c r="D149">
        <v>0</v>
      </c>
      <c r="E149">
        <v>0</v>
      </c>
      <c r="F149">
        <v>0</v>
      </c>
      <c r="G149">
        <v>0</v>
      </c>
      <c r="H149">
        <v>0</v>
      </c>
      <c r="I149">
        <v>0</v>
      </c>
      <c r="J149">
        <v>0</v>
      </c>
      <c r="K149">
        <v>0</v>
      </c>
      <c r="L149">
        <v>0</v>
      </c>
      <c r="M149">
        <v>0</v>
      </c>
      <c r="N149">
        <v>0</v>
      </c>
      <c r="O149">
        <v>0</v>
      </c>
      <c r="P149">
        <v>0</v>
      </c>
      <c r="Q149">
        <v>0</v>
      </c>
      <c r="R149">
        <v>0</v>
      </c>
      <c r="S149">
        <v>0</v>
      </c>
      <c r="U149">
        <v>0</v>
      </c>
      <c r="V149">
        <v>0</v>
      </c>
      <c r="X149">
        <v>0</v>
      </c>
      <c r="Y149">
        <v>0</v>
      </c>
      <c r="Z149">
        <v>0</v>
      </c>
      <c r="AA149">
        <v>0</v>
      </c>
      <c r="AB149">
        <v>0</v>
      </c>
      <c r="AC149">
        <v>0</v>
      </c>
      <c r="AD149">
        <v>0</v>
      </c>
      <c r="AE149">
        <v>0</v>
      </c>
      <c r="AF149">
        <v>0</v>
      </c>
      <c r="AG149">
        <v>0</v>
      </c>
      <c r="AH149">
        <v>0</v>
      </c>
      <c r="AI149">
        <v>0</v>
      </c>
      <c r="AJ149">
        <v>0</v>
      </c>
      <c r="AK149">
        <v>0</v>
      </c>
      <c r="AL149">
        <v>0</v>
      </c>
      <c r="AM149">
        <v>0</v>
      </c>
      <c r="AN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0</v>
      </c>
      <c r="CJ149">
        <v>0</v>
      </c>
      <c r="CK149">
        <v>0</v>
      </c>
      <c r="CL149">
        <v>0</v>
      </c>
      <c r="CM149">
        <v>0</v>
      </c>
      <c r="CN149">
        <v>0</v>
      </c>
      <c r="CO149">
        <v>0</v>
      </c>
      <c r="CP149">
        <v>0</v>
      </c>
      <c r="CQ149">
        <v>0</v>
      </c>
      <c r="CR149">
        <v>0</v>
      </c>
      <c r="CS149">
        <v>0</v>
      </c>
      <c r="CT149">
        <v>0</v>
      </c>
      <c r="CU149">
        <v>0</v>
      </c>
      <c r="CV149">
        <v>0</v>
      </c>
      <c r="CW149">
        <v>0</v>
      </c>
      <c r="CX149">
        <v>0</v>
      </c>
      <c r="CY149">
        <v>0</v>
      </c>
    </row>
    <row r="150" spans="1:103" x14ac:dyDescent="0.3">
      <c r="A150">
        <v>637</v>
      </c>
      <c r="B150" t="s">
        <v>1349</v>
      </c>
      <c r="D150">
        <v>0</v>
      </c>
      <c r="E150">
        <v>0</v>
      </c>
      <c r="F150">
        <v>0</v>
      </c>
      <c r="G150">
        <v>0</v>
      </c>
      <c r="H150">
        <v>0</v>
      </c>
      <c r="I150">
        <v>0</v>
      </c>
      <c r="J150">
        <v>297950</v>
      </c>
      <c r="K150">
        <v>0</v>
      </c>
      <c r="L150">
        <v>0</v>
      </c>
      <c r="M150">
        <v>4501455</v>
      </c>
      <c r="N150">
        <v>0</v>
      </c>
      <c r="O150">
        <v>149476</v>
      </c>
      <c r="P150">
        <v>0</v>
      </c>
      <c r="Q150">
        <v>97800</v>
      </c>
      <c r="R150">
        <v>0</v>
      </c>
      <c r="S150">
        <v>0</v>
      </c>
      <c r="U150">
        <v>0</v>
      </c>
      <c r="V150">
        <v>511591</v>
      </c>
      <c r="X150">
        <v>29030</v>
      </c>
      <c r="Y150">
        <v>128884</v>
      </c>
      <c r="Z150">
        <v>0</v>
      </c>
      <c r="AA150">
        <v>0</v>
      </c>
      <c r="AB150">
        <v>323560</v>
      </c>
      <c r="AC150">
        <v>0</v>
      </c>
      <c r="AD150">
        <v>89002</v>
      </c>
      <c r="AE150">
        <v>2146237</v>
      </c>
      <c r="AF150">
        <v>0</v>
      </c>
      <c r="AG150">
        <v>376766</v>
      </c>
      <c r="AH150">
        <v>0</v>
      </c>
      <c r="AI150">
        <v>0</v>
      </c>
      <c r="AJ150">
        <v>238605</v>
      </c>
      <c r="AK150">
        <v>0</v>
      </c>
      <c r="AL150">
        <v>0</v>
      </c>
      <c r="AM150">
        <v>0</v>
      </c>
      <c r="AN150">
        <v>0</v>
      </c>
      <c r="AP150">
        <v>0</v>
      </c>
      <c r="AQ150">
        <v>0</v>
      </c>
      <c r="AR150">
        <v>0</v>
      </c>
      <c r="AS150">
        <v>0</v>
      </c>
      <c r="AT150">
        <v>0</v>
      </c>
      <c r="AU150">
        <v>0</v>
      </c>
      <c r="AV150">
        <v>0</v>
      </c>
      <c r="AW150">
        <v>108306</v>
      </c>
      <c r="AX150">
        <v>1631008</v>
      </c>
      <c r="AY150">
        <v>0</v>
      </c>
      <c r="AZ150">
        <v>0</v>
      </c>
      <c r="BA150">
        <v>0</v>
      </c>
      <c r="BB150">
        <v>2843308</v>
      </c>
      <c r="BC150">
        <v>0</v>
      </c>
      <c r="BD150">
        <v>0</v>
      </c>
      <c r="BE150">
        <v>0</v>
      </c>
      <c r="BF150">
        <v>1027861</v>
      </c>
      <c r="BG150">
        <v>0</v>
      </c>
      <c r="BH150">
        <v>0</v>
      </c>
      <c r="BI150">
        <v>0</v>
      </c>
      <c r="BJ150">
        <v>28453</v>
      </c>
      <c r="BK150">
        <v>0</v>
      </c>
      <c r="BL150">
        <v>0</v>
      </c>
      <c r="BM150">
        <v>0</v>
      </c>
      <c r="BN150">
        <v>1112217</v>
      </c>
      <c r="BO150">
        <v>144386</v>
      </c>
      <c r="BP150">
        <v>0</v>
      </c>
      <c r="BQ150">
        <v>302347</v>
      </c>
      <c r="BR150">
        <v>0</v>
      </c>
      <c r="BS150">
        <v>0</v>
      </c>
      <c r="BT150">
        <v>92075</v>
      </c>
      <c r="BU150">
        <v>125863</v>
      </c>
      <c r="BV150">
        <v>189330</v>
      </c>
      <c r="BW150">
        <v>70838</v>
      </c>
      <c r="BX150">
        <v>0</v>
      </c>
      <c r="BY150">
        <v>0</v>
      </c>
      <c r="BZ150">
        <v>0</v>
      </c>
      <c r="CA150">
        <v>0</v>
      </c>
      <c r="CB150">
        <v>0</v>
      </c>
      <c r="CC150">
        <v>0</v>
      </c>
      <c r="CD150">
        <v>0</v>
      </c>
      <c r="CE150">
        <v>0</v>
      </c>
      <c r="CF150">
        <v>0</v>
      </c>
      <c r="CG150">
        <v>0</v>
      </c>
      <c r="CH150">
        <v>0</v>
      </c>
      <c r="CI150">
        <v>801767</v>
      </c>
      <c r="CJ150">
        <v>0</v>
      </c>
      <c r="CK150">
        <v>0</v>
      </c>
      <c r="CL150">
        <v>0</v>
      </c>
      <c r="CM150">
        <v>0</v>
      </c>
      <c r="CN150">
        <v>0</v>
      </c>
      <c r="CO150">
        <v>1463535</v>
      </c>
      <c r="CP150">
        <v>0</v>
      </c>
      <c r="CQ150">
        <v>0</v>
      </c>
      <c r="CR150">
        <v>0</v>
      </c>
      <c r="CS150">
        <v>0</v>
      </c>
      <c r="CT150">
        <v>0</v>
      </c>
      <c r="CU150">
        <v>0</v>
      </c>
      <c r="CV150">
        <v>0</v>
      </c>
      <c r="CW150">
        <v>0</v>
      </c>
      <c r="CX150">
        <v>0</v>
      </c>
      <c r="CY150">
        <v>0</v>
      </c>
    </row>
    <row r="151" spans="1:103" x14ac:dyDescent="0.3">
      <c r="A151">
        <v>638</v>
      </c>
      <c r="B151" t="s">
        <v>1350</v>
      </c>
      <c r="D151">
        <v>0</v>
      </c>
      <c r="E151">
        <v>0</v>
      </c>
      <c r="F151">
        <v>0</v>
      </c>
      <c r="G151">
        <v>0</v>
      </c>
      <c r="H151">
        <v>0</v>
      </c>
      <c r="I151">
        <v>0</v>
      </c>
      <c r="J151">
        <v>0</v>
      </c>
      <c r="K151">
        <v>23042</v>
      </c>
      <c r="L151">
        <v>0</v>
      </c>
      <c r="M151">
        <v>270174</v>
      </c>
      <c r="N151">
        <v>0</v>
      </c>
      <c r="O151">
        <v>0</v>
      </c>
      <c r="P151">
        <v>0</v>
      </c>
      <c r="Q151">
        <v>0</v>
      </c>
      <c r="R151">
        <v>0</v>
      </c>
      <c r="S151">
        <v>0</v>
      </c>
      <c r="U151">
        <v>0</v>
      </c>
      <c r="V151">
        <v>11621</v>
      </c>
      <c r="X151">
        <v>0</v>
      </c>
      <c r="Y151">
        <v>0</v>
      </c>
      <c r="Z151">
        <v>0</v>
      </c>
      <c r="AA151">
        <v>0</v>
      </c>
      <c r="AB151">
        <v>0</v>
      </c>
      <c r="AC151">
        <v>0</v>
      </c>
      <c r="AD151">
        <v>0</v>
      </c>
      <c r="AE151">
        <v>0</v>
      </c>
      <c r="AF151">
        <v>0</v>
      </c>
      <c r="AG151">
        <v>0</v>
      </c>
      <c r="AH151">
        <v>0</v>
      </c>
      <c r="AI151">
        <v>0</v>
      </c>
      <c r="AJ151">
        <v>0</v>
      </c>
      <c r="AK151">
        <v>0</v>
      </c>
      <c r="AL151">
        <v>0</v>
      </c>
      <c r="AM151">
        <v>0</v>
      </c>
      <c r="AN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0</v>
      </c>
      <c r="CP151">
        <v>0</v>
      </c>
      <c r="CQ151">
        <v>0</v>
      </c>
      <c r="CR151">
        <v>0</v>
      </c>
      <c r="CS151">
        <v>0</v>
      </c>
      <c r="CT151">
        <v>0</v>
      </c>
      <c r="CU151">
        <v>0</v>
      </c>
      <c r="CV151">
        <v>0</v>
      </c>
      <c r="CW151">
        <v>0</v>
      </c>
      <c r="CX151">
        <v>0</v>
      </c>
      <c r="CY151">
        <v>0</v>
      </c>
    </row>
    <row r="152" spans="1:103" x14ac:dyDescent="0.3">
      <c r="A152">
        <v>645</v>
      </c>
      <c r="B152" t="s">
        <v>328</v>
      </c>
      <c r="D152">
        <v>8002718</v>
      </c>
      <c r="E152">
        <v>2820826</v>
      </c>
      <c r="F152">
        <v>0</v>
      </c>
      <c r="G152">
        <v>7924952</v>
      </c>
      <c r="H152">
        <v>4328082</v>
      </c>
      <c r="I152">
        <v>0</v>
      </c>
      <c r="J152">
        <v>0</v>
      </c>
      <c r="K152">
        <v>0</v>
      </c>
      <c r="L152">
        <v>3675505</v>
      </c>
      <c r="M152">
        <v>26191557</v>
      </c>
      <c r="N152">
        <v>18894070</v>
      </c>
      <c r="O152">
        <v>2700000</v>
      </c>
      <c r="P152">
        <v>6158727</v>
      </c>
      <c r="Q152">
        <v>4380432</v>
      </c>
      <c r="R152">
        <v>0</v>
      </c>
      <c r="S152">
        <v>4440000</v>
      </c>
      <c r="U152">
        <v>21230766</v>
      </c>
      <c r="V152">
        <v>9000000</v>
      </c>
      <c r="X152">
        <v>0</v>
      </c>
      <c r="Y152">
        <v>0</v>
      </c>
      <c r="Z152">
        <v>7410858</v>
      </c>
      <c r="AA152">
        <v>0</v>
      </c>
      <c r="AB152">
        <v>249493</v>
      </c>
      <c r="AC152">
        <v>8454775</v>
      </c>
      <c r="AD152">
        <v>866680</v>
      </c>
      <c r="AE152">
        <v>12739482</v>
      </c>
      <c r="AF152">
        <v>4965695</v>
      </c>
      <c r="AG152">
        <v>2700633</v>
      </c>
      <c r="AH152">
        <v>3249652</v>
      </c>
      <c r="AI152">
        <v>29754613</v>
      </c>
      <c r="AJ152">
        <v>7863238</v>
      </c>
      <c r="AK152">
        <v>41388191</v>
      </c>
      <c r="AL152">
        <v>17151821</v>
      </c>
      <c r="AM152">
        <v>29736284</v>
      </c>
      <c r="AN152">
        <v>818891</v>
      </c>
      <c r="AP152">
        <v>12016565</v>
      </c>
      <c r="AQ152">
        <v>515000</v>
      </c>
      <c r="AR152">
        <v>50390715</v>
      </c>
      <c r="AS152">
        <v>5152619</v>
      </c>
      <c r="AT152">
        <v>30562847</v>
      </c>
      <c r="AU152">
        <v>5503816</v>
      </c>
      <c r="AV152">
        <v>23325763</v>
      </c>
      <c r="AW152">
        <v>2503887</v>
      </c>
      <c r="AX152">
        <v>454149</v>
      </c>
      <c r="AY152">
        <v>0</v>
      </c>
      <c r="AZ152">
        <v>14057063</v>
      </c>
      <c r="BA152">
        <v>205707</v>
      </c>
      <c r="BB152">
        <v>7864530</v>
      </c>
      <c r="BC152">
        <v>679532</v>
      </c>
      <c r="BD152">
        <v>3000000</v>
      </c>
      <c r="BE152">
        <v>16177621</v>
      </c>
      <c r="BF152">
        <v>21939272</v>
      </c>
      <c r="BG152">
        <v>0</v>
      </c>
      <c r="BH152">
        <v>1787504</v>
      </c>
      <c r="BI152">
        <v>1713267</v>
      </c>
      <c r="BJ152">
        <v>1352153</v>
      </c>
      <c r="BK152">
        <v>0</v>
      </c>
      <c r="BL152">
        <v>110831</v>
      </c>
      <c r="BM152">
        <v>5952198</v>
      </c>
      <c r="BN152">
        <v>11780007</v>
      </c>
      <c r="BO152">
        <v>8550000</v>
      </c>
      <c r="BP152">
        <v>32633241</v>
      </c>
      <c r="BQ152">
        <v>2638207</v>
      </c>
      <c r="BR152">
        <v>8708614</v>
      </c>
      <c r="BS152">
        <v>7000000</v>
      </c>
      <c r="BT152">
        <v>2388759</v>
      </c>
      <c r="BU152">
        <v>1000000</v>
      </c>
      <c r="BV152">
        <v>0</v>
      </c>
      <c r="BW152">
        <v>0</v>
      </c>
      <c r="BX152">
        <v>8378395</v>
      </c>
      <c r="BY152">
        <v>4529333</v>
      </c>
      <c r="BZ152">
        <v>178735</v>
      </c>
      <c r="CA152">
        <v>10700176</v>
      </c>
      <c r="CB152">
        <v>0</v>
      </c>
      <c r="CC152">
        <v>0</v>
      </c>
      <c r="CD152">
        <v>14463380</v>
      </c>
      <c r="CE152">
        <v>25067114</v>
      </c>
      <c r="CF152">
        <v>3331254</v>
      </c>
      <c r="CG152">
        <v>6637294</v>
      </c>
      <c r="CH152">
        <v>2683235</v>
      </c>
      <c r="CI152">
        <v>6156868</v>
      </c>
      <c r="CJ152">
        <v>4318941</v>
      </c>
      <c r="CK152">
        <v>8025437</v>
      </c>
      <c r="CL152">
        <v>1363000</v>
      </c>
      <c r="CM152">
        <v>19689595</v>
      </c>
      <c r="CN152">
        <v>727298</v>
      </c>
      <c r="CO152">
        <v>22169876</v>
      </c>
      <c r="CP152">
        <v>1883237</v>
      </c>
      <c r="CQ152">
        <v>0</v>
      </c>
      <c r="CR152">
        <v>3383463</v>
      </c>
      <c r="CS152">
        <v>3948081</v>
      </c>
      <c r="CT152">
        <v>829626</v>
      </c>
      <c r="CU152">
        <v>4687036</v>
      </c>
      <c r="CV152">
        <v>7532275</v>
      </c>
      <c r="CW152">
        <v>23409093</v>
      </c>
      <c r="CX152">
        <v>575000</v>
      </c>
      <c r="CY152">
        <v>0</v>
      </c>
    </row>
    <row r="153" spans="1:103" x14ac:dyDescent="0.3">
      <c r="A153">
        <v>646</v>
      </c>
      <c r="B153" t="s">
        <v>308</v>
      </c>
      <c r="D153">
        <v>46767306</v>
      </c>
      <c r="E153">
        <v>17446997</v>
      </c>
      <c r="F153">
        <v>11509095</v>
      </c>
      <c r="G153">
        <v>11666557</v>
      </c>
      <c r="H153">
        <v>12836633</v>
      </c>
      <c r="I153">
        <v>31273090</v>
      </c>
      <c r="J153">
        <v>32416800</v>
      </c>
      <c r="K153">
        <v>2042797</v>
      </c>
      <c r="L153">
        <v>31717038</v>
      </c>
      <c r="M153">
        <v>104463914</v>
      </c>
      <c r="N153">
        <v>67174948</v>
      </c>
      <c r="O153">
        <v>31588409</v>
      </c>
      <c r="P153">
        <v>89469308</v>
      </c>
      <c r="Q153">
        <v>13166873</v>
      </c>
      <c r="R153">
        <v>12731024</v>
      </c>
      <c r="S153">
        <v>43121459</v>
      </c>
      <c r="U153">
        <v>70740956</v>
      </c>
      <c r="V153">
        <v>44611811</v>
      </c>
      <c r="X153">
        <v>10350431</v>
      </c>
      <c r="Y153">
        <v>9783861</v>
      </c>
      <c r="Z153">
        <v>40236496</v>
      </c>
      <c r="AA153">
        <v>3684233</v>
      </c>
      <c r="AB153">
        <v>52870852</v>
      </c>
      <c r="AC153">
        <v>100863651</v>
      </c>
      <c r="AD153">
        <v>30645973</v>
      </c>
      <c r="AE153">
        <v>41784615</v>
      </c>
      <c r="AF153">
        <v>119247219</v>
      </c>
      <c r="AG153">
        <v>10467008</v>
      </c>
      <c r="AH153">
        <v>35849716</v>
      </c>
      <c r="AI153">
        <v>78017845</v>
      </c>
      <c r="AJ153">
        <v>12513442</v>
      </c>
      <c r="AK153">
        <v>79780437</v>
      </c>
      <c r="AL153">
        <v>35836081</v>
      </c>
      <c r="AM153">
        <v>42913653</v>
      </c>
      <c r="AN153">
        <v>4232117</v>
      </c>
      <c r="AP153">
        <v>23791078</v>
      </c>
      <c r="AQ153">
        <v>11448119</v>
      </c>
      <c r="AR153">
        <v>102103823</v>
      </c>
      <c r="AS153">
        <v>29920196</v>
      </c>
      <c r="AT153">
        <v>51201876</v>
      </c>
      <c r="AU153">
        <v>39251915</v>
      </c>
      <c r="AV153">
        <v>45022724</v>
      </c>
      <c r="AW153">
        <v>3614469</v>
      </c>
      <c r="AX153">
        <v>47018168</v>
      </c>
      <c r="AY153">
        <v>3348252</v>
      </c>
      <c r="AZ153">
        <v>104267664</v>
      </c>
      <c r="BA153">
        <v>39376912</v>
      </c>
      <c r="BB153">
        <v>187894830</v>
      </c>
      <c r="BC153">
        <v>7846956</v>
      </c>
      <c r="BD153">
        <v>24747217</v>
      </c>
      <c r="BE153">
        <v>25848521</v>
      </c>
      <c r="BF153">
        <v>33111094</v>
      </c>
      <c r="BG153">
        <v>45106813</v>
      </c>
      <c r="BH153">
        <v>15306264</v>
      </c>
      <c r="BI153">
        <v>12867790</v>
      </c>
      <c r="BJ153">
        <v>14594079</v>
      </c>
      <c r="BK153">
        <v>379770247</v>
      </c>
      <c r="BL153">
        <v>10682727</v>
      </c>
      <c r="BM153">
        <v>31462052</v>
      </c>
      <c r="BN153">
        <v>29643420</v>
      </c>
      <c r="BO153">
        <v>23741367</v>
      </c>
      <c r="BP153">
        <v>79624642</v>
      </c>
      <c r="BQ153">
        <v>23335792</v>
      </c>
      <c r="BR153">
        <v>87661383</v>
      </c>
      <c r="BS153">
        <v>43222499</v>
      </c>
      <c r="BT153">
        <v>9606918</v>
      </c>
      <c r="BU153">
        <v>28951386</v>
      </c>
      <c r="BV153">
        <v>63186193</v>
      </c>
      <c r="BW153">
        <v>8029536</v>
      </c>
      <c r="BX153">
        <v>24166242</v>
      </c>
      <c r="BY153">
        <v>69389847</v>
      </c>
      <c r="BZ153">
        <v>11059823</v>
      </c>
      <c r="CA153">
        <v>41440088</v>
      </c>
      <c r="CB153">
        <v>14625652</v>
      </c>
      <c r="CC153">
        <v>66304907</v>
      </c>
      <c r="CD153">
        <v>42210945</v>
      </c>
      <c r="CE153">
        <v>65307078</v>
      </c>
      <c r="CF153">
        <v>41770350</v>
      </c>
      <c r="CG153">
        <v>24731831</v>
      </c>
      <c r="CH153">
        <v>8048989</v>
      </c>
      <c r="CI153">
        <v>35808331</v>
      </c>
      <c r="CJ153">
        <v>13008401</v>
      </c>
      <c r="CK153">
        <v>26557470</v>
      </c>
      <c r="CL153">
        <v>5880847</v>
      </c>
      <c r="CM153">
        <v>7862205</v>
      </c>
      <c r="CN153">
        <v>935747</v>
      </c>
      <c r="CO153">
        <v>42363037</v>
      </c>
      <c r="CP153">
        <v>21197792</v>
      </c>
      <c r="CQ153">
        <v>0</v>
      </c>
      <c r="CR153">
        <v>17265821</v>
      </c>
      <c r="CS153">
        <v>7838661</v>
      </c>
      <c r="CT153">
        <v>48714690</v>
      </c>
      <c r="CU153">
        <v>20982580</v>
      </c>
      <c r="CV153">
        <v>29359850</v>
      </c>
      <c r="CW153">
        <v>15229479</v>
      </c>
      <c r="CX153">
        <v>15478388</v>
      </c>
      <c r="CY153">
        <v>6575847</v>
      </c>
    </row>
    <row r="154" spans="1:103" x14ac:dyDescent="0.3">
      <c r="A154">
        <v>647</v>
      </c>
      <c r="B154" t="s">
        <v>635</v>
      </c>
      <c r="D154">
        <v>0</v>
      </c>
      <c r="E154">
        <v>0</v>
      </c>
      <c r="F154">
        <v>0</v>
      </c>
      <c r="G154">
        <v>0</v>
      </c>
      <c r="H154">
        <v>0</v>
      </c>
      <c r="I154">
        <v>0</v>
      </c>
      <c r="J154">
        <v>0</v>
      </c>
      <c r="K154">
        <v>0</v>
      </c>
      <c r="L154">
        <v>0</v>
      </c>
      <c r="M154">
        <v>0</v>
      </c>
      <c r="N154">
        <v>0</v>
      </c>
      <c r="O154">
        <v>0</v>
      </c>
      <c r="P154">
        <v>0</v>
      </c>
      <c r="Q154">
        <v>0</v>
      </c>
      <c r="R154">
        <v>0</v>
      </c>
      <c r="S154">
        <v>10149672</v>
      </c>
      <c r="U154">
        <v>0</v>
      </c>
      <c r="V154">
        <v>0</v>
      </c>
      <c r="X154">
        <v>1134867</v>
      </c>
      <c r="Y154">
        <v>0</v>
      </c>
      <c r="Z154">
        <v>1907395</v>
      </c>
      <c r="AA154">
        <v>-435727</v>
      </c>
      <c r="AB154">
        <v>11988453</v>
      </c>
      <c r="AC154">
        <v>0</v>
      </c>
      <c r="AD154">
        <v>0</v>
      </c>
      <c r="AE154">
        <v>0</v>
      </c>
      <c r="AF154">
        <v>0</v>
      </c>
      <c r="AG154">
        <v>0</v>
      </c>
      <c r="AH154">
        <v>-24273</v>
      </c>
      <c r="AI154">
        <v>82123116</v>
      </c>
      <c r="AJ154">
        <v>0</v>
      </c>
      <c r="AK154">
        <v>0</v>
      </c>
      <c r="AL154">
        <v>0</v>
      </c>
      <c r="AM154">
        <v>2812096</v>
      </c>
      <c r="AN154">
        <v>0</v>
      </c>
      <c r="AP154">
        <v>0</v>
      </c>
      <c r="AQ154">
        <v>1270839</v>
      </c>
      <c r="AR154">
        <v>14248572</v>
      </c>
      <c r="AS154">
        <v>0</v>
      </c>
      <c r="AT154">
        <v>0</v>
      </c>
      <c r="AU154">
        <v>0</v>
      </c>
      <c r="AV154">
        <v>4007189</v>
      </c>
      <c r="AW154">
        <v>0</v>
      </c>
      <c r="AX154">
        <v>0</v>
      </c>
      <c r="AY154">
        <v>0</v>
      </c>
      <c r="AZ154">
        <v>0</v>
      </c>
      <c r="BA154">
        <v>0</v>
      </c>
      <c r="BB154">
        <v>0</v>
      </c>
      <c r="BC154">
        <v>0</v>
      </c>
      <c r="BD154">
        <v>0</v>
      </c>
      <c r="BE154">
        <v>0</v>
      </c>
      <c r="BF154">
        <v>0</v>
      </c>
      <c r="BG154">
        <v>4739100</v>
      </c>
      <c r="BH154">
        <v>0</v>
      </c>
      <c r="BI154">
        <v>11256171</v>
      </c>
      <c r="BJ154">
        <v>9</v>
      </c>
      <c r="BK154">
        <v>248092947</v>
      </c>
      <c r="BL154">
        <v>0</v>
      </c>
      <c r="BM154">
        <v>0</v>
      </c>
      <c r="BN154">
        <v>0</v>
      </c>
      <c r="BO154">
        <v>0</v>
      </c>
      <c r="BP154">
        <v>10141610</v>
      </c>
      <c r="BQ154">
        <v>-259175</v>
      </c>
      <c r="BR154">
        <v>0</v>
      </c>
      <c r="BS154">
        <v>0</v>
      </c>
      <c r="BT154">
        <v>0</v>
      </c>
      <c r="BU154">
        <v>0</v>
      </c>
      <c r="BV154">
        <v>0</v>
      </c>
      <c r="BW154">
        <v>0</v>
      </c>
      <c r="BX154">
        <v>0</v>
      </c>
      <c r="BY154">
        <v>1256288</v>
      </c>
      <c r="BZ154">
        <v>7252</v>
      </c>
      <c r="CA154">
        <v>0</v>
      </c>
      <c r="CB154">
        <v>0</v>
      </c>
      <c r="CC154">
        <v>0</v>
      </c>
      <c r="CD154">
        <v>593306</v>
      </c>
      <c r="CE154">
        <v>0</v>
      </c>
      <c r="CF154">
        <v>11731813</v>
      </c>
      <c r="CG154">
        <v>0</v>
      </c>
      <c r="CH154">
        <v>0</v>
      </c>
      <c r="CI154">
        <v>0</v>
      </c>
      <c r="CJ154">
        <v>0</v>
      </c>
      <c r="CK154">
        <v>0</v>
      </c>
      <c r="CL154">
        <v>0</v>
      </c>
      <c r="CM154">
        <v>0</v>
      </c>
      <c r="CN154">
        <v>0</v>
      </c>
      <c r="CO154">
        <v>0</v>
      </c>
      <c r="CP154">
        <v>0</v>
      </c>
      <c r="CQ154">
        <v>187057069</v>
      </c>
      <c r="CR154">
        <v>0</v>
      </c>
      <c r="CS154">
        <v>0</v>
      </c>
      <c r="CT154">
        <v>0</v>
      </c>
      <c r="CU154">
        <v>0</v>
      </c>
      <c r="CV154">
        <v>0</v>
      </c>
      <c r="CW154">
        <v>0</v>
      </c>
      <c r="CX154">
        <v>0</v>
      </c>
      <c r="CY154">
        <v>0</v>
      </c>
    </row>
    <row r="155" spans="1:103" x14ac:dyDescent="0.3">
      <c r="A155">
        <v>654</v>
      </c>
      <c r="B155" t="s">
        <v>345</v>
      </c>
      <c r="D155">
        <v>0</v>
      </c>
      <c r="E155">
        <v>9033984</v>
      </c>
      <c r="F155">
        <v>0</v>
      </c>
      <c r="G155">
        <v>9213509</v>
      </c>
      <c r="H155">
        <v>0</v>
      </c>
      <c r="I155">
        <v>0</v>
      </c>
      <c r="J155">
        <v>13578025</v>
      </c>
      <c r="K155">
        <v>2266064</v>
      </c>
      <c r="L155">
        <v>3545533</v>
      </c>
      <c r="M155">
        <v>195068652</v>
      </c>
      <c r="N155">
        <v>0</v>
      </c>
      <c r="O155">
        <v>1164408</v>
      </c>
      <c r="P155">
        <v>0</v>
      </c>
      <c r="Q155">
        <v>8720542</v>
      </c>
      <c r="R155">
        <v>3699988</v>
      </c>
      <c r="S155">
        <v>2796009</v>
      </c>
      <c r="U155">
        <v>0</v>
      </c>
      <c r="V155">
        <v>32310015</v>
      </c>
      <c r="X155">
        <v>3750433</v>
      </c>
      <c r="Y155">
        <v>607008</v>
      </c>
      <c r="Z155">
        <v>0</v>
      </c>
      <c r="AA155">
        <v>6700550</v>
      </c>
      <c r="AB155">
        <v>13747903</v>
      </c>
      <c r="AC155">
        <v>2237205</v>
      </c>
      <c r="AD155">
        <v>29729862</v>
      </c>
      <c r="AE155">
        <v>29328902</v>
      </c>
      <c r="AF155">
        <v>1877508</v>
      </c>
      <c r="AG155">
        <v>16923673</v>
      </c>
      <c r="AH155">
        <v>12845368</v>
      </c>
      <c r="AI155">
        <v>55915555</v>
      </c>
      <c r="AJ155">
        <v>3016546</v>
      </c>
      <c r="AK155">
        <v>0</v>
      </c>
      <c r="AL155">
        <v>30716122</v>
      </c>
      <c r="AM155">
        <v>0</v>
      </c>
      <c r="AN155">
        <v>2959249</v>
      </c>
      <c r="AP155">
        <v>0</v>
      </c>
      <c r="AQ155">
        <v>2967265</v>
      </c>
      <c r="AR155">
        <v>0</v>
      </c>
      <c r="AS155">
        <v>6001268</v>
      </c>
      <c r="AT155">
        <v>100993139</v>
      </c>
      <c r="AU155">
        <v>0</v>
      </c>
      <c r="AV155">
        <v>740715</v>
      </c>
      <c r="AW155">
        <v>5526326</v>
      </c>
      <c r="AX155">
        <v>7115963</v>
      </c>
      <c r="AY155">
        <v>1403040</v>
      </c>
      <c r="AZ155">
        <v>0</v>
      </c>
      <c r="BA155">
        <v>0</v>
      </c>
      <c r="BB155">
        <v>114008515</v>
      </c>
      <c r="BC155">
        <v>5483261</v>
      </c>
      <c r="BD155">
        <v>0</v>
      </c>
      <c r="BE155">
        <v>0</v>
      </c>
      <c r="BF155">
        <v>43404530</v>
      </c>
      <c r="BG155">
        <v>0</v>
      </c>
      <c r="BH155">
        <v>0</v>
      </c>
      <c r="BI155">
        <v>314400</v>
      </c>
      <c r="BJ155">
        <v>275329</v>
      </c>
      <c r="BK155">
        <v>0</v>
      </c>
      <c r="BL155">
        <v>0</v>
      </c>
      <c r="BM155">
        <v>10801071</v>
      </c>
      <c r="BN155">
        <v>40156064</v>
      </c>
      <c r="BO155">
        <v>3809428</v>
      </c>
      <c r="BP155">
        <v>0</v>
      </c>
      <c r="BQ155">
        <v>2856465</v>
      </c>
      <c r="BR155">
        <v>0</v>
      </c>
      <c r="BS155">
        <v>0</v>
      </c>
      <c r="BT155">
        <v>3629677</v>
      </c>
      <c r="BU155">
        <v>11448939</v>
      </c>
      <c r="BV155">
        <v>15361501</v>
      </c>
      <c r="BW155">
        <v>2072140</v>
      </c>
      <c r="BX155">
        <v>0</v>
      </c>
      <c r="BY155">
        <v>0</v>
      </c>
      <c r="BZ155">
        <v>431277</v>
      </c>
      <c r="CA155">
        <v>0</v>
      </c>
      <c r="CB155">
        <v>14623752</v>
      </c>
      <c r="CC155">
        <v>18235656</v>
      </c>
      <c r="CD155">
        <v>7159411</v>
      </c>
      <c r="CE155">
        <v>766377</v>
      </c>
      <c r="CF155">
        <v>0</v>
      </c>
      <c r="CG155">
        <v>11835000</v>
      </c>
      <c r="CH155">
        <v>4032752</v>
      </c>
      <c r="CI155">
        <v>4720557</v>
      </c>
      <c r="CJ155">
        <v>724843</v>
      </c>
      <c r="CK155">
        <v>544186</v>
      </c>
      <c r="CL155">
        <v>0</v>
      </c>
      <c r="CM155">
        <v>0</v>
      </c>
      <c r="CN155">
        <v>2444083</v>
      </c>
      <c r="CO155">
        <v>193634546</v>
      </c>
      <c r="CP155">
        <v>1593134</v>
      </c>
      <c r="CQ155">
        <v>0</v>
      </c>
      <c r="CR155">
        <v>8834540</v>
      </c>
      <c r="CS155">
        <v>2081288</v>
      </c>
      <c r="CT155">
        <v>0</v>
      </c>
      <c r="CU155">
        <v>741342</v>
      </c>
      <c r="CV155">
        <v>0</v>
      </c>
      <c r="CW155">
        <v>6361143</v>
      </c>
      <c r="CX155">
        <v>469580</v>
      </c>
      <c r="CY155">
        <v>22027</v>
      </c>
    </row>
    <row r="156" spans="1:103" x14ac:dyDescent="0.3">
      <c r="A156">
        <v>655</v>
      </c>
      <c r="B156" t="s">
        <v>636</v>
      </c>
      <c r="D156">
        <v>0</v>
      </c>
      <c r="E156">
        <v>0</v>
      </c>
      <c r="F156">
        <v>0</v>
      </c>
      <c r="G156">
        <v>0</v>
      </c>
      <c r="H156">
        <v>0</v>
      </c>
      <c r="I156">
        <v>0</v>
      </c>
      <c r="J156">
        <v>0</v>
      </c>
      <c r="K156">
        <v>0</v>
      </c>
      <c r="L156">
        <v>0</v>
      </c>
      <c r="M156">
        <v>59223855</v>
      </c>
      <c r="N156">
        <v>0</v>
      </c>
      <c r="O156">
        <v>149476</v>
      </c>
      <c r="P156">
        <v>0</v>
      </c>
      <c r="Q156">
        <v>97800</v>
      </c>
      <c r="R156">
        <v>0</v>
      </c>
      <c r="S156">
        <v>43932</v>
      </c>
      <c r="U156">
        <v>0</v>
      </c>
      <c r="V156">
        <v>4112136</v>
      </c>
      <c r="X156">
        <v>29030</v>
      </c>
      <c r="Y156">
        <v>128684</v>
      </c>
      <c r="Z156">
        <v>0</v>
      </c>
      <c r="AA156">
        <v>0</v>
      </c>
      <c r="AB156">
        <v>0</v>
      </c>
      <c r="AC156">
        <v>189791</v>
      </c>
      <c r="AD156">
        <v>2082184</v>
      </c>
      <c r="AE156">
        <v>21251560</v>
      </c>
      <c r="AF156">
        <v>0</v>
      </c>
      <c r="AG156">
        <v>376766</v>
      </c>
      <c r="AH156">
        <v>0</v>
      </c>
      <c r="AI156">
        <v>8746694</v>
      </c>
      <c r="AJ156">
        <v>0</v>
      </c>
      <c r="AK156">
        <v>0</v>
      </c>
      <c r="AL156">
        <v>0</v>
      </c>
      <c r="AM156">
        <v>0</v>
      </c>
      <c r="AN156">
        <v>0</v>
      </c>
      <c r="AP156">
        <v>0</v>
      </c>
      <c r="AQ156">
        <v>0</v>
      </c>
      <c r="AR156">
        <v>0</v>
      </c>
      <c r="AS156">
        <v>101059</v>
      </c>
      <c r="AT156">
        <v>2001899</v>
      </c>
      <c r="AU156">
        <v>0</v>
      </c>
      <c r="AV156">
        <v>0</v>
      </c>
      <c r="AW156">
        <v>111904</v>
      </c>
      <c r="AX156">
        <v>0</v>
      </c>
      <c r="AY156">
        <v>265637</v>
      </c>
      <c r="AZ156">
        <v>0</v>
      </c>
      <c r="BA156">
        <v>0</v>
      </c>
      <c r="BB156">
        <v>37068918</v>
      </c>
      <c r="BC156">
        <v>0</v>
      </c>
      <c r="BD156">
        <v>0</v>
      </c>
      <c r="BE156">
        <v>0</v>
      </c>
      <c r="BF156">
        <v>1544971</v>
      </c>
      <c r="BG156">
        <v>0</v>
      </c>
      <c r="BH156">
        <v>0</v>
      </c>
      <c r="BI156">
        <v>0</v>
      </c>
      <c r="BJ156">
        <v>0</v>
      </c>
      <c r="BK156">
        <v>0</v>
      </c>
      <c r="BL156">
        <v>0</v>
      </c>
      <c r="BM156">
        <v>0</v>
      </c>
      <c r="BN156">
        <v>7449605</v>
      </c>
      <c r="BO156">
        <v>144386</v>
      </c>
      <c r="BP156">
        <v>0</v>
      </c>
      <c r="BQ156">
        <v>302347</v>
      </c>
      <c r="BR156">
        <v>0</v>
      </c>
      <c r="BS156">
        <v>0</v>
      </c>
      <c r="BT156">
        <v>92075</v>
      </c>
      <c r="BU156">
        <v>422427</v>
      </c>
      <c r="BV156">
        <v>938818</v>
      </c>
      <c r="BW156">
        <v>0</v>
      </c>
      <c r="BX156">
        <v>0</v>
      </c>
      <c r="BY156">
        <v>0</v>
      </c>
      <c r="BZ156">
        <v>0</v>
      </c>
      <c r="CA156">
        <v>0</v>
      </c>
      <c r="CB156">
        <v>0</v>
      </c>
      <c r="CC156">
        <v>0</v>
      </c>
      <c r="CD156">
        <v>0</v>
      </c>
      <c r="CE156">
        <v>0</v>
      </c>
      <c r="CF156">
        <v>0</v>
      </c>
      <c r="CG156">
        <v>0</v>
      </c>
      <c r="CH156">
        <v>0</v>
      </c>
      <c r="CI156">
        <v>794842</v>
      </c>
      <c r="CJ156">
        <v>0</v>
      </c>
      <c r="CK156">
        <v>0</v>
      </c>
      <c r="CL156">
        <v>0</v>
      </c>
      <c r="CM156">
        <v>0</v>
      </c>
      <c r="CN156">
        <v>0</v>
      </c>
      <c r="CO156">
        <v>22854045</v>
      </c>
      <c r="CP156">
        <v>0</v>
      </c>
      <c r="CQ156">
        <v>0</v>
      </c>
      <c r="CR156">
        <v>0</v>
      </c>
      <c r="CS156">
        <v>172033</v>
      </c>
      <c r="CT156">
        <v>0</v>
      </c>
      <c r="CU156">
        <v>0</v>
      </c>
      <c r="CV156">
        <v>0</v>
      </c>
      <c r="CW156">
        <v>357142</v>
      </c>
      <c r="CX156">
        <v>0</v>
      </c>
      <c r="CY156">
        <v>0</v>
      </c>
    </row>
    <row r="157" spans="1:103" x14ac:dyDescent="0.3">
      <c r="A157">
        <v>656</v>
      </c>
      <c r="B157" t="s">
        <v>350</v>
      </c>
      <c r="D157">
        <v>2</v>
      </c>
      <c r="E157">
        <v>0</v>
      </c>
      <c r="F157">
        <v>2</v>
      </c>
      <c r="G157">
        <v>2</v>
      </c>
      <c r="H157">
        <v>0</v>
      </c>
      <c r="I157">
        <v>2</v>
      </c>
      <c r="J157">
        <v>2</v>
      </c>
      <c r="K157">
        <v>2</v>
      </c>
      <c r="L157">
        <v>2</v>
      </c>
      <c r="M157">
        <v>2</v>
      </c>
      <c r="N157">
        <v>2</v>
      </c>
      <c r="O157">
        <v>2</v>
      </c>
      <c r="P157">
        <v>2</v>
      </c>
      <c r="Q157">
        <v>2</v>
      </c>
      <c r="R157">
        <v>2</v>
      </c>
      <c r="S157">
        <v>2</v>
      </c>
      <c r="U157">
        <v>0</v>
      </c>
      <c r="V157">
        <v>2</v>
      </c>
      <c r="X157">
        <v>2</v>
      </c>
      <c r="Y157">
        <v>2</v>
      </c>
      <c r="Z157">
        <v>0</v>
      </c>
      <c r="AA157">
        <v>2</v>
      </c>
      <c r="AB157">
        <v>1</v>
      </c>
      <c r="AC157">
        <v>1</v>
      </c>
      <c r="AD157">
        <v>2</v>
      </c>
      <c r="AE157">
        <v>2</v>
      </c>
      <c r="AF157">
        <v>0</v>
      </c>
      <c r="AG157">
        <v>2</v>
      </c>
      <c r="AH157">
        <v>2</v>
      </c>
      <c r="AI157">
        <v>2</v>
      </c>
      <c r="AJ157">
        <v>2</v>
      </c>
      <c r="AK157">
        <v>2</v>
      </c>
      <c r="AL157">
        <v>2</v>
      </c>
      <c r="AM157">
        <v>2</v>
      </c>
      <c r="AN157">
        <v>2</v>
      </c>
      <c r="AP157">
        <v>2</v>
      </c>
      <c r="AQ157">
        <v>2</v>
      </c>
      <c r="AR157">
        <v>2</v>
      </c>
      <c r="AS157">
        <v>2</v>
      </c>
      <c r="AT157">
        <v>2</v>
      </c>
      <c r="AU157">
        <v>2</v>
      </c>
      <c r="AV157">
        <v>2</v>
      </c>
      <c r="AW157">
        <v>2</v>
      </c>
      <c r="AX157">
        <v>2</v>
      </c>
      <c r="AY157">
        <v>2</v>
      </c>
      <c r="AZ157">
        <v>2</v>
      </c>
      <c r="BA157">
        <v>2</v>
      </c>
      <c r="BB157">
        <v>2</v>
      </c>
      <c r="BC157">
        <v>2</v>
      </c>
      <c r="BD157">
        <v>2</v>
      </c>
      <c r="BE157">
        <v>0</v>
      </c>
      <c r="BF157">
        <v>2</v>
      </c>
      <c r="BG157">
        <v>2</v>
      </c>
      <c r="BH157">
        <v>2</v>
      </c>
      <c r="BI157">
        <v>2</v>
      </c>
      <c r="BJ157">
        <v>2</v>
      </c>
      <c r="BK157">
        <v>2</v>
      </c>
      <c r="BL157">
        <v>2</v>
      </c>
      <c r="BM157">
        <v>2</v>
      </c>
      <c r="BN157">
        <v>2</v>
      </c>
      <c r="BO157">
        <v>0</v>
      </c>
      <c r="BP157">
        <v>2</v>
      </c>
      <c r="BQ157">
        <v>2</v>
      </c>
      <c r="BR157">
        <v>2</v>
      </c>
      <c r="BS157">
        <v>2</v>
      </c>
      <c r="BT157">
        <v>2</v>
      </c>
      <c r="BU157">
        <v>2</v>
      </c>
      <c r="BV157">
        <v>2</v>
      </c>
      <c r="BW157">
        <v>2</v>
      </c>
      <c r="BX157">
        <v>2</v>
      </c>
      <c r="BY157">
        <v>2</v>
      </c>
      <c r="BZ157">
        <v>2</v>
      </c>
      <c r="CA157">
        <v>2</v>
      </c>
      <c r="CB157">
        <v>0</v>
      </c>
      <c r="CC157">
        <v>2</v>
      </c>
      <c r="CD157">
        <v>2</v>
      </c>
      <c r="CE157">
        <v>2</v>
      </c>
      <c r="CF157">
        <v>2</v>
      </c>
      <c r="CG157">
        <v>2</v>
      </c>
      <c r="CH157">
        <v>2</v>
      </c>
      <c r="CI157">
        <v>0</v>
      </c>
      <c r="CJ157">
        <v>2</v>
      </c>
      <c r="CK157">
        <v>2</v>
      </c>
      <c r="CL157">
        <v>2</v>
      </c>
      <c r="CM157">
        <v>2</v>
      </c>
      <c r="CN157">
        <v>2</v>
      </c>
      <c r="CO157">
        <v>2</v>
      </c>
      <c r="CP157">
        <v>2</v>
      </c>
      <c r="CQ157">
        <v>2</v>
      </c>
      <c r="CR157">
        <v>2</v>
      </c>
      <c r="CS157">
        <v>2</v>
      </c>
      <c r="CT157">
        <v>2</v>
      </c>
      <c r="CU157">
        <v>2</v>
      </c>
      <c r="CV157">
        <v>2</v>
      </c>
      <c r="CW157">
        <v>2</v>
      </c>
      <c r="CX157">
        <v>2</v>
      </c>
      <c r="CY157">
        <v>2</v>
      </c>
    </row>
    <row r="158" spans="1:103" x14ac:dyDescent="0.3">
      <c r="A158">
        <v>659</v>
      </c>
      <c r="B158" t="s">
        <v>637</v>
      </c>
      <c r="D158">
        <v>81083237</v>
      </c>
      <c r="E158">
        <v>20772183</v>
      </c>
      <c r="F158">
        <v>10414184</v>
      </c>
      <c r="G158">
        <v>6762936</v>
      </c>
      <c r="H158">
        <v>7608698</v>
      </c>
      <c r="I158">
        <v>4905006</v>
      </c>
      <c r="J158">
        <v>4896841</v>
      </c>
      <c r="K158">
        <v>16608363</v>
      </c>
      <c r="L158">
        <v>0</v>
      </c>
      <c r="M158">
        <v>146332721</v>
      </c>
      <c r="N158">
        <v>110757942</v>
      </c>
      <c r="O158">
        <v>16213337</v>
      </c>
      <c r="P158">
        <v>39967487</v>
      </c>
      <c r="Q158">
        <v>2193658</v>
      </c>
      <c r="R158">
        <v>1142111</v>
      </c>
      <c r="S158">
        <v>9580438</v>
      </c>
      <c r="U158">
        <v>0</v>
      </c>
      <c r="V158">
        <v>10353412</v>
      </c>
      <c r="X158">
        <v>8475492</v>
      </c>
      <c r="Y158">
        <v>2554854</v>
      </c>
      <c r="Z158">
        <v>21322481</v>
      </c>
      <c r="AA158">
        <v>39389555</v>
      </c>
      <c r="AB158">
        <v>21151065</v>
      </c>
      <c r="AC158">
        <v>168902822</v>
      </c>
      <c r="AD158">
        <v>33307458</v>
      </c>
      <c r="AE158">
        <v>126271923</v>
      </c>
      <c r="AF158">
        <v>17163020</v>
      </c>
      <c r="AG158">
        <v>8285404</v>
      </c>
      <c r="AH158">
        <v>27792081</v>
      </c>
      <c r="AI158">
        <v>161425607</v>
      </c>
      <c r="AJ158">
        <v>8528003</v>
      </c>
      <c r="AK158">
        <v>72239924</v>
      </c>
      <c r="AL158">
        <v>50226138</v>
      </c>
      <c r="AM158">
        <v>61785932</v>
      </c>
      <c r="AN158">
        <v>3556831</v>
      </c>
      <c r="AP158">
        <v>17450304</v>
      </c>
      <c r="AQ158">
        <v>1969750</v>
      </c>
      <c r="AR158">
        <v>240636158</v>
      </c>
      <c r="AS158">
        <v>13119718</v>
      </c>
      <c r="AT158">
        <v>48968598</v>
      </c>
      <c r="AU158">
        <v>49627400</v>
      </c>
      <c r="AV158">
        <v>42063093</v>
      </c>
      <c r="AW158">
        <v>11251389</v>
      </c>
      <c r="AX158">
        <v>7405337</v>
      </c>
      <c r="AY158">
        <v>891006</v>
      </c>
      <c r="AZ158">
        <v>24440117</v>
      </c>
      <c r="BA158">
        <v>51575111</v>
      </c>
      <c r="BB158">
        <v>195809377</v>
      </c>
      <c r="BC158">
        <v>0</v>
      </c>
      <c r="BD158">
        <v>19492220</v>
      </c>
      <c r="BE158">
        <v>12991555</v>
      </c>
      <c r="BF158">
        <v>52297001</v>
      </c>
      <c r="BG158">
        <v>31739215</v>
      </c>
      <c r="BH158">
        <v>0</v>
      </c>
      <c r="BI158">
        <v>15131347</v>
      </c>
      <c r="BJ158">
        <v>7178875</v>
      </c>
      <c r="BK158">
        <v>684832976</v>
      </c>
      <c r="BL158">
        <v>7981442</v>
      </c>
      <c r="BM158">
        <v>4027982</v>
      </c>
      <c r="BN158">
        <v>39646981</v>
      </c>
      <c r="BO158">
        <v>56077291</v>
      </c>
      <c r="BP158">
        <v>210735795</v>
      </c>
      <c r="BQ158">
        <v>0</v>
      </c>
      <c r="BR158">
        <v>18337864</v>
      </c>
      <c r="BS158">
        <v>120922922</v>
      </c>
      <c r="BT158">
        <v>885831</v>
      </c>
      <c r="BU158">
        <v>19012678</v>
      </c>
      <c r="BV158">
        <v>14311808</v>
      </c>
      <c r="BW158">
        <v>2426141</v>
      </c>
      <c r="BX158">
        <v>11080706</v>
      </c>
      <c r="BY158">
        <v>86501398</v>
      </c>
      <c r="BZ158">
        <v>0</v>
      </c>
      <c r="CA158">
        <v>22726945</v>
      </c>
      <c r="CB158">
        <v>5467080</v>
      </c>
      <c r="CC158">
        <v>64256837</v>
      </c>
      <c r="CD158">
        <v>68495278</v>
      </c>
      <c r="CE158">
        <v>11918248</v>
      </c>
      <c r="CF158">
        <v>0</v>
      </c>
      <c r="CG158">
        <v>12053000</v>
      </c>
      <c r="CH158">
        <v>22357839</v>
      </c>
      <c r="CI158">
        <v>8759895</v>
      </c>
      <c r="CJ158">
        <v>7170151</v>
      </c>
      <c r="CK158">
        <v>12351607</v>
      </c>
      <c r="CL158">
        <v>2542039</v>
      </c>
      <c r="CM158">
        <v>2927125</v>
      </c>
      <c r="CN158">
        <v>3783828</v>
      </c>
      <c r="CO158">
        <v>99588248</v>
      </c>
      <c r="CP158">
        <v>0</v>
      </c>
      <c r="CQ158">
        <v>468044106</v>
      </c>
      <c r="CR158">
        <v>234447</v>
      </c>
      <c r="CS158">
        <v>0</v>
      </c>
      <c r="CT158">
        <v>4649752</v>
      </c>
      <c r="CU158">
        <v>37473077</v>
      </c>
      <c r="CV158">
        <v>36145745</v>
      </c>
      <c r="CW158">
        <v>61433232</v>
      </c>
      <c r="CX158">
        <v>7423704</v>
      </c>
      <c r="CY158">
        <v>4364139</v>
      </c>
    </row>
    <row r="159" spans="1:103" x14ac:dyDescent="0.3">
      <c r="A159">
        <v>660</v>
      </c>
      <c r="B159" t="s">
        <v>638</v>
      </c>
      <c r="D159">
        <v>0</v>
      </c>
      <c r="E159">
        <v>0</v>
      </c>
      <c r="F159">
        <v>0</v>
      </c>
      <c r="G159">
        <v>0</v>
      </c>
      <c r="H159">
        <v>0</v>
      </c>
      <c r="I159">
        <v>0</v>
      </c>
      <c r="J159">
        <v>0</v>
      </c>
      <c r="K159">
        <v>0</v>
      </c>
      <c r="L159">
        <v>0</v>
      </c>
      <c r="M159">
        <v>0</v>
      </c>
      <c r="N159">
        <v>39820274</v>
      </c>
      <c r="O159">
        <v>0</v>
      </c>
      <c r="P159">
        <v>4074775</v>
      </c>
      <c r="Q159">
        <v>0</v>
      </c>
      <c r="R159">
        <v>0</v>
      </c>
      <c r="S159">
        <v>0</v>
      </c>
      <c r="U159">
        <v>0</v>
      </c>
      <c r="V159">
        <v>0</v>
      </c>
      <c r="X159">
        <v>0</v>
      </c>
      <c r="Y159">
        <v>0</v>
      </c>
      <c r="Z159">
        <v>0</v>
      </c>
      <c r="AA159">
        <v>0</v>
      </c>
      <c r="AB159">
        <v>0</v>
      </c>
      <c r="AC159">
        <v>4103052</v>
      </c>
      <c r="AD159">
        <v>712450</v>
      </c>
      <c r="AE159">
        <v>3276200</v>
      </c>
      <c r="AF159">
        <v>0</v>
      </c>
      <c r="AG159">
        <v>0</v>
      </c>
      <c r="AH159">
        <v>0</v>
      </c>
      <c r="AI159">
        <v>0</v>
      </c>
      <c r="AJ159">
        <v>0</v>
      </c>
      <c r="AK159">
        <v>42864183</v>
      </c>
      <c r="AL159">
        <v>0</v>
      </c>
      <c r="AM159">
        <v>0</v>
      </c>
      <c r="AN159">
        <v>0</v>
      </c>
      <c r="AP159">
        <v>0</v>
      </c>
      <c r="AQ159">
        <v>0</v>
      </c>
      <c r="AR159">
        <v>19687502</v>
      </c>
      <c r="AS159">
        <v>0</v>
      </c>
      <c r="AT159">
        <v>1123085</v>
      </c>
      <c r="AU159">
        <v>0</v>
      </c>
      <c r="AV159">
        <v>0</v>
      </c>
      <c r="AW159">
        <v>0</v>
      </c>
      <c r="AX159">
        <v>0</v>
      </c>
      <c r="AY159">
        <v>0</v>
      </c>
      <c r="AZ159">
        <v>0</v>
      </c>
      <c r="BA159">
        <v>0</v>
      </c>
      <c r="BB159">
        <v>0</v>
      </c>
      <c r="BC159">
        <v>0</v>
      </c>
      <c r="BD159">
        <v>0</v>
      </c>
      <c r="BE159">
        <v>0</v>
      </c>
      <c r="BF159">
        <v>0</v>
      </c>
      <c r="BG159">
        <v>0</v>
      </c>
      <c r="BH159">
        <v>0</v>
      </c>
      <c r="BI159">
        <v>1300449</v>
      </c>
      <c r="BJ159">
        <v>0</v>
      </c>
      <c r="BK159">
        <v>227007288</v>
      </c>
      <c r="BL159">
        <v>0</v>
      </c>
      <c r="BM159">
        <v>0</v>
      </c>
      <c r="BN159">
        <v>0</v>
      </c>
      <c r="BO159">
        <v>0</v>
      </c>
      <c r="BP159">
        <v>0</v>
      </c>
      <c r="BQ159">
        <v>0</v>
      </c>
      <c r="BR159">
        <v>0</v>
      </c>
      <c r="BS159">
        <v>381735</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61698125</v>
      </c>
      <c r="CP159">
        <v>0</v>
      </c>
      <c r="CQ159">
        <v>17472236</v>
      </c>
      <c r="CR159">
        <v>0</v>
      </c>
      <c r="CS159">
        <v>0</v>
      </c>
      <c r="CT159">
        <v>2452775</v>
      </c>
      <c r="CU159">
        <v>0</v>
      </c>
      <c r="CV159">
        <v>0</v>
      </c>
      <c r="CW159">
        <v>0</v>
      </c>
      <c r="CX159">
        <v>0</v>
      </c>
      <c r="CY159">
        <v>0</v>
      </c>
    </row>
    <row r="160" spans="1:103" x14ac:dyDescent="0.3">
      <c r="A160">
        <v>661</v>
      </c>
      <c r="B160" t="s">
        <v>349</v>
      </c>
      <c r="D160">
        <v>0</v>
      </c>
      <c r="E160">
        <v>0</v>
      </c>
      <c r="F160">
        <v>0</v>
      </c>
      <c r="G160">
        <v>0</v>
      </c>
      <c r="H160">
        <v>0</v>
      </c>
      <c r="I160">
        <v>0</v>
      </c>
      <c r="J160">
        <v>0</v>
      </c>
      <c r="K160">
        <v>0</v>
      </c>
      <c r="L160">
        <v>0</v>
      </c>
      <c r="M160">
        <v>0</v>
      </c>
      <c r="N160">
        <v>36</v>
      </c>
      <c r="O160">
        <v>0</v>
      </c>
      <c r="P160">
        <v>10.199999999999999</v>
      </c>
      <c r="Q160">
        <v>0</v>
      </c>
      <c r="R160">
        <v>0</v>
      </c>
      <c r="S160">
        <v>0</v>
      </c>
      <c r="U160">
        <v>0</v>
      </c>
      <c r="V160">
        <v>0</v>
      </c>
      <c r="X160">
        <v>0</v>
      </c>
      <c r="Y160">
        <v>0</v>
      </c>
      <c r="Z160">
        <v>0</v>
      </c>
      <c r="AA160">
        <v>0</v>
      </c>
      <c r="AB160">
        <v>0</v>
      </c>
      <c r="AC160">
        <v>2.4</v>
      </c>
      <c r="AD160">
        <v>2.1</v>
      </c>
      <c r="AE160">
        <v>2.6</v>
      </c>
      <c r="AF160">
        <v>0</v>
      </c>
      <c r="AG160">
        <v>0</v>
      </c>
      <c r="AH160">
        <v>0</v>
      </c>
      <c r="AI160">
        <v>0</v>
      </c>
      <c r="AJ160">
        <v>0</v>
      </c>
      <c r="AK160">
        <v>59.3</v>
      </c>
      <c r="AL160">
        <v>0</v>
      </c>
      <c r="AM160">
        <v>0</v>
      </c>
      <c r="AN160">
        <v>0</v>
      </c>
      <c r="AP160">
        <v>0</v>
      </c>
      <c r="AQ160">
        <v>0</v>
      </c>
      <c r="AR160">
        <v>8.1999999999999993</v>
      </c>
      <c r="AS160">
        <v>0</v>
      </c>
      <c r="AT160">
        <v>2.2999999999999998</v>
      </c>
      <c r="AU160">
        <v>0</v>
      </c>
      <c r="AV160">
        <v>0</v>
      </c>
      <c r="AW160">
        <v>0</v>
      </c>
      <c r="AX160">
        <v>0</v>
      </c>
      <c r="AY160">
        <v>0</v>
      </c>
      <c r="AZ160">
        <v>0</v>
      </c>
      <c r="BA160">
        <v>0</v>
      </c>
      <c r="BB160">
        <v>0</v>
      </c>
      <c r="BC160">
        <v>0</v>
      </c>
      <c r="BD160">
        <v>0</v>
      </c>
      <c r="BE160">
        <v>0</v>
      </c>
      <c r="BF160">
        <v>0</v>
      </c>
      <c r="BG160">
        <v>0</v>
      </c>
      <c r="BH160">
        <v>0</v>
      </c>
      <c r="BI160">
        <v>8.6</v>
      </c>
      <c r="BJ160">
        <v>0</v>
      </c>
      <c r="BK160">
        <v>33.1</v>
      </c>
      <c r="BL160">
        <v>0</v>
      </c>
      <c r="BM160">
        <v>0</v>
      </c>
      <c r="BN160">
        <v>0</v>
      </c>
      <c r="BO160">
        <v>0</v>
      </c>
      <c r="BP160">
        <v>0</v>
      </c>
      <c r="BQ160">
        <v>0</v>
      </c>
      <c r="BR160">
        <v>0</v>
      </c>
      <c r="BS160">
        <v>0.3</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62</v>
      </c>
      <c r="CP160">
        <v>0</v>
      </c>
      <c r="CQ160">
        <v>3.7</v>
      </c>
      <c r="CR160">
        <v>0</v>
      </c>
      <c r="CS160">
        <v>0</v>
      </c>
      <c r="CT160">
        <v>52.8</v>
      </c>
      <c r="CU160">
        <v>0</v>
      </c>
      <c r="CV160">
        <v>0</v>
      </c>
      <c r="CW160">
        <v>0</v>
      </c>
      <c r="CX160">
        <v>0</v>
      </c>
      <c r="CY160">
        <v>0</v>
      </c>
    </row>
    <row r="161" spans="1:103" x14ac:dyDescent="0.3">
      <c r="A161">
        <v>906</v>
      </c>
      <c r="B161" t="s">
        <v>640</v>
      </c>
      <c r="D161">
        <v>1</v>
      </c>
      <c r="E161">
        <v>1</v>
      </c>
      <c r="F161">
        <v>1</v>
      </c>
      <c r="G161">
        <v>1</v>
      </c>
      <c r="H161">
        <v>1</v>
      </c>
      <c r="I161">
        <v>1</v>
      </c>
      <c r="J161">
        <v>1</v>
      </c>
      <c r="K161">
        <v>1</v>
      </c>
      <c r="L161">
        <v>1</v>
      </c>
      <c r="M161">
        <v>1</v>
      </c>
      <c r="N161">
        <v>1</v>
      </c>
      <c r="O161">
        <v>1</v>
      </c>
      <c r="P161">
        <v>1</v>
      </c>
      <c r="Q161">
        <v>1</v>
      </c>
      <c r="R161">
        <v>1</v>
      </c>
      <c r="S161">
        <v>1</v>
      </c>
      <c r="U161">
        <v>1</v>
      </c>
      <c r="V161">
        <v>1</v>
      </c>
      <c r="X161">
        <v>1</v>
      </c>
      <c r="Y161">
        <v>1</v>
      </c>
      <c r="Z161">
        <v>1</v>
      </c>
      <c r="AA161">
        <v>1</v>
      </c>
      <c r="AB161">
        <v>1</v>
      </c>
      <c r="AC161">
        <v>1</v>
      </c>
      <c r="AD161">
        <v>1</v>
      </c>
      <c r="AE161">
        <v>1</v>
      </c>
      <c r="AF161">
        <v>1</v>
      </c>
      <c r="AG161">
        <v>1</v>
      </c>
      <c r="AH161">
        <v>1</v>
      </c>
      <c r="AI161">
        <v>1</v>
      </c>
      <c r="AJ161">
        <v>1</v>
      </c>
      <c r="AK161">
        <v>1</v>
      </c>
      <c r="AL161">
        <v>1</v>
      </c>
      <c r="AM161">
        <v>1</v>
      </c>
      <c r="AN161">
        <v>1</v>
      </c>
      <c r="AP161">
        <v>1</v>
      </c>
      <c r="AQ161">
        <v>1</v>
      </c>
      <c r="AR161">
        <v>1</v>
      </c>
      <c r="AS161">
        <v>1</v>
      </c>
      <c r="AT161">
        <v>1</v>
      </c>
      <c r="AU161">
        <v>1</v>
      </c>
      <c r="AV161">
        <v>1</v>
      </c>
      <c r="AW161">
        <v>1</v>
      </c>
      <c r="AX161">
        <v>1</v>
      </c>
      <c r="AY161">
        <v>1</v>
      </c>
      <c r="AZ161">
        <v>1</v>
      </c>
      <c r="BA161">
        <v>1</v>
      </c>
      <c r="BB161">
        <v>1</v>
      </c>
      <c r="BC161">
        <v>1</v>
      </c>
      <c r="BD161">
        <v>1</v>
      </c>
      <c r="BE161">
        <v>1</v>
      </c>
      <c r="BF161">
        <v>1</v>
      </c>
      <c r="BG161">
        <v>1</v>
      </c>
      <c r="BH161">
        <v>1</v>
      </c>
      <c r="BI161">
        <v>1</v>
      </c>
      <c r="BJ161">
        <v>1</v>
      </c>
      <c r="BK161">
        <v>1</v>
      </c>
      <c r="BL161">
        <v>1</v>
      </c>
      <c r="BM161">
        <v>1</v>
      </c>
      <c r="BN161">
        <v>1</v>
      </c>
      <c r="BO161">
        <v>1</v>
      </c>
      <c r="BP161">
        <v>1</v>
      </c>
      <c r="BQ161">
        <v>1</v>
      </c>
      <c r="BR161">
        <v>1</v>
      </c>
      <c r="BS161">
        <v>1</v>
      </c>
      <c r="BT161">
        <v>1</v>
      </c>
      <c r="BU161">
        <v>1</v>
      </c>
      <c r="BV161">
        <v>1</v>
      </c>
      <c r="BW161">
        <v>1</v>
      </c>
      <c r="BX161">
        <v>1</v>
      </c>
      <c r="BY161">
        <v>1</v>
      </c>
      <c r="BZ161">
        <v>1</v>
      </c>
      <c r="CA161">
        <v>1</v>
      </c>
      <c r="CB161">
        <v>1</v>
      </c>
      <c r="CC161">
        <v>1</v>
      </c>
      <c r="CD161">
        <v>1</v>
      </c>
      <c r="CE161">
        <v>1</v>
      </c>
      <c r="CF161">
        <v>1</v>
      </c>
      <c r="CG161">
        <v>1</v>
      </c>
      <c r="CH161">
        <v>1</v>
      </c>
      <c r="CI161">
        <v>1</v>
      </c>
      <c r="CJ161">
        <v>1</v>
      </c>
      <c r="CK161">
        <v>1</v>
      </c>
      <c r="CL161">
        <v>1</v>
      </c>
      <c r="CM161">
        <v>1</v>
      </c>
      <c r="CN161">
        <v>1</v>
      </c>
      <c r="CO161">
        <v>1</v>
      </c>
      <c r="CP161">
        <v>1</v>
      </c>
      <c r="CQ161">
        <v>1</v>
      </c>
      <c r="CR161">
        <v>1</v>
      </c>
      <c r="CS161">
        <v>1</v>
      </c>
      <c r="CT161">
        <v>1</v>
      </c>
      <c r="CU161">
        <v>1</v>
      </c>
      <c r="CV161">
        <v>1</v>
      </c>
      <c r="CW161">
        <v>1</v>
      </c>
      <c r="CX161">
        <v>1</v>
      </c>
      <c r="CY161">
        <v>1</v>
      </c>
    </row>
    <row r="162" spans="1:103" x14ac:dyDescent="0.3">
      <c r="A162">
        <v>907</v>
      </c>
      <c r="B162" t="s">
        <v>641</v>
      </c>
      <c r="D162">
        <v>2</v>
      </c>
      <c r="E162">
        <v>2</v>
      </c>
      <c r="F162">
        <v>1</v>
      </c>
      <c r="G162">
        <v>2</v>
      </c>
      <c r="H162">
        <v>2</v>
      </c>
      <c r="I162">
        <v>2</v>
      </c>
      <c r="J162">
        <v>2</v>
      </c>
      <c r="K162">
        <v>2</v>
      </c>
      <c r="L162">
        <v>2</v>
      </c>
      <c r="M162">
        <v>2</v>
      </c>
      <c r="N162">
        <v>2</v>
      </c>
      <c r="O162">
        <v>2</v>
      </c>
      <c r="P162">
        <v>2</v>
      </c>
      <c r="Q162">
        <v>2</v>
      </c>
      <c r="R162">
        <v>2</v>
      </c>
      <c r="S162">
        <v>2</v>
      </c>
      <c r="U162">
        <v>2</v>
      </c>
      <c r="V162">
        <v>2</v>
      </c>
      <c r="X162">
        <v>2</v>
      </c>
      <c r="Y162">
        <v>2</v>
      </c>
      <c r="Z162">
        <v>2</v>
      </c>
      <c r="AA162">
        <v>2</v>
      </c>
      <c r="AB162">
        <v>2</v>
      </c>
      <c r="AC162">
        <v>2</v>
      </c>
      <c r="AD162">
        <v>2</v>
      </c>
      <c r="AE162">
        <v>2</v>
      </c>
      <c r="AF162">
        <v>2</v>
      </c>
      <c r="AG162">
        <v>2</v>
      </c>
      <c r="AH162">
        <v>2</v>
      </c>
      <c r="AI162">
        <v>2</v>
      </c>
      <c r="AJ162">
        <v>2</v>
      </c>
      <c r="AK162">
        <v>2</v>
      </c>
      <c r="AL162">
        <v>2</v>
      </c>
      <c r="AM162">
        <v>2</v>
      </c>
      <c r="AN162">
        <v>2</v>
      </c>
      <c r="AP162">
        <v>2</v>
      </c>
      <c r="AQ162">
        <v>1</v>
      </c>
      <c r="AR162">
        <v>2</v>
      </c>
      <c r="AS162">
        <v>2</v>
      </c>
      <c r="AT162">
        <v>2</v>
      </c>
      <c r="AU162">
        <v>2</v>
      </c>
      <c r="AV162">
        <v>2</v>
      </c>
      <c r="AW162">
        <v>2</v>
      </c>
      <c r="AX162">
        <v>2</v>
      </c>
      <c r="AY162">
        <v>1</v>
      </c>
      <c r="AZ162">
        <v>2</v>
      </c>
      <c r="BA162">
        <v>2</v>
      </c>
      <c r="BB162">
        <v>2</v>
      </c>
      <c r="BC162">
        <v>2</v>
      </c>
      <c r="BD162">
        <v>2</v>
      </c>
      <c r="BE162">
        <v>2</v>
      </c>
      <c r="BF162">
        <v>2</v>
      </c>
      <c r="BG162">
        <v>2</v>
      </c>
      <c r="BH162">
        <v>1</v>
      </c>
      <c r="BI162">
        <v>2</v>
      </c>
      <c r="BJ162">
        <v>2</v>
      </c>
      <c r="BK162">
        <v>2</v>
      </c>
      <c r="BL162">
        <v>2</v>
      </c>
      <c r="BM162">
        <v>2</v>
      </c>
      <c r="BN162">
        <v>2</v>
      </c>
      <c r="BO162">
        <v>2</v>
      </c>
      <c r="BP162">
        <v>2</v>
      </c>
      <c r="BQ162">
        <v>2</v>
      </c>
      <c r="BR162">
        <v>2</v>
      </c>
      <c r="BS162">
        <v>2</v>
      </c>
      <c r="BT162">
        <v>2</v>
      </c>
      <c r="BU162">
        <v>2</v>
      </c>
      <c r="BV162">
        <v>2</v>
      </c>
      <c r="BW162">
        <v>2</v>
      </c>
      <c r="BX162">
        <v>2</v>
      </c>
      <c r="BY162">
        <v>2</v>
      </c>
      <c r="BZ162">
        <v>2</v>
      </c>
      <c r="CA162">
        <v>2</v>
      </c>
      <c r="CB162">
        <v>2</v>
      </c>
      <c r="CC162">
        <v>2</v>
      </c>
      <c r="CD162">
        <v>2</v>
      </c>
      <c r="CE162">
        <v>2</v>
      </c>
      <c r="CF162">
        <v>2</v>
      </c>
      <c r="CG162">
        <v>2</v>
      </c>
      <c r="CH162">
        <v>2</v>
      </c>
      <c r="CI162">
        <v>2</v>
      </c>
      <c r="CJ162">
        <v>2</v>
      </c>
      <c r="CK162">
        <v>2</v>
      </c>
      <c r="CL162">
        <v>2</v>
      </c>
      <c r="CM162">
        <v>2</v>
      </c>
      <c r="CN162">
        <v>2</v>
      </c>
      <c r="CO162">
        <v>2</v>
      </c>
      <c r="CP162">
        <v>1</v>
      </c>
      <c r="CQ162">
        <v>2</v>
      </c>
      <c r="CR162">
        <v>2</v>
      </c>
      <c r="CS162">
        <v>2</v>
      </c>
      <c r="CT162">
        <v>2</v>
      </c>
      <c r="CU162">
        <v>2</v>
      </c>
      <c r="CV162">
        <v>2</v>
      </c>
      <c r="CW162">
        <v>2</v>
      </c>
      <c r="CX162">
        <v>2</v>
      </c>
      <c r="CY162">
        <v>2</v>
      </c>
    </row>
    <row r="163" spans="1:103" x14ac:dyDescent="0.3">
      <c r="A163">
        <v>947</v>
      </c>
      <c r="B163" t="s">
        <v>642</v>
      </c>
      <c r="D163" t="s">
        <v>645</v>
      </c>
      <c r="E163" t="s">
        <v>711</v>
      </c>
      <c r="F163" t="s">
        <v>1797</v>
      </c>
      <c r="G163" t="s">
        <v>1634</v>
      </c>
      <c r="H163" t="s">
        <v>1798</v>
      </c>
      <c r="I163" t="s">
        <v>900</v>
      </c>
      <c r="J163" t="s">
        <v>901</v>
      </c>
      <c r="K163" t="s">
        <v>710</v>
      </c>
      <c r="L163" t="s">
        <v>1799</v>
      </c>
      <c r="M163" t="s">
        <v>1353</v>
      </c>
      <c r="N163" t="s">
        <v>1748</v>
      </c>
      <c r="O163" t="s">
        <v>904</v>
      </c>
      <c r="P163" t="s">
        <v>928</v>
      </c>
      <c r="Q163" t="s">
        <v>714</v>
      </c>
      <c r="R163" t="s">
        <v>1800</v>
      </c>
      <c r="S163" t="s">
        <v>709</v>
      </c>
      <c r="U163" t="s">
        <v>705</v>
      </c>
      <c r="V163" t="s">
        <v>1355</v>
      </c>
      <c r="X163" t="s">
        <v>1801</v>
      </c>
      <c r="Y163" t="s">
        <v>905</v>
      </c>
      <c r="Z163" t="s">
        <v>1802</v>
      </c>
      <c r="AA163" t="s">
        <v>1803</v>
      </c>
      <c r="AB163" t="s">
        <v>907</v>
      </c>
      <c r="AC163" t="s">
        <v>707</v>
      </c>
      <c r="AD163" t="s">
        <v>908</v>
      </c>
      <c r="AE163" t="s">
        <v>710</v>
      </c>
      <c r="AF163" t="s">
        <v>1357</v>
      </c>
      <c r="AG163" t="s">
        <v>706</v>
      </c>
      <c r="AH163" t="s">
        <v>1722</v>
      </c>
      <c r="AI163" t="s">
        <v>1358</v>
      </c>
      <c r="AJ163" t="s">
        <v>1804</v>
      </c>
      <c r="AK163" t="s">
        <v>910</v>
      </c>
      <c r="AL163" t="s">
        <v>911</v>
      </c>
      <c r="AM163" t="s">
        <v>1805</v>
      </c>
      <c r="AN163" t="s">
        <v>902</v>
      </c>
      <c r="AP163" t="s">
        <v>1806</v>
      </c>
      <c r="AQ163" t="s">
        <v>929</v>
      </c>
      <c r="AR163" t="s">
        <v>1807</v>
      </c>
      <c r="AS163" t="s">
        <v>705</v>
      </c>
      <c r="AT163" t="s">
        <v>708</v>
      </c>
      <c r="AU163" t="s">
        <v>914</v>
      </c>
      <c r="AV163" t="s">
        <v>915</v>
      </c>
      <c r="AW163" t="s">
        <v>1750</v>
      </c>
      <c r="AX163" t="s">
        <v>1808</v>
      </c>
      <c r="AY163" t="s">
        <v>1635</v>
      </c>
      <c r="AZ163" t="s">
        <v>916</v>
      </c>
      <c r="BA163" t="s">
        <v>917</v>
      </c>
      <c r="BB163" t="s">
        <v>918</v>
      </c>
      <c r="BC163" t="s">
        <v>1361</v>
      </c>
      <c r="BD163" t="s">
        <v>1362</v>
      </c>
      <c r="BE163" t="s">
        <v>908</v>
      </c>
      <c r="BF163" t="s">
        <v>919</v>
      </c>
      <c r="BG163" t="s">
        <v>920</v>
      </c>
      <c r="BH163" t="s">
        <v>921</v>
      </c>
      <c r="BI163" t="s">
        <v>644</v>
      </c>
      <c r="BJ163" t="s">
        <v>922</v>
      </c>
      <c r="BK163" t="s">
        <v>710</v>
      </c>
      <c r="BL163" t="s">
        <v>1809</v>
      </c>
      <c r="BM163" t="s">
        <v>923</v>
      </c>
      <c r="BN163" t="s">
        <v>924</v>
      </c>
      <c r="BO163" t="s">
        <v>738</v>
      </c>
      <c r="BP163" t="s">
        <v>1364</v>
      </c>
      <c r="BQ163" t="s">
        <v>1751</v>
      </c>
      <c r="BR163" t="s">
        <v>1810</v>
      </c>
      <c r="BS163" t="s">
        <v>925</v>
      </c>
      <c r="BT163" t="s">
        <v>926</v>
      </c>
      <c r="BU163" t="s">
        <v>1811</v>
      </c>
      <c r="BV163" t="s">
        <v>904</v>
      </c>
      <c r="BW163" t="s">
        <v>1367</v>
      </c>
      <c r="BX163" t="s">
        <v>643</v>
      </c>
      <c r="BY163" t="s">
        <v>1368</v>
      </c>
      <c r="BZ163" t="s">
        <v>908</v>
      </c>
      <c r="CA163" t="s">
        <v>1812</v>
      </c>
      <c r="CB163" t="s">
        <v>767</v>
      </c>
      <c r="CC163" t="s">
        <v>927</v>
      </c>
      <c r="CD163" t="s">
        <v>1245</v>
      </c>
      <c r="CE163" t="s">
        <v>1369</v>
      </c>
      <c r="CF163" t="s">
        <v>929</v>
      </c>
      <c r="CG163" t="s">
        <v>710</v>
      </c>
      <c r="CH163" t="s">
        <v>1813</v>
      </c>
      <c r="CI163" t="s">
        <v>1814</v>
      </c>
      <c r="CJ163" t="s">
        <v>713</v>
      </c>
      <c r="CK163" t="s">
        <v>1370</v>
      </c>
      <c r="CL163" t="s">
        <v>932</v>
      </c>
      <c r="CM163" t="s">
        <v>1815</v>
      </c>
      <c r="CN163" t="s">
        <v>712</v>
      </c>
      <c r="CO163" t="s">
        <v>739</v>
      </c>
      <c r="CP163" t="s">
        <v>1800</v>
      </c>
      <c r="CQ163" t="s">
        <v>934</v>
      </c>
      <c r="CR163" t="s">
        <v>1816</v>
      </c>
      <c r="CS163" t="s">
        <v>936</v>
      </c>
      <c r="CT163" t="s">
        <v>1817</v>
      </c>
      <c r="CU163" t="s">
        <v>1818</v>
      </c>
      <c r="CV163" t="s">
        <v>737</v>
      </c>
      <c r="CW163" t="s">
        <v>938</v>
      </c>
      <c r="CX163" t="s">
        <v>1819</v>
      </c>
      <c r="CY163" t="s">
        <v>939</v>
      </c>
    </row>
    <row r="164" spans="1:103" x14ac:dyDescent="0.3">
      <c r="A164">
        <v>948</v>
      </c>
      <c r="B164" t="s">
        <v>646</v>
      </c>
      <c r="D164" t="s">
        <v>940</v>
      </c>
      <c r="E164" t="s">
        <v>941</v>
      </c>
      <c r="F164" t="s">
        <v>942</v>
      </c>
      <c r="G164" t="s">
        <v>1636</v>
      </c>
      <c r="H164" t="s">
        <v>943</v>
      </c>
      <c r="I164" t="s">
        <v>944</v>
      </c>
      <c r="J164" t="s">
        <v>945</v>
      </c>
      <c r="K164" t="s">
        <v>1820</v>
      </c>
      <c r="L164" t="s">
        <v>1821</v>
      </c>
      <c r="M164" t="s">
        <v>951</v>
      </c>
      <c r="N164" t="s">
        <v>1822</v>
      </c>
      <c r="O164" t="s">
        <v>948</v>
      </c>
      <c r="P164" t="s">
        <v>986</v>
      </c>
      <c r="Q164" t="s">
        <v>949</v>
      </c>
      <c r="R164" t="s">
        <v>364</v>
      </c>
      <c r="S164" t="s">
        <v>950</v>
      </c>
      <c r="U164" t="s">
        <v>1374</v>
      </c>
      <c r="V164" t="s">
        <v>1375</v>
      </c>
      <c r="X164" t="s">
        <v>951</v>
      </c>
      <c r="Y164" t="s">
        <v>717</v>
      </c>
      <c r="Z164" t="s">
        <v>1823</v>
      </c>
      <c r="AA164" t="s">
        <v>1824</v>
      </c>
      <c r="AB164" t="s">
        <v>952</v>
      </c>
      <c r="AC164" t="s">
        <v>940</v>
      </c>
      <c r="AD164" t="s">
        <v>953</v>
      </c>
      <c r="AE164" t="s">
        <v>954</v>
      </c>
      <c r="AF164" t="s">
        <v>1377</v>
      </c>
      <c r="AG164" t="s">
        <v>955</v>
      </c>
      <c r="AH164" t="s">
        <v>1723</v>
      </c>
      <c r="AI164" t="s">
        <v>1379</v>
      </c>
      <c r="AJ164" t="s">
        <v>1381</v>
      </c>
      <c r="AK164" t="s">
        <v>957</v>
      </c>
      <c r="AL164" t="s">
        <v>958</v>
      </c>
      <c r="AM164" t="s">
        <v>1825</v>
      </c>
      <c r="AN164" t="s">
        <v>1826</v>
      </c>
      <c r="AP164" t="s">
        <v>960</v>
      </c>
      <c r="AQ164" t="s">
        <v>1380</v>
      </c>
      <c r="AR164" t="s">
        <v>947</v>
      </c>
      <c r="AS164" t="s">
        <v>961</v>
      </c>
      <c r="AT164" t="s">
        <v>962</v>
      </c>
      <c r="AU164" t="s">
        <v>963</v>
      </c>
      <c r="AV164" t="s">
        <v>964</v>
      </c>
      <c r="AW164" t="s">
        <v>716</v>
      </c>
      <c r="AX164" t="s">
        <v>1827</v>
      </c>
      <c r="AY164" t="s">
        <v>1637</v>
      </c>
      <c r="AZ164" t="s">
        <v>966</v>
      </c>
      <c r="BA164" t="s">
        <v>967</v>
      </c>
      <c r="BB164" t="s">
        <v>968</v>
      </c>
      <c r="BC164" t="s">
        <v>1382</v>
      </c>
      <c r="BD164" t="s">
        <v>1383</v>
      </c>
      <c r="BE164" t="s">
        <v>1384</v>
      </c>
      <c r="BF164" t="s">
        <v>969</v>
      </c>
      <c r="BG164" t="s">
        <v>970</v>
      </c>
      <c r="BH164" t="s">
        <v>971</v>
      </c>
      <c r="BI164" t="s">
        <v>972</v>
      </c>
      <c r="BJ164" t="s">
        <v>973</v>
      </c>
      <c r="BK164" t="s">
        <v>974</v>
      </c>
      <c r="BL164" t="s">
        <v>1828</v>
      </c>
      <c r="BM164" t="s">
        <v>975</v>
      </c>
      <c r="BN164" t="s">
        <v>976</v>
      </c>
      <c r="BO164" t="s">
        <v>977</v>
      </c>
      <c r="BP164" t="s">
        <v>1386</v>
      </c>
      <c r="BQ164" t="s">
        <v>1753</v>
      </c>
      <c r="BR164" t="s">
        <v>1829</v>
      </c>
      <c r="BS164" t="s">
        <v>978</v>
      </c>
      <c r="BT164" t="s">
        <v>979</v>
      </c>
      <c r="BU164" t="s">
        <v>1830</v>
      </c>
      <c r="BV164" t="s">
        <v>980</v>
      </c>
      <c r="BW164" t="s">
        <v>1389</v>
      </c>
      <c r="BX164" t="s">
        <v>981</v>
      </c>
      <c r="BY164" t="s">
        <v>1390</v>
      </c>
      <c r="BZ164" t="s">
        <v>982</v>
      </c>
      <c r="CA164" t="s">
        <v>983</v>
      </c>
      <c r="CB164" t="s">
        <v>769</v>
      </c>
      <c r="CC164" t="s">
        <v>984</v>
      </c>
      <c r="CD164" t="s">
        <v>985</v>
      </c>
      <c r="CE164" t="s">
        <v>1391</v>
      </c>
      <c r="CF164" t="s">
        <v>987</v>
      </c>
      <c r="CG164" t="s">
        <v>988</v>
      </c>
      <c r="CH164" t="s">
        <v>1831</v>
      </c>
      <c r="CI164" t="s">
        <v>1832</v>
      </c>
      <c r="CJ164" t="s">
        <v>1392</v>
      </c>
      <c r="CK164" t="s">
        <v>1393</v>
      </c>
      <c r="CL164" t="s">
        <v>990</v>
      </c>
      <c r="CM164" t="s">
        <v>1833</v>
      </c>
      <c r="CN164" t="s">
        <v>992</v>
      </c>
      <c r="CO164" t="s">
        <v>993</v>
      </c>
      <c r="CP164" t="s">
        <v>1834</v>
      </c>
      <c r="CQ164" t="s">
        <v>995</v>
      </c>
      <c r="CR164" t="s">
        <v>1835</v>
      </c>
      <c r="CS164" t="s">
        <v>997</v>
      </c>
      <c r="CT164" t="s">
        <v>1836</v>
      </c>
      <c r="CU164" t="s">
        <v>1837</v>
      </c>
      <c r="CV164" t="s">
        <v>998</v>
      </c>
      <c r="CW164" t="s">
        <v>999</v>
      </c>
      <c r="CX164" t="s">
        <v>1838</v>
      </c>
      <c r="CY164" t="s">
        <v>1000</v>
      </c>
    </row>
    <row r="165" spans="1:103" x14ac:dyDescent="0.3">
      <c r="A165">
        <v>949</v>
      </c>
      <c r="B165" t="s">
        <v>647</v>
      </c>
      <c r="D165" t="s">
        <v>342</v>
      </c>
      <c r="E165" t="s">
        <v>342</v>
      </c>
      <c r="F165" t="s">
        <v>342</v>
      </c>
      <c r="G165" t="s">
        <v>342</v>
      </c>
      <c r="H165" t="s">
        <v>741</v>
      </c>
      <c r="I165" t="s">
        <v>342</v>
      </c>
      <c r="J165" t="s">
        <v>342</v>
      </c>
      <c r="K165" t="s">
        <v>359</v>
      </c>
      <c r="L165" t="s">
        <v>342</v>
      </c>
      <c r="M165" t="s">
        <v>342</v>
      </c>
      <c r="N165" t="s">
        <v>342</v>
      </c>
      <c r="O165" t="s">
        <v>342</v>
      </c>
      <c r="P165" t="s">
        <v>342</v>
      </c>
      <c r="Q165" t="s">
        <v>342</v>
      </c>
      <c r="R165" t="s">
        <v>342</v>
      </c>
      <c r="S165" t="s">
        <v>342</v>
      </c>
      <c r="U165" t="s">
        <v>342</v>
      </c>
      <c r="V165" t="s">
        <v>342</v>
      </c>
      <c r="X165" t="s">
        <v>342</v>
      </c>
      <c r="Y165" t="s">
        <v>342</v>
      </c>
      <c r="Z165" t="s">
        <v>359</v>
      </c>
      <c r="AA165" t="s">
        <v>359</v>
      </c>
      <c r="AB165" t="s">
        <v>342</v>
      </c>
      <c r="AC165" t="s">
        <v>342</v>
      </c>
      <c r="AD165" t="s">
        <v>342</v>
      </c>
      <c r="AE165" t="s">
        <v>342</v>
      </c>
      <c r="AF165" t="s">
        <v>342</v>
      </c>
      <c r="AG165" t="s">
        <v>342</v>
      </c>
      <c r="AH165" t="s">
        <v>342</v>
      </c>
      <c r="AI165" t="s">
        <v>342</v>
      </c>
      <c r="AJ165" t="s">
        <v>342</v>
      </c>
      <c r="AK165" t="s">
        <v>342</v>
      </c>
      <c r="AL165" t="s">
        <v>342</v>
      </c>
      <c r="AM165" t="s">
        <v>359</v>
      </c>
      <c r="AN165" t="s">
        <v>342</v>
      </c>
      <c r="AP165" t="s">
        <v>342</v>
      </c>
      <c r="AQ165" t="s">
        <v>342</v>
      </c>
      <c r="AR165" t="s">
        <v>342</v>
      </c>
      <c r="AS165" t="s">
        <v>342</v>
      </c>
      <c r="AT165" t="s">
        <v>342</v>
      </c>
      <c r="AU165" t="s">
        <v>342</v>
      </c>
      <c r="AV165" t="s">
        <v>342</v>
      </c>
      <c r="AW165" t="s">
        <v>342</v>
      </c>
      <c r="AX165" t="s">
        <v>359</v>
      </c>
      <c r="AY165" t="s">
        <v>342</v>
      </c>
      <c r="AZ165" t="s">
        <v>342</v>
      </c>
      <c r="BA165" t="s">
        <v>342</v>
      </c>
      <c r="BB165" t="s">
        <v>342</v>
      </c>
      <c r="BC165" t="s">
        <v>342</v>
      </c>
      <c r="BD165" t="s">
        <v>342</v>
      </c>
      <c r="BE165" t="s">
        <v>342</v>
      </c>
      <c r="BF165" t="s">
        <v>342</v>
      </c>
      <c r="BG165" t="s">
        <v>342</v>
      </c>
      <c r="BH165" t="s">
        <v>342</v>
      </c>
      <c r="BI165" t="s">
        <v>342</v>
      </c>
      <c r="BJ165" t="s">
        <v>342</v>
      </c>
      <c r="BK165" t="s">
        <v>342</v>
      </c>
      <c r="BL165" t="s">
        <v>342</v>
      </c>
      <c r="BM165" t="s">
        <v>342</v>
      </c>
      <c r="BN165" t="s">
        <v>342</v>
      </c>
      <c r="BO165" t="s">
        <v>342</v>
      </c>
      <c r="BP165" t="s">
        <v>342</v>
      </c>
      <c r="BQ165" t="s">
        <v>342</v>
      </c>
      <c r="BR165" t="s">
        <v>359</v>
      </c>
      <c r="BS165" t="s">
        <v>342</v>
      </c>
      <c r="BT165" t="s">
        <v>342</v>
      </c>
      <c r="BU165" t="s">
        <v>342</v>
      </c>
      <c r="BV165" t="s">
        <v>342</v>
      </c>
      <c r="BW165" t="s">
        <v>342</v>
      </c>
      <c r="BX165" t="s">
        <v>342</v>
      </c>
      <c r="BY165" t="s">
        <v>342</v>
      </c>
      <c r="BZ165" t="s">
        <v>342</v>
      </c>
      <c r="CA165" t="s">
        <v>342</v>
      </c>
      <c r="CB165" t="s">
        <v>342</v>
      </c>
      <c r="CC165" t="s">
        <v>342</v>
      </c>
      <c r="CD165" t="s">
        <v>342</v>
      </c>
      <c r="CE165" t="s">
        <v>342</v>
      </c>
      <c r="CF165" t="s">
        <v>342</v>
      </c>
      <c r="CG165" t="s">
        <v>342</v>
      </c>
      <c r="CH165" t="s">
        <v>342</v>
      </c>
      <c r="CI165" t="s">
        <v>342</v>
      </c>
      <c r="CJ165" t="s">
        <v>342</v>
      </c>
      <c r="CK165" t="s">
        <v>342</v>
      </c>
      <c r="CL165" t="s">
        <v>342</v>
      </c>
      <c r="CM165" t="s">
        <v>342</v>
      </c>
      <c r="CN165" t="s">
        <v>342</v>
      </c>
      <c r="CO165" t="s">
        <v>342</v>
      </c>
      <c r="CP165" t="s">
        <v>342</v>
      </c>
      <c r="CQ165" t="s">
        <v>342</v>
      </c>
      <c r="CR165" t="s">
        <v>342</v>
      </c>
      <c r="CS165" t="s">
        <v>342</v>
      </c>
      <c r="CT165" t="s">
        <v>359</v>
      </c>
      <c r="CU165" t="s">
        <v>342</v>
      </c>
      <c r="CV165" t="s">
        <v>342</v>
      </c>
      <c r="CW165" t="s">
        <v>342</v>
      </c>
      <c r="CX165" t="s">
        <v>342</v>
      </c>
      <c r="CY165" t="s">
        <v>342</v>
      </c>
    </row>
    <row r="166" spans="1:103" x14ac:dyDescent="0.3">
      <c r="A166">
        <v>950</v>
      </c>
      <c r="B166" t="s">
        <v>648</v>
      </c>
      <c r="D166" t="s">
        <v>46</v>
      </c>
      <c r="E166" t="s">
        <v>46</v>
      </c>
      <c r="F166" t="s">
        <v>46</v>
      </c>
      <c r="G166" t="s">
        <v>46</v>
      </c>
      <c r="H166" t="s">
        <v>46</v>
      </c>
      <c r="I166" t="s">
        <v>46</v>
      </c>
      <c r="J166" t="s">
        <v>46</v>
      </c>
      <c r="K166" t="s">
        <v>46</v>
      </c>
      <c r="L166" t="s">
        <v>46</v>
      </c>
      <c r="M166" t="s">
        <v>46</v>
      </c>
      <c r="N166" t="s">
        <v>46</v>
      </c>
      <c r="O166" t="s">
        <v>46</v>
      </c>
      <c r="P166" t="s">
        <v>46</v>
      </c>
      <c r="Q166" t="s">
        <v>46</v>
      </c>
      <c r="R166" t="s">
        <v>46</v>
      </c>
      <c r="S166" t="s">
        <v>46</v>
      </c>
      <c r="U166" t="s">
        <v>46</v>
      </c>
      <c r="V166" t="s">
        <v>46</v>
      </c>
      <c r="X166" t="s">
        <v>46</v>
      </c>
      <c r="Y166" t="s">
        <v>46</v>
      </c>
      <c r="Z166" t="s">
        <v>46</v>
      </c>
      <c r="AA166" t="s">
        <v>46</v>
      </c>
      <c r="AB166" t="s">
        <v>46</v>
      </c>
      <c r="AC166" t="s">
        <v>46</v>
      </c>
      <c r="AD166" t="s">
        <v>46</v>
      </c>
      <c r="AE166" t="s">
        <v>46</v>
      </c>
      <c r="AF166" t="s">
        <v>46</v>
      </c>
      <c r="AG166" t="s">
        <v>46</v>
      </c>
      <c r="AH166" t="s">
        <v>46</v>
      </c>
      <c r="AI166" t="s">
        <v>46</v>
      </c>
      <c r="AJ166" t="s">
        <v>46</v>
      </c>
      <c r="AK166" t="s">
        <v>46</v>
      </c>
      <c r="AL166" t="s">
        <v>46</v>
      </c>
      <c r="AM166" t="s">
        <v>46</v>
      </c>
      <c r="AN166" t="s">
        <v>46</v>
      </c>
      <c r="AP166" t="s">
        <v>46</v>
      </c>
      <c r="AQ166" t="s">
        <v>46</v>
      </c>
      <c r="AR166" t="s">
        <v>46</v>
      </c>
      <c r="AS166" t="s">
        <v>46</v>
      </c>
      <c r="AT166" t="s">
        <v>46</v>
      </c>
      <c r="AU166" t="s">
        <v>46</v>
      </c>
      <c r="AV166" t="s">
        <v>46</v>
      </c>
      <c r="AW166" t="s">
        <v>46</v>
      </c>
      <c r="AX166" t="s">
        <v>46</v>
      </c>
      <c r="AY166" t="s">
        <v>46</v>
      </c>
      <c r="AZ166" t="s">
        <v>46</v>
      </c>
      <c r="BA166" t="s">
        <v>46</v>
      </c>
      <c r="BB166" t="s">
        <v>46</v>
      </c>
      <c r="BC166" t="s">
        <v>46</v>
      </c>
      <c r="BD166" t="s">
        <v>46</v>
      </c>
      <c r="BE166" t="s">
        <v>46</v>
      </c>
      <c r="BF166" t="s">
        <v>46</v>
      </c>
      <c r="BG166" t="s">
        <v>46</v>
      </c>
      <c r="BH166" t="s">
        <v>46</v>
      </c>
      <c r="BI166" t="s">
        <v>46</v>
      </c>
      <c r="BJ166" t="s">
        <v>46</v>
      </c>
      <c r="BK166" t="s">
        <v>46</v>
      </c>
      <c r="BL166" t="s">
        <v>46</v>
      </c>
      <c r="BM166" t="s">
        <v>46</v>
      </c>
      <c r="BN166" t="s">
        <v>46</v>
      </c>
      <c r="BO166" t="s">
        <v>46</v>
      </c>
      <c r="BP166" t="s">
        <v>46</v>
      </c>
      <c r="BQ166" t="s">
        <v>46</v>
      </c>
      <c r="BR166" t="s">
        <v>46</v>
      </c>
      <c r="BS166" t="s">
        <v>46</v>
      </c>
      <c r="BT166" t="s">
        <v>46</v>
      </c>
      <c r="BU166" t="s">
        <v>46</v>
      </c>
      <c r="BV166" t="s">
        <v>46</v>
      </c>
      <c r="BW166" t="s">
        <v>46</v>
      </c>
      <c r="BX166" t="s">
        <v>46</v>
      </c>
      <c r="BY166" t="s">
        <v>46</v>
      </c>
      <c r="BZ166" t="s">
        <v>46</v>
      </c>
      <c r="CA166" t="s">
        <v>46</v>
      </c>
      <c r="CB166" t="s">
        <v>46</v>
      </c>
      <c r="CC166" t="s">
        <v>46</v>
      </c>
      <c r="CD166" t="s">
        <v>46</v>
      </c>
      <c r="CE166" t="s">
        <v>46</v>
      </c>
      <c r="CF166" t="s">
        <v>46</v>
      </c>
      <c r="CG166" t="s">
        <v>46</v>
      </c>
      <c r="CH166" t="s">
        <v>46</v>
      </c>
      <c r="CI166" t="s">
        <v>46</v>
      </c>
      <c r="CJ166" t="s">
        <v>46</v>
      </c>
      <c r="CK166" t="s">
        <v>46</v>
      </c>
      <c r="CL166" t="s">
        <v>46</v>
      </c>
      <c r="CM166" t="s">
        <v>46</v>
      </c>
      <c r="CN166" t="s">
        <v>46</v>
      </c>
      <c r="CO166" t="s">
        <v>46</v>
      </c>
      <c r="CP166" t="s">
        <v>46</v>
      </c>
      <c r="CQ166" t="s">
        <v>46</v>
      </c>
      <c r="CR166" t="s">
        <v>46</v>
      </c>
      <c r="CS166" t="s">
        <v>46</v>
      </c>
      <c r="CT166" t="s">
        <v>46</v>
      </c>
      <c r="CU166" t="s">
        <v>46</v>
      </c>
      <c r="CV166" t="s">
        <v>46</v>
      </c>
      <c r="CW166" t="s">
        <v>46</v>
      </c>
      <c r="CX166" t="s">
        <v>46</v>
      </c>
      <c r="CY166" t="s">
        <v>46</v>
      </c>
    </row>
    <row r="167" spans="1:103" x14ac:dyDescent="0.3">
      <c r="A167">
        <v>951</v>
      </c>
      <c r="B167" t="s">
        <v>649</v>
      </c>
      <c r="D167">
        <v>2</v>
      </c>
      <c r="E167">
        <v>2</v>
      </c>
      <c r="F167">
        <v>2</v>
      </c>
      <c r="G167">
        <v>2</v>
      </c>
      <c r="H167">
        <v>2</v>
      </c>
      <c r="I167">
        <v>2</v>
      </c>
      <c r="J167">
        <v>2</v>
      </c>
      <c r="K167">
        <v>2</v>
      </c>
      <c r="L167">
        <v>2</v>
      </c>
      <c r="M167">
        <v>2</v>
      </c>
      <c r="N167">
        <v>2</v>
      </c>
      <c r="O167">
        <v>2</v>
      </c>
      <c r="P167">
        <v>2</v>
      </c>
      <c r="Q167">
        <v>2</v>
      </c>
      <c r="R167">
        <v>2</v>
      </c>
      <c r="S167">
        <v>2</v>
      </c>
      <c r="U167">
        <v>2</v>
      </c>
      <c r="V167">
        <v>2</v>
      </c>
      <c r="X167">
        <v>2</v>
      </c>
      <c r="Y167">
        <v>2</v>
      </c>
      <c r="Z167">
        <v>2</v>
      </c>
      <c r="AA167">
        <v>2</v>
      </c>
      <c r="AB167">
        <v>2</v>
      </c>
      <c r="AC167">
        <v>2</v>
      </c>
      <c r="AD167">
        <v>2</v>
      </c>
      <c r="AE167">
        <v>2</v>
      </c>
      <c r="AF167">
        <v>2</v>
      </c>
      <c r="AG167">
        <v>2</v>
      </c>
      <c r="AH167">
        <v>2</v>
      </c>
      <c r="AI167">
        <v>2</v>
      </c>
      <c r="AJ167">
        <v>2</v>
      </c>
      <c r="AK167">
        <v>2</v>
      </c>
      <c r="AL167">
        <v>2</v>
      </c>
      <c r="AM167">
        <v>2</v>
      </c>
      <c r="AN167">
        <v>2</v>
      </c>
      <c r="AP167">
        <v>2</v>
      </c>
      <c r="AQ167">
        <v>2</v>
      </c>
      <c r="AR167">
        <v>2</v>
      </c>
      <c r="AS167">
        <v>2</v>
      </c>
      <c r="AT167">
        <v>2</v>
      </c>
      <c r="AU167">
        <v>2</v>
      </c>
      <c r="AV167">
        <v>2</v>
      </c>
      <c r="AW167">
        <v>2</v>
      </c>
      <c r="AX167">
        <v>2</v>
      </c>
      <c r="AY167">
        <v>2</v>
      </c>
      <c r="AZ167">
        <v>2</v>
      </c>
      <c r="BA167">
        <v>2</v>
      </c>
      <c r="BB167">
        <v>2</v>
      </c>
      <c r="BC167">
        <v>2</v>
      </c>
      <c r="BD167">
        <v>2</v>
      </c>
      <c r="BE167">
        <v>2</v>
      </c>
      <c r="BF167">
        <v>2</v>
      </c>
      <c r="BG167">
        <v>2</v>
      </c>
      <c r="BH167">
        <v>2</v>
      </c>
      <c r="BI167">
        <v>2</v>
      </c>
      <c r="BJ167">
        <v>2</v>
      </c>
      <c r="BK167">
        <v>2</v>
      </c>
      <c r="BL167">
        <v>2</v>
      </c>
      <c r="BM167">
        <v>2</v>
      </c>
      <c r="BN167">
        <v>2</v>
      </c>
      <c r="BO167">
        <v>2</v>
      </c>
      <c r="BP167">
        <v>2</v>
      </c>
      <c r="BQ167">
        <v>2</v>
      </c>
      <c r="BR167">
        <v>2</v>
      </c>
      <c r="BS167">
        <v>2</v>
      </c>
      <c r="BT167">
        <v>2</v>
      </c>
      <c r="BU167">
        <v>2</v>
      </c>
      <c r="BV167">
        <v>2</v>
      </c>
      <c r="BW167">
        <v>2</v>
      </c>
      <c r="BX167">
        <v>2</v>
      </c>
      <c r="BY167">
        <v>2</v>
      </c>
      <c r="BZ167">
        <v>2</v>
      </c>
      <c r="CA167">
        <v>2</v>
      </c>
      <c r="CB167">
        <v>2</v>
      </c>
      <c r="CC167">
        <v>2</v>
      </c>
      <c r="CD167">
        <v>2</v>
      </c>
      <c r="CE167">
        <v>2</v>
      </c>
      <c r="CF167">
        <v>2</v>
      </c>
      <c r="CG167">
        <v>2</v>
      </c>
      <c r="CH167">
        <v>2</v>
      </c>
      <c r="CI167">
        <v>2</v>
      </c>
      <c r="CJ167">
        <v>2</v>
      </c>
      <c r="CK167">
        <v>2</v>
      </c>
      <c r="CL167">
        <v>2</v>
      </c>
      <c r="CM167">
        <v>2</v>
      </c>
      <c r="CN167">
        <v>2</v>
      </c>
      <c r="CO167">
        <v>2</v>
      </c>
      <c r="CP167">
        <v>2</v>
      </c>
      <c r="CQ167">
        <v>2</v>
      </c>
      <c r="CR167">
        <v>1</v>
      </c>
      <c r="CS167">
        <v>2</v>
      </c>
      <c r="CT167">
        <v>2</v>
      </c>
      <c r="CU167">
        <v>2</v>
      </c>
      <c r="CV167">
        <v>2</v>
      </c>
      <c r="CW167">
        <v>2</v>
      </c>
      <c r="CX167">
        <v>2</v>
      </c>
      <c r="CY167">
        <v>2</v>
      </c>
    </row>
    <row r="168" spans="1:103" x14ac:dyDescent="0.3">
      <c r="A168">
        <v>952</v>
      </c>
      <c r="B168" t="s">
        <v>650</v>
      </c>
      <c r="D168" t="s">
        <v>1001</v>
      </c>
      <c r="E168" t="s">
        <v>1002</v>
      </c>
      <c r="F168" t="s">
        <v>735</v>
      </c>
      <c r="H168" t="s">
        <v>1003</v>
      </c>
      <c r="I168" t="s">
        <v>733</v>
      </c>
      <c r="J168" t="s">
        <v>1839</v>
      </c>
      <c r="K168" t="s">
        <v>1840</v>
      </c>
      <c r="L168" t="s">
        <v>1006</v>
      </c>
      <c r="N168" t="s">
        <v>1841</v>
      </c>
      <c r="O168" t="s">
        <v>1008</v>
      </c>
      <c r="P168" t="s">
        <v>1281</v>
      </c>
      <c r="Q168" t="s">
        <v>1009</v>
      </c>
      <c r="R168" t="s">
        <v>1010</v>
      </c>
      <c r="S168" t="s">
        <v>1011</v>
      </c>
      <c r="U168" t="s">
        <v>1842</v>
      </c>
      <c r="V168" t="s">
        <v>1236</v>
      </c>
      <c r="X168" t="s">
        <v>1012</v>
      </c>
      <c r="Y168" t="s">
        <v>1013</v>
      </c>
      <c r="Z168" t="s">
        <v>1843</v>
      </c>
      <c r="AA168" t="s">
        <v>1844</v>
      </c>
      <c r="AB168" t="s">
        <v>1014</v>
      </c>
      <c r="AD168" t="s">
        <v>1015</v>
      </c>
      <c r="AE168" t="s">
        <v>1016</v>
      </c>
      <c r="AF168" t="s">
        <v>727</v>
      </c>
      <c r="AG168" t="s">
        <v>1398</v>
      </c>
      <c r="AI168" t="s">
        <v>1845</v>
      </c>
      <c r="AJ168" t="s">
        <v>1564</v>
      </c>
      <c r="AK168" t="s">
        <v>728</v>
      </c>
      <c r="AL168" t="s">
        <v>722</v>
      </c>
      <c r="AM168" t="s">
        <v>1846</v>
      </c>
      <c r="AN168" t="s">
        <v>1564</v>
      </c>
      <c r="AP168" t="s">
        <v>1248</v>
      </c>
      <c r="AQ168" t="s">
        <v>1399</v>
      </c>
      <c r="AR168" t="s">
        <v>1756</v>
      </c>
      <c r="AT168" t="s">
        <v>720</v>
      </c>
      <c r="AV168" t="s">
        <v>1018</v>
      </c>
      <c r="AW168" t="s">
        <v>1755</v>
      </c>
      <c r="AX168" t="s">
        <v>1847</v>
      </c>
      <c r="AY168" t="s">
        <v>1249</v>
      </c>
      <c r="AZ168" t="s">
        <v>1020</v>
      </c>
      <c r="BA168" t="s">
        <v>1848</v>
      </c>
      <c r="BB168" t="s">
        <v>1021</v>
      </c>
      <c r="BF168" t="s">
        <v>1024</v>
      </c>
      <c r="BG168" t="s">
        <v>1005</v>
      </c>
      <c r="BI168" t="s">
        <v>1025</v>
      </c>
      <c r="BJ168" t="s">
        <v>1022</v>
      </c>
      <c r="BK168" t="s">
        <v>718</v>
      </c>
      <c r="BL168" t="s">
        <v>1849</v>
      </c>
      <c r="BM168" t="s">
        <v>724</v>
      </c>
      <c r="BN168" t="s">
        <v>720</v>
      </c>
      <c r="BO168" t="s">
        <v>1036</v>
      </c>
      <c r="BP168" t="s">
        <v>1401</v>
      </c>
      <c r="BQ168" t="s">
        <v>1756</v>
      </c>
      <c r="BR168" t="s">
        <v>1845</v>
      </c>
      <c r="BT168" t="s">
        <v>1026</v>
      </c>
      <c r="BU168" t="s">
        <v>1027</v>
      </c>
      <c r="BV168" t="s">
        <v>1028</v>
      </c>
      <c r="BW168" t="s">
        <v>1029</v>
      </c>
      <c r="BX168" t="s">
        <v>1250</v>
      </c>
      <c r="BY168" t="s">
        <v>1281</v>
      </c>
      <c r="BZ168" t="s">
        <v>1030</v>
      </c>
      <c r="CA168" t="s">
        <v>1004</v>
      </c>
      <c r="CB168" t="s">
        <v>1403</v>
      </c>
      <c r="CC168" t="s">
        <v>1031</v>
      </c>
      <c r="CD168" t="s">
        <v>1032</v>
      </c>
      <c r="CE168" t="s">
        <v>1281</v>
      </c>
      <c r="CG168" t="s">
        <v>723</v>
      </c>
      <c r="CI168" t="s">
        <v>1850</v>
      </c>
      <c r="CJ168" t="s">
        <v>1405</v>
      </c>
      <c r="CL168" t="s">
        <v>1034</v>
      </c>
      <c r="CM168" t="s">
        <v>1851</v>
      </c>
      <c r="CN168" t="s">
        <v>1036</v>
      </c>
      <c r="CO168" t="s">
        <v>1037</v>
      </c>
      <c r="CP168" t="s">
        <v>1852</v>
      </c>
      <c r="CQ168" t="s">
        <v>734</v>
      </c>
      <c r="CR168" t="s">
        <v>1853</v>
      </c>
      <c r="CS168" t="s">
        <v>1039</v>
      </c>
      <c r="CT168" t="s">
        <v>1777</v>
      </c>
      <c r="CU168" t="s">
        <v>1854</v>
      </c>
      <c r="CV168" t="s">
        <v>1040</v>
      </c>
      <c r="CW168" t="s">
        <v>1041</v>
      </c>
      <c r="CX168" t="s">
        <v>1042</v>
      </c>
    </row>
    <row r="169" spans="1:103" x14ac:dyDescent="0.3">
      <c r="A169">
        <v>953</v>
      </c>
      <c r="B169" t="s">
        <v>651</v>
      </c>
      <c r="D169">
        <v>2</v>
      </c>
      <c r="E169">
        <v>2</v>
      </c>
      <c r="F169">
        <v>2</v>
      </c>
      <c r="G169">
        <v>2</v>
      </c>
      <c r="H169">
        <v>2</v>
      </c>
      <c r="I169">
        <v>2</v>
      </c>
      <c r="J169">
        <v>2</v>
      </c>
      <c r="K169">
        <v>2</v>
      </c>
      <c r="L169">
        <v>2</v>
      </c>
      <c r="M169">
        <v>2</v>
      </c>
      <c r="N169">
        <v>2</v>
      </c>
      <c r="O169">
        <v>2</v>
      </c>
      <c r="P169">
        <v>2</v>
      </c>
      <c r="Q169">
        <v>2</v>
      </c>
      <c r="R169">
        <v>2</v>
      </c>
      <c r="S169">
        <v>2</v>
      </c>
      <c r="U169">
        <v>2</v>
      </c>
      <c r="V169">
        <v>2</v>
      </c>
      <c r="X169">
        <v>2</v>
      </c>
      <c r="Y169">
        <v>2</v>
      </c>
      <c r="Z169">
        <v>2</v>
      </c>
      <c r="AA169">
        <v>2</v>
      </c>
      <c r="AB169">
        <v>2</v>
      </c>
      <c r="AC169">
        <v>2</v>
      </c>
      <c r="AD169">
        <v>2</v>
      </c>
      <c r="AE169">
        <v>2</v>
      </c>
      <c r="AF169">
        <v>2</v>
      </c>
      <c r="AG169">
        <v>2</v>
      </c>
      <c r="AH169">
        <v>2</v>
      </c>
      <c r="AI169">
        <v>2</v>
      </c>
      <c r="AJ169">
        <v>2</v>
      </c>
      <c r="AK169">
        <v>2</v>
      </c>
      <c r="AL169">
        <v>2</v>
      </c>
      <c r="AM169">
        <v>2</v>
      </c>
      <c r="AN169">
        <v>2</v>
      </c>
      <c r="AP169">
        <v>2</v>
      </c>
      <c r="AQ169">
        <v>2</v>
      </c>
      <c r="AR169">
        <v>2</v>
      </c>
      <c r="AS169">
        <v>2</v>
      </c>
      <c r="AT169">
        <v>2</v>
      </c>
      <c r="AU169">
        <v>2</v>
      </c>
      <c r="AV169">
        <v>2</v>
      </c>
      <c r="AW169">
        <v>2</v>
      </c>
      <c r="AX169">
        <v>2</v>
      </c>
      <c r="AY169">
        <v>2</v>
      </c>
      <c r="AZ169">
        <v>2</v>
      </c>
      <c r="BA169">
        <v>2</v>
      </c>
      <c r="BB169">
        <v>2</v>
      </c>
      <c r="BC169">
        <v>2</v>
      </c>
      <c r="BD169">
        <v>2</v>
      </c>
      <c r="BE169">
        <v>2</v>
      </c>
      <c r="BF169">
        <v>2</v>
      </c>
      <c r="BG169">
        <v>2</v>
      </c>
      <c r="BH169">
        <v>2</v>
      </c>
      <c r="BI169">
        <v>2</v>
      </c>
      <c r="BJ169">
        <v>2</v>
      </c>
      <c r="BK169">
        <v>2</v>
      </c>
      <c r="BL169">
        <v>2</v>
      </c>
      <c r="BM169">
        <v>2</v>
      </c>
      <c r="BN169">
        <v>2</v>
      </c>
      <c r="BO169">
        <v>2</v>
      </c>
      <c r="BP169">
        <v>2</v>
      </c>
      <c r="BQ169">
        <v>2</v>
      </c>
      <c r="BR169">
        <v>2</v>
      </c>
      <c r="BS169">
        <v>2</v>
      </c>
      <c r="BT169">
        <v>2</v>
      </c>
      <c r="BU169">
        <v>2</v>
      </c>
      <c r="BV169">
        <v>2</v>
      </c>
      <c r="BW169">
        <v>2</v>
      </c>
      <c r="BX169">
        <v>2</v>
      </c>
      <c r="BY169">
        <v>2</v>
      </c>
      <c r="BZ169">
        <v>2</v>
      </c>
      <c r="CA169">
        <v>2</v>
      </c>
      <c r="CB169">
        <v>2</v>
      </c>
      <c r="CC169">
        <v>2</v>
      </c>
      <c r="CD169">
        <v>2</v>
      </c>
      <c r="CE169">
        <v>2</v>
      </c>
      <c r="CF169">
        <v>2</v>
      </c>
      <c r="CG169">
        <v>2</v>
      </c>
      <c r="CH169">
        <v>2</v>
      </c>
      <c r="CI169">
        <v>2</v>
      </c>
      <c r="CJ169">
        <v>2</v>
      </c>
      <c r="CK169">
        <v>2</v>
      </c>
      <c r="CL169">
        <v>2</v>
      </c>
      <c r="CM169" s="913">
        <v>2</v>
      </c>
      <c r="CN169">
        <v>2</v>
      </c>
      <c r="CO169">
        <v>2</v>
      </c>
      <c r="CP169">
        <v>2</v>
      </c>
      <c r="CQ169">
        <v>2</v>
      </c>
      <c r="CR169">
        <v>2</v>
      </c>
      <c r="CS169">
        <v>2</v>
      </c>
      <c r="CT169">
        <v>2</v>
      </c>
      <c r="CU169">
        <v>2</v>
      </c>
      <c r="CV169">
        <v>2</v>
      </c>
      <c r="CW169">
        <v>2</v>
      </c>
      <c r="CX169">
        <v>2</v>
      </c>
      <c r="CY169">
        <v>2</v>
      </c>
    </row>
    <row r="170" spans="1:103" x14ac:dyDescent="0.3">
      <c r="A170">
        <v>955</v>
      </c>
      <c r="B170" t="s">
        <v>652</v>
      </c>
      <c r="D170">
        <v>0</v>
      </c>
      <c r="E170">
        <v>0</v>
      </c>
      <c r="F170">
        <v>0</v>
      </c>
      <c r="G170">
        <v>1</v>
      </c>
      <c r="H170">
        <v>0</v>
      </c>
      <c r="I170">
        <v>0</v>
      </c>
      <c r="J170">
        <v>0</v>
      </c>
      <c r="K170">
        <v>0</v>
      </c>
      <c r="L170">
        <v>0</v>
      </c>
      <c r="M170">
        <v>0</v>
      </c>
      <c r="N170">
        <v>0</v>
      </c>
      <c r="O170">
        <v>0</v>
      </c>
      <c r="P170">
        <v>0</v>
      </c>
      <c r="Q170">
        <v>0</v>
      </c>
      <c r="R170">
        <v>0</v>
      </c>
      <c r="S170">
        <v>0</v>
      </c>
      <c r="U170">
        <v>0</v>
      </c>
      <c r="V170">
        <v>0</v>
      </c>
      <c r="X170">
        <v>0</v>
      </c>
      <c r="Y170">
        <v>0</v>
      </c>
      <c r="Z170">
        <v>1</v>
      </c>
      <c r="AA170">
        <v>0</v>
      </c>
      <c r="AB170">
        <v>0</v>
      </c>
      <c r="AC170">
        <v>1</v>
      </c>
      <c r="AD170">
        <v>0</v>
      </c>
      <c r="AE170">
        <v>0</v>
      </c>
      <c r="AF170">
        <v>0</v>
      </c>
      <c r="AG170">
        <v>0</v>
      </c>
      <c r="AH170">
        <v>0</v>
      </c>
      <c r="AI170">
        <v>0</v>
      </c>
      <c r="AJ170">
        <v>2</v>
      </c>
      <c r="AK170">
        <v>0</v>
      </c>
      <c r="AL170">
        <v>0</v>
      </c>
      <c r="AM170">
        <v>0</v>
      </c>
      <c r="AN170">
        <v>0</v>
      </c>
      <c r="AP170">
        <v>1</v>
      </c>
      <c r="AQ170">
        <v>1</v>
      </c>
      <c r="AR170">
        <v>0</v>
      </c>
      <c r="AS170">
        <v>0</v>
      </c>
      <c r="AT170">
        <v>0</v>
      </c>
      <c r="AU170">
        <v>0</v>
      </c>
      <c r="AV170">
        <v>0</v>
      </c>
      <c r="AW170">
        <v>2</v>
      </c>
      <c r="AX170">
        <v>0</v>
      </c>
      <c r="AY170">
        <v>1</v>
      </c>
      <c r="AZ170">
        <v>0</v>
      </c>
      <c r="BA170">
        <v>0</v>
      </c>
      <c r="BB170">
        <v>0</v>
      </c>
      <c r="BC170">
        <v>0</v>
      </c>
      <c r="BD170">
        <v>0</v>
      </c>
      <c r="BE170">
        <v>0</v>
      </c>
      <c r="BF170">
        <v>0</v>
      </c>
      <c r="BG170">
        <v>0</v>
      </c>
      <c r="BH170">
        <v>0</v>
      </c>
      <c r="BI170">
        <v>3</v>
      </c>
      <c r="BJ170">
        <v>0</v>
      </c>
      <c r="BK170">
        <v>0</v>
      </c>
      <c r="BL170">
        <v>0</v>
      </c>
      <c r="BM170">
        <v>1</v>
      </c>
      <c r="BN170">
        <v>0</v>
      </c>
      <c r="BO170">
        <v>1</v>
      </c>
      <c r="BP170">
        <v>0</v>
      </c>
      <c r="BQ170">
        <v>2</v>
      </c>
      <c r="BR170">
        <v>0</v>
      </c>
      <c r="BS170">
        <v>0</v>
      </c>
      <c r="BT170">
        <v>0</v>
      </c>
      <c r="BU170">
        <v>0</v>
      </c>
      <c r="BV170">
        <v>0</v>
      </c>
      <c r="BW170">
        <v>0</v>
      </c>
      <c r="BX170">
        <v>0</v>
      </c>
      <c r="BY170">
        <v>0</v>
      </c>
      <c r="BZ170">
        <v>0</v>
      </c>
      <c r="CA170">
        <v>0</v>
      </c>
      <c r="CB170">
        <v>3</v>
      </c>
      <c r="CC170">
        <v>0</v>
      </c>
      <c r="CD170">
        <v>0</v>
      </c>
      <c r="CE170">
        <v>0</v>
      </c>
      <c r="CF170">
        <v>0</v>
      </c>
      <c r="CG170">
        <v>0</v>
      </c>
      <c r="CH170">
        <v>2</v>
      </c>
      <c r="CI170">
        <v>1</v>
      </c>
      <c r="CJ170">
        <v>1</v>
      </c>
      <c r="CK170">
        <v>0</v>
      </c>
      <c r="CL170">
        <v>0</v>
      </c>
      <c r="CM170">
        <v>0</v>
      </c>
      <c r="CN170">
        <v>0</v>
      </c>
      <c r="CO170">
        <v>0</v>
      </c>
      <c r="CP170">
        <v>0</v>
      </c>
      <c r="CQ170">
        <v>0</v>
      </c>
      <c r="CR170">
        <v>0</v>
      </c>
      <c r="CS170">
        <v>1</v>
      </c>
      <c r="CT170">
        <v>2</v>
      </c>
      <c r="CU170">
        <v>0</v>
      </c>
      <c r="CV170">
        <v>0</v>
      </c>
      <c r="CW170">
        <v>0</v>
      </c>
      <c r="CX170">
        <v>1</v>
      </c>
      <c r="CY170">
        <v>0</v>
      </c>
    </row>
    <row r="171" spans="1:103" x14ac:dyDescent="0.3">
      <c r="A171">
        <v>957</v>
      </c>
      <c r="B171" t="s">
        <v>653</v>
      </c>
      <c r="D171">
        <v>0</v>
      </c>
      <c r="E171">
        <v>0</v>
      </c>
      <c r="F171">
        <v>3</v>
      </c>
      <c r="G171">
        <v>2</v>
      </c>
      <c r="H171">
        <v>0</v>
      </c>
      <c r="I171">
        <v>0</v>
      </c>
      <c r="J171">
        <v>0</v>
      </c>
      <c r="K171">
        <v>4</v>
      </c>
      <c r="L171">
        <v>0</v>
      </c>
      <c r="M171">
        <v>0</v>
      </c>
      <c r="N171">
        <v>1</v>
      </c>
      <c r="O171">
        <v>0</v>
      </c>
      <c r="P171">
        <v>0</v>
      </c>
      <c r="Q171">
        <v>0</v>
      </c>
      <c r="R171">
        <v>0</v>
      </c>
      <c r="S171">
        <v>0</v>
      </c>
      <c r="U171">
        <v>0</v>
      </c>
      <c r="V171">
        <v>0</v>
      </c>
      <c r="X171">
        <v>0</v>
      </c>
      <c r="Y171">
        <v>0</v>
      </c>
      <c r="Z171">
        <v>0</v>
      </c>
      <c r="AA171">
        <v>3</v>
      </c>
      <c r="AB171">
        <v>0</v>
      </c>
      <c r="AC171">
        <v>0</v>
      </c>
      <c r="AD171">
        <v>0</v>
      </c>
      <c r="AE171">
        <v>0</v>
      </c>
      <c r="AF171">
        <v>1</v>
      </c>
      <c r="AG171">
        <v>1</v>
      </c>
      <c r="AH171">
        <v>0</v>
      </c>
      <c r="AI171">
        <v>0</v>
      </c>
      <c r="AJ171">
        <v>1</v>
      </c>
      <c r="AK171">
        <v>0</v>
      </c>
      <c r="AL171">
        <v>1</v>
      </c>
      <c r="AM171">
        <v>0</v>
      </c>
      <c r="AN171">
        <v>1</v>
      </c>
      <c r="AP171">
        <v>0</v>
      </c>
      <c r="AQ171">
        <v>1</v>
      </c>
      <c r="AR171">
        <v>0</v>
      </c>
      <c r="AS171">
        <v>0</v>
      </c>
      <c r="AT171">
        <v>0</v>
      </c>
      <c r="AU171">
        <v>0</v>
      </c>
      <c r="AV171">
        <v>0</v>
      </c>
      <c r="AW171">
        <v>2</v>
      </c>
      <c r="AX171">
        <v>4</v>
      </c>
      <c r="AY171">
        <v>3</v>
      </c>
      <c r="AZ171">
        <v>0</v>
      </c>
      <c r="BA171">
        <v>0</v>
      </c>
      <c r="BB171">
        <v>0</v>
      </c>
      <c r="BC171">
        <v>0</v>
      </c>
      <c r="BD171">
        <v>0</v>
      </c>
      <c r="BE171">
        <v>0</v>
      </c>
      <c r="BF171">
        <v>0</v>
      </c>
      <c r="BG171">
        <v>0</v>
      </c>
      <c r="BH171">
        <v>2</v>
      </c>
      <c r="BI171">
        <v>0</v>
      </c>
      <c r="BJ171">
        <v>0</v>
      </c>
      <c r="BK171">
        <v>1</v>
      </c>
      <c r="BL171">
        <v>0</v>
      </c>
      <c r="BM171">
        <v>1</v>
      </c>
      <c r="BN171">
        <v>1</v>
      </c>
      <c r="BO171">
        <v>0</v>
      </c>
      <c r="BP171">
        <v>0</v>
      </c>
      <c r="BQ171">
        <v>5</v>
      </c>
      <c r="BR171">
        <v>0</v>
      </c>
      <c r="BS171">
        <v>0</v>
      </c>
      <c r="BT171">
        <v>0</v>
      </c>
      <c r="BU171">
        <v>0</v>
      </c>
      <c r="BV171">
        <v>5</v>
      </c>
      <c r="BW171">
        <v>0</v>
      </c>
      <c r="BX171">
        <v>0</v>
      </c>
      <c r="BY171">
        <v>0</v>
      </c>
      <c r="BZ171">
        <v>0</v>
      </c>
      <c r="CA171">
        <v>0</v>
      </c>
      <c r="CB171">
        <v>0</v>
      </c>
      <c r="CC171">
        <v>0</v>
      </c>
      <c r="CD171">
        <v>0</v>
      </c>
      <c r="CE171">
        <v>0</v>
      </c>
      <c r="CF171">
        <v>0</v>
      </c>
      <c r="CG171">
        <v>0</v>
      </c>
      <c r="CH171">
        <v>0</v>
      </c>
      <c r="CI171">
        <v>0</v>
      </c>
      <c r="CJ171">
        <v>3</v>
      </c>
      <c r="CK171">
        <v>0</v>
      </c>
      <c r="CL171">
        <v>0</v>
      </c>
      <c r="CM171">
        <v>2</v>
      </c>
      <c r="CN171">
        <v>0</v>
      </c>
      <c r="CO171">
        <v>0</v>
      </c>
      <c r="CP171">
        <v>4</v>
      </c>
      <c r="CQ171">
        <v>1</v>
      </c>
      <c r="CR171">
        <v>1</v>
      </c>
      <c r="CS171">
        <v>0</v>
      </c>
      <c r="CT171">
        <v>0</v>
      </c>
      <c r="CU171">
        <v>0</v>
      </c>
      <c r="CV171">
        <v>0</v>
      </c>
      <c r="CW171">
        <v>0</v>
      </c>
      <c r="CX171">
        <v>0</v>
      </c>
      <c r="CY171">
        <v>0</v>
      </c>
    </row>
    <row r="172" spans="1:103" x14ac:dyDescent="0.3">
      <c r="A172">
        <v>959</v>
      </c>
      <c r="B172" t="s">
        <v>655</v>
      </c>
      <c r="D172">
        <v>2</v>
      </c>
      <c r="E172">
        <v>2</v>
      </c>
      <c r="F172">
        <v>2</v>
      </c>
      <c r="G172">
        <v>3</v>
      </c>
      <c r="H172">
        <v>2</v>
      </c>
      <c r="I172">
        <v>2</v>
      </c>
      <c r="J172">
        <v>2</v>
      </c>
      <c r="K172">
        <v>2</v>
      </c>
      <c r="L172">
        <v>2</v>
      </c>
      <c r="M172">
        <v>2</v>
      </c>
      <c r="N172">
        <v>2</v>
      </c>
      <c r="O172">
        <v>2</v>
      </c>
      <c r="P172">
        <v>2</v>
      </c>
      <c r="Q172">
        <v>2</v>
      </c>
      <c r="R172">
        <v>2</v>
      </c>
      <c r="S172">
        <v>2</v>
      </c>
      <c r="U172">
        <v>2</v>
      </c>
      <c r="V172">
        <v>2</v>
      </c>
      <c r="X172">
        <v>2</v>
      </c>
      <c r="Y172">
        <v>3</v>
      </c>
      <c r="Z172">
        <v>2</v>
      </c>
      <c r="AA172">
        <v>2</v>
      </c>
      <c r="AB172">
        <v>2</v>
      </c>
      <c r="AC172">
        <v>2</v>
      </c>
      <c r="AD172">
        <v>2</v>
      </c>
      <c r="AE172">
        <v>2</v>
      </c>
      <c r="AF172">
        <v>2</v>
      </c>
      <c r="AG172">
        <v>2</v>
      </c>
      <c r="AH172">
        <v>2</v>
      </c>
      <c r="AI172">
        <v>2</v>
      </c>
      <c r="AJ172">
        <v>2</v>
      </c>
      <c r="AK172">
        <v>2</v>
      </c>
      <c r="AL172">
        <v>2</v>
      </c>
      <c r="AM172">
        <v>2</v>
      </c>
      <c r="AN172">
        <v>2</v>
      </c>
      <c r="AP172">
        <v>2</v>
      </c>
      <c r="AQ172">
        <v>2</v>
      </c>
      <c r="AR172">
        <v>2</v>
      </c>
      <c r="AS172">
        <v>2</v>
      </c>
      <c r="AT172">
        <v>2</v>
      </c>
      <c r="AU172">
        <v>2</v>
      </c>
      <c r="AV172">
        <v>2</v>
      </c>
      <c r="AW172">
        <v>3</v>
      </c>
      <c r="AX172">
        <v>2</v>
      </c>
      <c r="AY172">
        <v>2</v>
      </c>
      <c r="AZ172">
        <v>2</v>
      </c>
      <c r="BA172">
        <v>2</v>
      </c>
      <c r="BB172">
        <v>2</v>
      </c>
      <c r="BC172">
        <v>2</v>
      </c>
      <c r="BD172">
        <v>2</v>
      </c>
      <c r="BE172">
        <v>2</v>
      </c>
      <c r="BF172">
        <v>2</v>
      </c>
      <c r="BG172">
        <v>2</v>
      </c>
      <c r="BH172">
        <v>2</v>
      </c>
      <c r="BI172">
        <v>2</v>
      </c>
      <c r="BJ172">
        <v>2</v>
      </c>
      <c r="BK172">
        <v>2</v>
      </c>
      <c r="BL172">
        <v>3</v>
      </c>
      <c r="BM172">
        <v>2</v>
      </c>
      <c r="BN172">
        <v>2</v>
      </c>
      <c r="BO172">
        <v>2</v>
      </c>
      <c r="BP172">
        <v>2</v>
      </c>
      <c r="BQ172">
        <v>2</v>
      </c>
      <c r="BR172">
        <v>2</v>
      </c>
      <c r="BS172">
        <v>2</v>
      </c>
      <c r="BT172">
        <v>3</v>
      </c>
      <c r="BU172">
        <v>2</v>
      </c>
      <c r="BV172">
        <v>2</v>
      </c>
      <c r="BW172">
        <v>2</v>
      </c>
      <c r="BX172">
        <v>2</v>
      </c>
      <c r="BY172">
        <v>2</v>
      </c>
      <c r="BZ172">
        <v>2</v>
      </c>
      <c r="CA172">
        <v>2</v>
      </c>
      <c r="CB172">
        <v>2</v>
      </c>
      <c r="CC172">
        <v>2</v>
      </c>
      <c r="CD172">
        <v>2</v>
      </c>
      <c r="CE172">
        <v>2</v>
      </c>
      <c r="CF172">
        <v>2</v>
      </c>
      <c r="CG172">
        <v>2</v>
      </c>
      <c r="CH172">
        <v>2</v>
      </c>
      <c r="CI172">
        <v>2</v>
      </c>
      <c r="CJ172">
        <v>2</v>
      </c>
      <c r="CK172">
        <v>2</v>
      </c>
      <c r="CL172">
        <v>2</v>
      </c>
      <c r="CM172">
        <v>2</v>
      </c>
      <c r="CN172">
        <v>3</v>
      </c>
      <c r="CO172">
        <v>2</v>
      </c>
      <c r="CP172">
        <v>2</v>
      </c>
      <c r="CQ172">
        <v>2</v>
      </c>
      <c r="CR172">
        <v>2</v>
      </c>
      <c r="CS172">
        <v>2</v>
      </c>
      <c r="CT172">
        <v>2</v>
      </c>
      <c r="CU172">
        <v>3</v>
      </c>
      <c r="CV172">
        <v>2</v>
      </c>
      <c r="CW172">
        <v>2</v>
      </c>
      <c r="CX172">
        <v>2</v>
      </c>
      <c r="CY172">
        <v>2</v>
      </c>
    </row>
    <row r="173" spans="1:103" x14ac:dyDescent="0.3">
      <c r="A173">
        <v>960</v>
      </c>
      <c r="B173" t="s">
        <v>656</v>
      </c>
      <c r="D173" t="s">
        <v>1043</v>
      </c>
      <c r="E173" t="s">
        <v>1044</v>
      </c>
      <c r="F173" t="s">
        <v>1045</v>
      </c>
      <c r="G173" t="s">
        <v>1638</v>
      </c>
      <c r="H173" t="s">
        <v>1046</v>
      </c>
      <c r="I173" t="s">
        <v>1047</v>
      </c>
      <c r="J173" t="s">
        <v>1855</v>
      </c>
      <c r="K173" t="s">
        <v>1856</v>
      </c>
      <c r="L173" t="s">
        <v>1857</v>
      </c>
      <c r="M173" t="s">
        <v>1409</v>
      </c>
      <c r="N173" t="s">
        <v>1858</v>
      </c>
      <c r="O173" t="s">
        <v>1049</v>
      </c>
      <c r="P173" t="s">
        <v>1084</v>
      </c>
      <c r="Q173" t="s">
        <v>1050</v>
      </c>
      <c r="R173" t="s">
        <v>1859</v>
      </c>
      <c r="S173" t="s">
        <v>1051</v>
      </c>
      <c r="U173" t="s">
        <v>1411</v>
      </c>
      <c r="V173" t="s">
        <v>1412</v>
      </c>
      <c r="X173" t="s">
        <v>1052</v>
      </c>
      <c r="Y173" t="s">
        <v>1053</v>
      </c>
      <c r="Z173" t="s">
        <v>1860</v>
      </c>
      <c r="AA173" t="s">
        <v>1861</v>
      </c>
      <c r="AB173" t="s">
        <v>1054</v>
      </c>
      <c r="AC173" t="s">
        <v>1055</v>
      </c>
      <c r="AD173" t="s">
        <v>1056</v>
      </c>
      <c r="AE173" t="s">
        <v>1057</v>
      </c>
      <c r="AF173" t="s">
        <v>1413</v>
      </c>
      <c r="AG173" t="s">
        <v>1254</v>
      </c>
      <c r="AH173" t="s">
        <v>1725</v>
      </c>
      <c r="AI173" t="s">
        <v>1263</v>
      </c>
      <c r="AJ173" t="s">
        <v>1862</v>
      </c>
      <c r="AK173" t="s">
        <v>1863</v>
      </c>
      <c r="AL173" t="s">
        <v>1059</v>
      </c>
      <c r="AM173" t="s">
        <v>1864</v>
      </c>
      <c r="AN173" t="s">
        <v>1048</v>
      </c>
      <c r="AP173" t="s">
        <v>1865</v>
      </c>
      <c r="AQ173" t="s">
        <v>1417</v>
      </c>
      <c r="AR173" t="s">
        <v>1251</v>
      </c>
      <c r="AS173" t="s">
        <v>1062</v>
      </c>
      <c r="AT173" t="s">
        <v>1063</v>
      </c>
      <c r="AU173" t="s">
        <v>1064</v>
      </c>
      <c r="AV173" t="s">
        <v>1065</v>
      </c>
      <c r="AW173" t="s">
        <v>1760</v>
      </c>
      <c r="AX173" t="s">
        <v>1866</v>
      </c>
      <c r="AY173" t="s">
        <v>1715</v>
      </c>
      <c r="AZ173" t="s">
        <v>1067</v>
      </c>
      <c r="BA173" t="s">
        <v>1068</v>
      </c>
      <c r="BB173" t="s">
        <v>1069</v>
      </c>
      <c r="BC173" t="s">
        <v>1419</v>
      </c>
      <c r="BD173" t="s">
        <v>1420</v>
      </c>
      <c r="BE173" t="s">
        <v>1264</v>
      </c>
      <c r="BF173" t="s">
        <v>1421</v>
      </c>
      <c r="BG173" t="s">
        <v>1070</v>
      </c>
      <c r="BH173" t="s">
        <v>1071</v>
      </c>
      <c r="BI173" t="s">
        <v>1072</v>
      </c>
      <c r="BJ173" t="s">
        <v>1073</v>
      </c>
      <c r="BK173" t="s">
        <v>1074</v>
      </c>
      <c r="BL173" t="s">
        <v>1075</v>
      </c>
      <c r="BM173" t="s">
        <v>1076</v>
      </c>
      <c r="BN173" t="s">
        <v>1077</v>
      </c>
      <c r="BO173" t="s">
        <v>1078</v>
      </c>
      <c r="BP173" t="s">
        <v>1422</v>
      </c>
      <c r="BQ173" t="s">
        <v>1761</v>
      </c>
      <c r="BR173" t="s">
        <v>1867</v>
      </c>
      <c r="BS173" t="s">
        <v>1255</v>
      </c>
      <c r="BT173" t="s">
        <v>1079</v>
      </c>
      <c r="BU173" t="s">
        <v>1868</v>
      </c>
      <c r="BV173" t="s">
        <v>1080</v>
      </c>
      <c r="BW173" t="s">
        <v>1425</v>
      </c>
      <c r="BX173" t="s">
        <v>1869</v>
      </c>
      <c r="BY173" t="s">
        <v>1427</v>
      </c>
      <c r="BZ173" t="s">
        <v>1081</v>
      </c>
      <c r="CA173" t="s">
        <v>1428</v>
      </c>
      <c r="CB173" t="s">
        <v>1082</v>
      </c>
      <c r="CC173" t="s">
        <v>1083</v>
      </c>
      <c r="CD173" t="s">
        <v>1429</v>
      </c>
      <c r="CE173" t="s">
        <v>1870</v>
      </c>
      <c r="CF173" t="s">
        <v>1085</v>
      </c>
      <c r="CG173" t="s">
        <v>1086</v>
      </c>
      <c r="CH173" t="s">
        <v>1871</v>
      </c>
      <c r="CI173" t="s">
        <v>1088</v>
      </c>
      <c r="CJ173" t="s">
        <v>1431</v>
      </c>
      <c r="CK173" t="s">
        <v>1432</v>
      </c>
      <c r="CL173" t="s">
        <v>1089</v>
      </c>
      <c r="CM173" t="s">
        <v>1872</v>
      </c>
      <c r="CN173" t="s">
        <v>1091</v>
      </c>
      <c r="CO173" t="s">
        <v>1433</v>
      </c>
      <c r="CP173" t="s">
        <v>1873</v>
      </c>
      <c r="CQ173" t="s">
        <v>1092</v>
      </c>
      <c r="CR173" t="s">
        <v>1874</v>
      </c>
      <c r="CS173" t="s">
        <v>1094</v>
      </c>
      <c r="CT173" t="s">
        <v>1875</v>
      </c>
      <c r="CU173" t="s">
        <v>1876</v>
      </c>
      <c r="CV173" t="s">
        <v>1095</v>
      </c>
      <c r="CW173" t="s">
        <v>1096</v>
      </c>
      <c r="CX173" t="s">
        <v>1877</v>
      </c>
      <c r="CY173" t="s">
        <v>1097</v>
      </c>
    </row>
    <row r="174" spans="1:103" x14ac:dyDescent="0.3">
      <c r="A174">
        <v>962</v>
      </c>
      <c r="B174" t="s">
        <v>657</v>
      </c>
      <c r="D174" t="s">
        <v>659</v>
      </c>
      <c r="E174" t="s">
        <v>658</v>
      </c>
      <c r="F174" t="s">
        <v>659</v>
      </c>
      <c r="G174" t="s">
        <v>658</v>
      </c>
      <c r="H174" t="s">
        <v>660</v>
      </c>
      <c r="I174" t="s">
        <v>659</v>
      </c>
      <c r="J174" t="s">
        <v>658</v>
      </c>
      <c r="K174" t="s">
        <v>1440</v>
      </c>
      <c r="L174" t="s">
        <v>660</v>
      </c>
      <c r="M174" t="s">
        <v>1098</v>
      </c>
      <c r="N174" t="s">
        <v>658</v>
      </c>
      <c r="O174" t="s">
        <v>1100</v>
      </c>
      <c r="P174" t="s">
        <v>658</v>
      </c>
      <c r="Q174" t="s">
        <v>658</v>
      </c>
      <c r="R174" t="s">
        <v>659</v>
      </c>
      <c r="S174" t="s">
        <v>1101</v>
      </c>
      <c r="U174" t="s">
        <v>1878</v>
      </c>
      <c r="V174" t="s">
        <v>659</v>
      </c>
      <c r="X174" t="s">
        <v>659</v>
      </c>
      <c r="Y174" t="s">
        <v>659</v>
      </c>
      <c r="Z174" t="s">
        <v>1105</v>
      </c>
      <c r="AA174" t="s">
        <v>1440</v>
      </c>
      <c r="AB174" t="s">
        <v>658</v>
      </c>
      <c r="AC174" t="s">
        <v>1879</v>
      </c>
      <c r="AD174" t="s">
        <v>659</v>
      </c>
      <c r="AE174" t="s">
        <v>1100</v>
      </c>
      <c r="AF174" t="s">
        <v>658</v>
      </c>
      <c r="AG174" t="s">
        <v>1103</v>
      </c>
      <c r="AH174" t="s">
        <v>658</v>
      </c>
      <c r="AI174" t="s">
        <v>726</v>
      </c>
      <c r="AJ174" t="s">
        <v>726</v>
      </c>
      <c r="AK174" t="s">
        <v>658</v>
      </c>
      <c r="AL174" t="s">
        <v>658</v>
      </c>
      <c r="AM174" t="s">
        <v>1440</v>
      </c>
      <c r="AN174" t="s">
        <v>658</v>
      </c>
      <c r="AP174" t="s">
        <v>658</v>
      </c>
      <c r="AQ174" t="s">
        <v>658</v>
      </c>
      <c r="AR174" t="s">
        <v>726</v>
      </c>
      <c r="AS174" t="s">
        <v>658</v>
      </c>
      <c r="AT174" t="s">
        <v>658</v>
      </c>
      <c r="AU174" t="s">
        <v>1880</v>
      </c>
      <c r="AV174" t="s">
        <v>658</v>
      </c>
      <c r="AW174" t="s">
        <v>658</v>
      </c>
      <c r="AX174" t="s">
        <v>1440</v>
      </c>
      <c r="AY174" t="s">
        <v>659</v>
      </c>
      <c r="AZ174" t="s">
        <v>658</v>
      </c>
      <c r="BA174" t="s">
        <v>1104</v>
      </c>
      <c r="BB174" t="s">
        <v>1100</v>
      </c>
      <c r="BC174" t="s">
        <v>659</v>
      </c>
      <c r="BD174" t="s">
        <v>658</v>
      </c>
      <c r="BE174" t="s">
        <v>659</v>
      </c>
      <c r="BF174" t="s">
        <v>658</v>
      </c>
      <c r="BG174" t="s">
        <v>658</v>
      </c>
      <c r="BH174" t="s">
        <v>659</v>
      </c>
      <c r="BI174" t="s">
        <v>659</v>
      </c>
      <c r="BJ174" t="s">
        <v>659</v>
      </c>
      <c r="BK174" t="s">
        <v>726</v>
      </c>
      <c r="BL174" t="s">
        <v>658</v>
      </c>
      <c r="BM174" t="s">
        <v>658</v>
      </c>
      <c r="BN174" t="s">
        <v>658</v>
      </c>
      <c r="BO174" t="s">
        <v>658</v>
      </c>
      <c r="BP174" t="s">
        <v>726</v>
      </c>
      <c r="BQ174" t="s">
        <v>659</v>
      </c>
      <c r="BR174" t="s">
        <v>1105</v>
      </c>
      <c r="BS174" t="s">
        <v>1878</v>
      </c>
      <c r="BT174" t="s">
        <v>659</v>
      </c>
      <c r="BU174" t="s">
        <v>659</v>
      </c>
      <c r="BV174" t="s">
        <v>658</v>
      </c>
      <c r="BW174" t="s">
        <v>660</v>
      </c>
      <c r="BX174" t="s">
        <v>1443</v>
      </c>
      <c r="BY174" t="s">
        <v>1443</v>
      </c>
      <c r="BZ174" t="s">
        <v>658</v>
      </c>
      <c r="CA174" t="s">
        <v>1107</v>
      </c>
      <c r="CB174" t="s">
        <v>658</v>
      </c>
      <c r="CC174" t="s">
        <v>658</v>
      </c>
      <c r="CD174" t="s">
        <v>1881</v>
      </c>
      <c r="CE174" t="s">
        <v>658</v>
      </c>
      <c r="CF174" t="s">
        <v>659</v>
      </c>
      <c r="CG174" t="s">
        <v>659</v>
      </c>
      <c r="CH174" t="s">
        <v>725</v>
      </c>
      <c r="CI174" t="s">
        <v>659</v>
      </c>
      <c r="CJ174" t="s">
        <v>658</v>
      </c>
      <c r="CK174" t="s">
        <v>659</v>
      </c>
      <c r="CL174" t="s">
        <v>659</v>
      </c>
      <c r="CM174" t="s">
        <v>658</v>
      </c>
      <c r="CN174" t="s">
        <v>659</v>
      </c>
      <c r="CO174" t="s">
        <v>658</v>
      </c>
      <c r="CP174" t="s">
        <v>1882</v>
      </c>
      <c r="CQ174" t="s">
        <v>726</v>
      </c>
      <c r="CR174" t="s">
        <v>659</v>
      </c>
      <c r="CS174" t="s">
        <v>659</v>
      </c>
      <c r="CT174" t="s">
        <v>1883</v>
      </c>
      <c r="CU174" t="s">
        <v>659</v>
      </c>
      <c r="CV174" t="s">
        <v>659</v>
      </c>
      <c r="CW174" t="s">
        <v>658</v>
      </c>
      <c r="CX174" t="s">
        <v>659</v>
      </c>
      <c r="CY174" t="s">
        <v>659</v>
      </c>
    </row>
    <row r="175" spans="1:103" x14ac:dyDescent="0.3">
      <c r="A175">
        <v>964</v>
      </c>
      <c r="B175" t="s">
        <v>661</v>
      </c>
      <c r="D175" t="s">
        <v>1884</v>
      </c>
      <c r="E175" t="s">
        <v>1885</v>
      </c>
      <c r="F175" t="s">
        <v>1886</v>
      </c>
      <c r="G175" t="s">
        <v>1887</v>
      </c>
      <c r="H175" t="s">
        <v>1888</v>
      </c>
      <c r="I175" t="s">
        <v>1889</v>
      </c>
      <c r="J175" t="s">
        <v>1886</v>
      </c>
      <c r="K175" t="s">
        <v>1890</v>
      </c>
      <c r="L175" t="s">
        <v>1891</v>
      </c>
      <c r="M175" t="s">
        <v>1892</v>
      </c>
      <c r="N175" t="s">
        <v>1457</v>
      </c>
      <c r="O175" t="s">
        <v>1854</v>
      </c>
      <c r="P175" t="s">
        <v>1893</v>
      </c>
      <c r="Q175" t="s">
        <v>1894</v>
      </c>
      <c r="R175" t="s">
        <v>1895</v>
      </c>
      <c r="S175" t="s">
        <v>1896</v>
      </c>
      <c r="U175" t="s">
        <v>1897</v>
      </c>
      <c r="V175" t="s">
        <v>1884</v>
      </c>
      <c r="X175" t="s">
        <v>1898</v>
      </c>
      <c r="Y175" t="s">
        <v>1899</v>
      </c>
      <c r="Z175" t="s">
        <v>1900</v>
      </c>
      <c r="AA175" t="s">
        <v>1844</v>
      </c>
      <c r="AB175" t="s">
        <v>1901</v>
      </c>
      <c r="AC175" t="s">
        <v>1895</v>
      </c>
      <c r="AD175" t="s">
        <v>1889</v>
      </c>
      <c r="AE175" t="s">
        <v>1889</v>
      </c>
      <c r="AF175" t="s">
        <v>1902</v>
      </c>
      <c r="AG175" t="s">
        <v>1902</v>
      </c>
      <c r="AH175" t="s">
        <v>1895</v>
      </c>
      <c r="AI175" t="s">
        <v>1903</v>
      </c>
      <c r="AJ175" t="s">
        <v>1904</v>
      </c>
      <c r="AK175" t="s">
        <v>1905</v>
      </c>
      <c r="AL175" t="s">
        <v>1906</v>
      </c>
      <c r="AM175" t="s">
        <v>1907</v>
      </c>
      <c r="AN175" t="s">
        <v>1908</v>
      </c>
      <c r="AP175" t="s">
        <v>1909</v>
      </c>
      <c r="AQ175" t="s">
        <v>1845</v>
      </c>
      <c r="AR175" t="s">
        <v>1910</v>
      </c>
      <c r="AS175" t="s">
        <v>1886</v>
      </c>
      <c r="AT175" t="s">
        <v>1854</v>
      </c>
      <c r="AU175" t="s">
        <v>1895</v>
      </c>
      <c r="AV175" t="s">
        <v>1907</v>
      </c>
      <c r="AW175" t="s">
        <v>1911</v>
      </c>
      <c r="AX175" t="s">
        <v>1912</v>
      </c>
      <c r="AY175" t="s">
        <v>1913</v>
      </c>
      <c r="AZ175" t="s">
        <v>1914</v>
      </c>
      <c r="BA175" t="s">
        <v>1915</v>
      </c>
      <c r="BB175" t="s">
        <v>1916</v>
      </c>
      <c r="BC175" t="s">
        <v>1910</v>
      </c>
      <c r="BD175" t="s">
        <v>1907</v>
      </c>
      <c r="BE175" t="s">
        <v>1917</v>
      </c>
      <c r="BF175" t="s">
        <v>1910</v>
      </c>
      <c r="BG175" t="s">
        <v>1907</v>
      </c>
      <c r="BH175" t="s">
        <v>1918</v>
      </c>
      <c r="BI175" t="s">
        <v>1919</v>
      </c>
      <c r="BJ175" t="s">
        <v>1920</v>
      </c>
      <c r="BK175" t="s">
        <v>1889</v>
      </c>
      <c r="BL175" t="s">
        <v>1921</v>
      </c>
      <c r="BM175" t="s">
        <v>1922</v>
      </c>
      <c r="BN175" t="s">
        <v>1886</v>
      </c>
      <c r="BO175" t="s">
        <v>1914</v>
      </c>
      <c r="BP175" t="s">
        <v>1895</v>
      </c>
      <c r="BQ175" t="s">
        <v>1923</v>
      </c>
      <c r="BR175" t="s">
        <v>1924</v>
      </c>
      <c r="BS175" t="s">
        <v>1895</v>
      </c>
      <c r="BT175" t="s">
        <v>1897</v>
      </c>
      <c r="BU175" t="s">
        <v>1925</v>
      </c>
      <c r="BV175" t="s">
        <v>1926</v>
      </c>
      <c r="BW175" t="s">
        <v>1902</v>
      </c>
      <c r="BX175" t="s">
        <v>1892</v>
      </c>
      <c r="BY175" t="s">
        <v>1927</v>
      </c>
      <c r="BZ175" t="s">
        <v>1925</v>
      </c>
      <c r="CA175" t="s">
        <v>1928</v>
      </c>
      <c r="CB175" t="s">
        <v>1929</v>
      </c>
      <c r="CC175" t="s">
        <v>1930</v>
      </c>
      <c r="CD175" t="s">
        <v>1931</v>
      </c>
      <c r="CE175" t="s">
        <v>1884</v>
      </c>
      <c r="CF175" t="s">
        <v>1919</v>
      </c>
      <c r="CG175" t="s">
        <v>1932</v>
      </c>
      <c r="CH175" t="s">
        <v>1933</v>
      </c>
      <c r="CI175" t="s">
        <v>1928</v>
      </c>
      <c r="CJ175" t="s">
        <v>1900</v>
      </c>
      <c r="CK175" t="s">
        <v>1889</v>
      </c>
      <c r="CL175" t="s">
        <v>1934</v>
      </c>
      <c r="CM175" t="s">
        <v>1935</v>
      </c>
      <c r="CN175" t="s">
        <v>1936</v>
      </c>
      <c r="CO175" t="s">
        <v>1907</v>
      </c>
      <c r="CP175" t="s">
        <v>1937</v>
      </c>
      <c r="CQ175" t="s">
        <v>1884</v>
      </c>
      <c r="CR175" t="s">
        <v>1911</v>
      </c>
      <c r="CS175" t="s">
        <v>1889</v>
      </c>
      <c r="CT175" t="s">
        <v>1938</v>
      </c>
      <c r="CU175" t="s">
        <v>1939</v>
      </c>
      <c r="CV175" t="s">
        <v>1940</v>
      </c>
      <c r="CW175" t="s">
        <v>1854</v>
      </c>
      <c r="CX175" t="s">
        <v>1898</v>
      </c>
      <c r="CY175" t="s">
        <v>1895</v>
      </c>
    </row>
    <row r="176" spans="1:103" x14ac:dyDescent="0.3">
      <c r="A176">
        <v>966</v>
      </c>
      <c r="B176" t="s">
        <v>662</v>
      </c>
      <c r="D176" t="s">
        <v>1109</v>
      </c>
      <c r="E176" t="s">
        <v>1110</v>
      </c>
      <c r="F176" t="s">
        <v>1258</v>
      </c>
      <c r="G176" t="s">
        <v>1639</v>
      </c>
      <c r="H176" t="s">
        <v>1111</v>
      </c>
      <c r="I176" t="s">
        <v>1112</v>
      </c>
      <c r="J176" t="s">
        <v>1941</v>
      </c>
      <c r="K176" t="s">
        <v>1942</v>
      </c>
      <c r="L176" t="s">
        <v>1114</v>
      </c>
      <c r="M176" t="s">
        <v>1502</v>
      </c>
      <c r="N176" t="s">
        <v>1115</v>
      </c>
      <c r="O176" t="s">
        <v>1116</v>
      </c>
      <c r="P176" t="s">
        <v>1117</v>
      </c>
      <c r="Q176" t="s">
        <v>1118</v>
      </c>
      <c r="R176" t="s">
        <v>1119</v>
      </c>
      <c r="S176" t="s">
        <v>1120</v>
      </c>
      <c r="U176" t="s">
        <v>1121</v>
      </c>
      <c r="V176" t="s">
        <v>1122</v>
      </c>
      <c r="X176" t="s">
        <v>1123</v>
      </c>
      <c r="Y176" t="s">
        <v>1124</v>
      </c>
      <c r="Z176" t="s">
        <v>1943</v>
      </c>
      <c r="AA176" t="s">
        <v>1944</v>
      </c>
      <c r="AB176" t="s">
        <v>1126</v>
      </c>
      <c r="AC176" t="s">
        <v>1127</v>
      </c>
      <c r="AD176" t="s">
        <v>1128</v>
      </c>
      <c r="AE176" t="s">
        <v>1129</v>
      </c>
      <c r="AF176" t="s">
        <v>1503</v>
      </c>
      <c r="AG176" t="s">
        <v>1504</v>
      </c>
      <c r="AH176" t="s">
        <v>1945</v>
      </c>
      <c r="AI176" t="s">
        <v>1130</v>
      </c>
      <c r="AJ176" t="s">
        <v>1131</v>
      </c>
      <c r="AK176" t="s">
        <v>1132</v>
      </c>
      <c r="AM176" t="s">
        <v>1946</v>
      </c>
      <c r="AN176" t="s">
        <v>1134</v>
      </c>
      <c r="AP176" t="s">
        <v>1136</v>
      </c>
      <c r="AQ176" t="s">
        <v>1137</v>
      </c>
      <c r="AR176" t="s">
        <v>1947</v>
      </c>
      <c r="AS176" t="s">
        <v>1138</v>
      </c>
      <c r="AT176" t="s">
        <v>1139</v>
      </c>
      <c r="AU176" t="s">
        <v>1140</v>
      </c>
      <c r="AV176" t="s">
        <v>1506</v>
      </c>
      <c r="AW176" t="s">
        <v>1771</v>
      </c>
      <c r="AX176" t="s">
        <v>1141</v>
      </c>
      <c r="AY176" t="s">
        <v>1948</v>
      </c>
      <c r="AZ176" t="s">
        <v>1142</v>
      </c>
      <c r="BA176" t="s">
        <v>1143</v>
      </c>
      <c r="BB176" t="s">
        <v>1259</v>
      </c>
      <c r="BC176" t="s">
        <v>1507</v>
      </c>
      <c r="BD176" t="s">
        <v>1508</v>
      </c>
      <c r="BE176" t="s">
        <v>1949</v>
      </c>
      <c r="BF176" t="s">
        <v>1145</v>
      </c>
      <c r="BG176" t="s">
        <v>1146</v>
      </c>
      <c r="BI176" t="s">
        <v>1147</v>
      </c>
      <c r="BJ176" t="s">
        <v>1148</v>
      </c>
      <c r="BK176" t="s">
        <v>1149</v>
      </c>
      <c r="BL176" t="s">
        <v>1950</v>
      </c>
      <c r="BM176" t="s">
        <v>1951</v>
      </c>
      <c r="BN176" t="s">
        <v>1151</v>
      </c>
      <c r="BO176" t="s">
        <v>1152</v>
      </c>
      <c r="BP176" t="s">
        <v>1952</v>
      </c>
      <c r="BQ176" t="s">
        <v>1772</v>
      </c>
      <c r="BR176" t="s">
        <v>1953</v>
      </c>
      <c r="BS176" t="s">
        <v>1261</v>
      </c>
      <c r="BT176" t="s">
        <v>1153</v>
      </c>
      <c r="BU176" t="s">
        <v>1154</v>
      </c>
      <c r="BV176" t="s">
        <v>1155</v>
      </c>
      <c r="BW176" t="s">
        <v>1156</v>
      </c>
      <c r="BY176" t="s">
        <v>1512</v>
      </c>
      <c r="BZ176" t="s">
        <v>1157</v>
      </c>
      <c r="CA176" t="s">
        <v>1158</v>
      </c>
      <c r="CB176" t="s">
        <v>1159</v>
      </c>
      <c r="CC176" t="s">
        <v>1160</v>
      </c>
      <c r="CD176" t="s">
        <v>1161</v>
      </c>
      <c r="CE176" t="s">
        <v>1513</v>
      </c>
      <c r="CF176" t="s">
        <v>1162</v>
      </c>
      <c r="CG176" t="s">
        <v>1163</v>
      </c>
      <c r="CH176" t="s">
        <v>1164</v>
      </c>
      <c r="CI176" t="s">
        <v>1165</v>
      </c>
      <c r="CJ176" t="s">
        <v>1514</v>
      </c>
      <c r="CK176" t="s">
        <v>1954</v>
      </c>
      <c r="CL176" t="s">
        <v>1166</v>
      </c>
      <c r="CM176" t="s">
        <v>1955</v>
      </c>
      <c r="CN176" t="s">
        <v>1956</v>
      </c>
      <c r="CO176" t="s">
        <v>1517</v>
      </c>
      <c r="CP176" t="s">
        <v>1168</v>
      </c>
      <c r="CQ176" t="s">
        <v>1169</v>
      </c>
      <c r="CR176" t="s">
        <v>1170</v>
      </c>
      <c r="CS176" t="s">
        <v>1171</v>
      </c>
      <c r="CT176" t="s">
        <v>1957</v>
      </c>
      <c r="CU176" t="s">
        <v>1958</v>
      </c>
      <c r="CV176" t="s">
        <v>1174</v>
      </c>
      <c r="CW176" t="s">
        <v>1175</v>
      </c>
      <c r="CX176" t="s">
        <v>1176</v>
      </c>
      <c r="CY176" t="s">
        <v>1177</v>
      </c>
    </row>
    <row r="177" spans="1:103" x14ac:dyDescent="0.3">
      <c r="A177">
        <v>968</v>
      </c>
      <c r="B177" t="s">
        <v>663</v>
      </c>
      <c r="D177" t="s">
        <v>1178</v>
      </c>
      <c r="E177" t="s">
        <v>1179</v>
      </c>
      <c r="F177" t="s">
        <v>1180</v>
      </c>
      <c r="G177" t="s">
        <v>1640</v>
      </c>
      <c r="H177" t="s">
        <v>1959</v>
      </c>
      <c r="I177" t="s">
        <v>1181</v>
      </c>
      <c r="J177" t="s">
        <v>1519</v>
      </c>
      <c r="K177" t="s">
        <v>1960</v>
      </c>
      <c r="L177" t="s">
        <v>1183</v>
      </c>
      <c r="M177" t="s">
        <v>1520</v>
      </c>
      <c r="N177" t="s">
        <v>1961</v>
      </c>
      <c r="O177" t="s">
        <v>1185</v>
      </c>
      <c r="P177" t="s">
        <v>1521</v>
      </c>
      <c r="Q177" t="s">
        <v>1186</v>
      </c>
      <c r="R177" t="s">
        <v>1522</v>
      </c>
      <c r="S177" t="s">
        <v>1187</v>
      </c>
      <c r="U177" t="s">
        <v>1523</v>
      </c>
      <c r="V177" t="s">
        <v>1524</v>
      </c>
      <c r="X177" t="s">
        <v>1188</v>
      </c>
      <c r="Y177" t="s">
        <v>1189</v>
      </c>
      <c r="Z177" t="s">
        <v>1962</v>
      </c>
      <c r="AA177" t="s">
        <v>1963</v>
      </c>
      <c r="AB177" t="s">
        <v>1190</v>
      </c>
      <c r="AC177" t="s">
        <v>1525</v>
      </c>
      <c r="AD177" t="s">
        <v>1964</v>
      </c>
      <c r="AE177" t="s">
        <v>1965</v>
      </c>
      <c r="AF177" t="s">
        <v>1527</v>
      </c>
      <c r="AG177" t="s">
        <v>1192</v>
      </c>
      <c r="AH177" t="s">
        <v>1728</v>
      </c>
      <c r="AI177" t="s">
        <v>1966</v>
      </c>
      <c r="AJ177" t="s">
        <v>1967</v>
      </c>
      <c r="AK177" t="s">
        <v>1194</v>
      </c>
      <c r="AL177" t="s">
        <v>1529</v>
      </c>
      <c r="AM177" t="s">
        <v>1968</v>
      </c>
      <c r="AN177" t="s">
        <v>1969</v>
      </c>
      <c r="AP177" t="s">
        <v>1196</v>
      </c>
      <c r="AQ177" t="s">
        <v>1530</v>
      </c>
      <c r="AR177" t="s">
        <v>1970</v>
      </c>
      <c r="AS177" t="s">
        <v>1197</v>
      </c>
      <c r="AT177" t="s">
        <v>1198</v>
      </c>
      <c r="AU177" t="s">
        <v>1971</v>
      </c>
      <c r="AV177" t="s">
        <v>1200</v>
      </c>
      <c r="AW177" t="s">
        <v>1775</v>
      </c>
      <c r="AX177" t="s">
        <v>1972</v>
      </c>
      <c r="AY177" t="s">
        <v>1242</v>
      </c>
      <c r="AZ177" t="s">
        <v>1202</v>
      </c>
      <c r="BA177" t="s">
        <v>1203</v>
      </c>
      <c r="BB177" t="s">
        <v>1204</v>
      </c>
      <c r="BC177" t="s">
        <v>1532</v>
      </c>
      <c r="BD177" t="s">
        <v>1533</v>
      </c>
      <c r="BE177" t="s">
        <v>1973</v>
      </c>
      <c r="BF177" t="s">
        <v>1205</v>
      </c>
      <c r="BG177" t="s">
        <v>1206</v>
      </c>
      <c r="BH177" t="s">
        <v>1207</v>
      </c>
      <c r="BI177" t="s">
        <v>1208</v>
      </c>
      <c r="BJ177" t="s">
        <v>1209</v>
      </c>
      <c r="BK177" t="s">
        <v>1210</v>
      </c>
      <c r="BL177" t="s">
        <v>1974</v>
      </c>
      <c r="BM177" t="s">
        <v>1975</v>
      </c>
      <c r="BN177" t="s">
        <v>1211</v>
      </c>
      <c r="BO177" t="s">
        <v>1212</v>
      </c>
      <c r="BP177" t="s">
        <v>1537</v>
      </c>
      <c r="BQ177" t="s">
        <v>1776</v>
      </c>
      <c r="BR177" t="s">
        <v>1976</v>
      </c>
      <c r="BS177" t="s">
        <v>1243</v>
      </c>
      <c r="BT177" t="s">
        <v>1213</v>
      </c>
      <c r="BU177" t="s">
        <v>1977</v>
      </c>
      <c r="BV177" t="s">
        <v>1214</v>
      </c>
      <c r="BW177" t="s">
        <v>1540</v>
      </c>
      <c r="BX177" t="s">
        <v>1215</v>
      </c>
      <c r="BY177" t="s">
        <v>1541</v>
      </c>
      <c r="BZ177" t="s">
        <v>1216</v>
      </c>
      <c r="CA177" t="s">
        <v>1217</v>
      </c>
      <c r="CB177" t="s">
        <v>1978</v>
      </c>
      <c r="CC177" t="s">
        <v>1979</v>
      </c>
      <c r="CD177" t="s">
        <v>1220</v>
      </c>
      <c r="CE177" t="s">
        <v>1542</v>
      </c>
      <c r="CF177" t="s">
        <v>1980</v>
      </c>
      <c r="CG177" t="s">
        <v>1222</v>
      </c>
      <c r="CH177" t="s">
        <v>1223</v>
      </c>
      <c r="CI177" t="s">
        <v>1224</v>
      </c>
      <c r="CJ177" t="s">
        <v>1543</v>
      </c>
      <c r="CK177" t="s">
        <v>1544</v>
      </c>
      <c r="CL177" t="s">
        <v>1225</v>
      </c>
      <c r="CM177" t="s">
        <v>1981</v>
      </c>
      <c r="CN177" t="s">
        <v>1982</v>
      </c>
      <c r="CO177" t="s">
        <v>1545</v>
      </c>
      <c r="CP177" t="s">
        <v>1983</v>
      </c>
      <c r="CQ177" t="s">
        <v>1984</v>
      </c>
      <c r="CR177" t="s">
        <v>1985</v>
      </c>
      <c r="CS177" t="s">
        <v>1231</v>
      </c>
      <c r="CT177" t="s">
        <v>1986</v>
      </c>
      <c r="CU177" t="s">
        <v>1987</v>
      </c>
      <c r="CV177" t="s">
        <v>1232</v>
      </c>
      <c r="CW177" t="s">
        <v>1988</v>
      </c>
      <c r="CX177" t="s">
        <v>1234</v>
      </c>
      <c r="CY177" t="s">
        <v>1989</v>
      </c>
    </row>
    <row r="178" spans="1:103" x14ac:dyDescent="0.3">
      <c r="A178">
        <v>973</v>
      </c>
      <c r="B178" t="s">
        <v>1990</v>
      </c>
      <c r="D178">
        <v>0</v>
      </c>
      <c r="E178">
        <v>0</v>
      </c>
      <c r="F178">
        <v>0</v>
      </c>
      <c r="G178">
        <v>0</v>
      </c>
      <c r="H178">
        <v>0</v>
      </c>
      <c r="I178">
        <v>0</v>
      </c>
      <c r="J178">
        <v>0</v>
      </c>
      <c r="K178">
        <v>0</v>
      </c>
      <c r="L178">
        <v>0</v>
      </c>
      <c r="M178">
        <v>0</v>
      </c>
      <c r="N178">
        <v>0</v>
      </c>
      <c r="O178">
        <v>0</v>
      </c>
      <c r="P178">
        <v>0</v>
      </c>
      <c r="Q178">
        <v>0</v>
      </c>
      <c r="R178">
        <v>0</v>
      </c>
      <c r="S178">
        <v>2</v>
      </c>
      <c r="U178">
        <v>0</v>
      </c>
      <c r="V178">
        <v>0</v>
      </c>
      <c r="X178">
        <v>0</v>
      </c>
      <c r="Y178">
        <v>0</v>
      </c>
      <c r="Z178">
        <v>0</v>
      </c>
      <c r="AA178">
        <v>0</v>
      </c>
      <c r="AB178">
        <v>0</v>
      </c>
      <c r="AC178">
        <v>0</v>
      </c>
      <c r="AD178">
        <v>0</v>
      </c>
      <c r="AE178">
        <v>0</v>
      </c>
      <c r="AF178">
        <v>0</v>
      </c>
      <c r="AG178">
        <v>0</v>
      </c>
      <c r="AH178">
        <v>0</v>
      </c>
      <c r="AI178">
        <v>0</v>
      </c>
      <c r="AJ178">
        <v>0</v>
      </c>
      <c r="AK178">
        <v>0</v>
      </c>
      <c r="AL178">
        <v>0</v>
      </c>
      <c r="AM178">
        <v>0</v>
      </c>
      <c r="AN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row>
    <row r="179" spans="1:103" x14ac:dyDescent="0.3">
      <c r="A179">
        <v>974</v>
      </c>
      <c r="B179" t="s">
        <v>664</v>
      </c>
      <c r="D179">
        <v>2</v>
      </c>
      <c r="E179">
        <v>2</v>
      </c>
      <c r="F179">
        <v>2</v>
      </c>
      <c r="G179">
        <v>3</v>
      </c>
      <c r="H179">
        <v>2</v>
      </c>
      <c r="I179">
        <v>2</v>
      </c>
      <c r="J179">
        <v>2</v>
      </c>
      <c r="K179">
        <v>2</v>
      </c>
      <c r="L179">
        <v>2</v>
      </c>
      <c r="M179">
        <v>2</v>
      </c>
      <c r="N179">
        <v>2</v>
      </c>
      <c r="O179">
        <v>2</v>
      </c>
      <c r="P179">
        <v>2</v>
      </c>
      <c r="Q179">
        <v>2</v>
      </c>
      <c r="R179">
        <v>2</v>
      </c>
      <c r="S179">
        <v>2</v>
      </c>
      <c r="U179">
        <v>2</v>
      </c>
      <c r="V179">
        <v>2</v>
      </c>
      <c r="X179">
        <v>2</v>
      </c>
      <c r="Y179">
        <v>2</v>
      </c>
      <c r="Z179">
        <v>2</v>
      </c>
      <c r="AA179">
        <v>2</v>
      </c>
      <c r="AB179">
        <v>2</v>
      </c>
      <c r="AC179">
        <v>2</v>
      </c>
      <c r="AD179">
        <v>2</v>
      </c>
      <c r="AE179">
        <v>2</v>
      </c>
      <c r="AF179">
        <v>2</v>
      </c>
      <c r="AG179">
        <v>2</v>
      </c>
      <c r="AH179">
        <v>2</v>
      </c>
      <c r="AI179">
        <v>2</v>
      </c>
      <c r="AJ179">
        <v>1</v>
      </c>
      <c r="AK179">
        <v>2</v>
      </c>
      <c r="AL179">
        <v>2</v>
      </c>
      <c r="AM179">
        <v>2</v>
      </c>
      <c r="AN179">
        <v>2</v>
      </c>
      <c r="AP179">
        <v>2</v>
      </c>
      <c r="AQ179">
        <v>2</v>
      </c>
      <c r="AR179">
        <v>2</v>
      </c>
      <c r="AS179">
        <v>2</v>
      </c>
      <c r="AT179">
        <v>2</v>
      </c>
      <c r="AU179">
        <v>2</v>
      </c>
      <c r="AV179">
        <v>2</v>
      </c>
      <c r="AW179">
        <v>3</v>
      </c>
      <c r="AX179">
        <v>1</v>
      </c>
      <c r="AY179">
        <v>2</v>
      </c>
      <c r="AZ179">
        <v>2</v>
      </c>
      <c r="BA179">
        <v>2</v>
      </c>
      <c r="BB179">
        <v>2</v>
      </c>
      <c r="BC179">
        <v>2</v>
      </c>
      <c r="BD179">
        <v>2</v>
      </c>
      <c r="BE179">
        <v>2</v>
      </c>
      <c r="BF179">
        <v>2</v>
      </c>
      <c r="BG179">
        <v>2</v>
      </c>
      <c r="BH179">
        <v>2</v>
      </c>
      <c r="BI179">
        <v>2</v>
      </c>
      <c r="BJ179">
        <v>2</v>
      </c>
      <c r="BK179">
        <v>2</v>
      </c>
      <c r="BL179">
        <v>3</v>
      </c>
      <c r="BM179">
        <v>2</v>
      </c>
      <c r="BN179">
        <v>2</v>
      </c>
      <c r="BO179">
        <v>3</v>
      </c>
      <c r="BP179">
        <v>2</v>
      </c>
      <c r="BQ179">
        <v>2</v>
      </c>
      <c r="BR179">
        <v>2</v>
      </c>
      <c r="BS179">
        <v>2</v>
      </c>
      <c r="BT179">
        <v>2</v>
      </c>
      <c r="BU179">
        <v>2</v>
      </c>
      <c r="BV179">
        <v>2</v>
      </c>
      <c r="BW179">
        <v>2</v>
      </c>
      <c r="BX179">
        <v>2</v>
      </c>
      <c r="BY179">
        <v>2</v>
      </c>
      <c r="BZ179">
        <v>2</v>
      </c>
      <c r="CA179">
        <v>2</v>
      </c>
      <c r="CB179">
        <v>2</v>
      </c>
      <c r="CC179">
        <v>2</v>
      </c>
      <c r="CD179">
        <v>2</v>
      </c>
      <c r="CE179">
        <v>2</v>
      </c>
      <c r="CF179">
        <v>2</v>
      </c>
      <c r="CG179">
        <v>2</v>
      </c>
      <c r="CH179">
        <v>3</v>
      </c>
      <c r="CI179">
        <v>2</v>
      </c>
      <c r="CJ179">
        <v>2</v>
      </c>
      <c r="CK179">
        <v>2</v>
      </c>
      <c r="CL179">
        <v>2</v>
      </c>
      <c r="CM179">
        <v>2</v>
      </c>
      <c r="CN179">
        <v>3</v>
      </c>
      <c r="CO179">
        <v>2</v>
      </c>
      <c r="CP179">
        <v>2</v>
      </c>
      <c r="CQ179">
        <v>2</v>
      </c>
      <c r="CR179">
        <v>2</v>
      </c>
      <c r="CS179">
        <v>2</v>
      </c>
      <c r="CT179">
        <v>2</v>
      </c>
      <c r="CU179">
        <v>3</v>
      </c>
      <c r="CV179">
        <v>2</v>
      </c>
      <c r="CW179">
        <v>2</v>
      </c>
      <c r="CX179">
        <v>2</v>
      </c>
      <c r="CY179">
        <v>2</v>
      </c>
    </row>
    <row r="180" spans="1:103" x14ac:dyDescent="0.3">
      <c r="A180">
        <v>975</v>
      </c>
      <c r="B180" t="s">
        <v>1671</v>
      </c>
      <c r="D180">
        <v>2</v>
      </c>
      <c r="E180">
        <v>2</v>
      </c>
      <c r="F180">
        <v>1</v>
      </c>
      <c r="G180">
        <v>1</v>
      </c>
      <c r="H180">
        <v>1</v>
      </c>
      <c r="I180">
        <v>2</v>
      </c>
      <c r="J180">
        <v>1</v>
      </c>
      <c r="K180">
        <v>1</v>
      </c>
      <c r="L180">
        <v>1</v>
      </c>
      <c r="M180">
        <v>2</v>
      </c>
      <c r="N180">
        <v>1</v>
      </c>
      <c r="O180">
        <v>1</v>
      </c>
      <c r="P180">
        <v>2</v>
      </c>
      <c r="Q180">
        <v>1</v>
      </c>
      <c r="R180">
        <v>2</v>
      </c>
      <c r="S180">
        <v>1</v>
      </c>
      <c r="U180">
        <v>1</v>
      </c>
      <c r="V180">
        <v>2</v>
      </c>
      <c r="X180">
        <v>1</v>
      </c>
      <c r="Y180">
        <v>1</v>
      </c>
      <c r="Z180">
        <v>1</v>
      </c>
      <c r="AA180">
        <v>1</v>
      </c>
      <c r="AB180">
        <v>2</v>
      </c>
      <c r="AC180">
        <v>1</v>
      </c>
      <c r="AD180">
        <v>1</v>
      </c>
      <c r="AE180">
        <v>1</v>
      </c>
      <c r="AF180">
        <v>1</v>
      </c>
      <c r="AG180">
        <v>1</v>
      </c>
      <c r="AH180">
        <v>2</v>
      </c>
      <c r="AI180">
        <v>1</v>
      </c>
      <c r="AJ180">
        <v>1</v>
      </c>
      <c r="AK180">
        <v>1</v>
      </c>
      <c r="AL180">
        <v>1</v>
      </c>
      <c r="AM180">
        <v>2</v>
      </c>
      <c r="AN180">
        <v>1</v>
      </c>
      <c r="AP180">
        <v>1</v>
      </c>
      <c r="AQ180">
        <v>1</v>
      </c>
      <c r="AR180">
        <v>2</v>
      </c>
      <c r="AS180">
        <v>1</v>
      </c>
      <c r="AT180">
        <v>2</v>
      </c>
      <c r="AU180">
        <v>1</v>
      </c>
      <c r="AV180">
        <v>1</v>
      </c>
      <c r="AW180">
        <v>1</v>
      </c>
      <c r="AX180">
        <v>1</v>
      </c>
      <c r="AY180">
        <v>1</v>
      </c>
      <c r="AZ180">
        <v>2</v>
      </c>
      <c r="BA180">
        <v>2</v>
      </c>
      <c r="BB180">
        <v>1</v>
      </c>
      <c r="BC180">
        <v>2</v>
      </c>
      <c r="BD180">
        <v>2</v>
      </c>
      <c r="BE180">
        <v>1</v>
      </c>
      <c r="BF180">
        <v>2</v>
      </c>
      <c r="BG180">
        <v>2</v>
      </c>
      <c r="BH180">
        <v>1</v>
      </c>
      <c r="BI180">
        <v>1</v>
      </c>
      <c r="BJ180">
        <v>1</v>
      </c>
      <c r="BK180">
        <v>1</v>
      </c>
      <c r="BL180">
        <v>2</v>
      </c>
      <c r="BM180">
        <v>1</v>
      </c>
      <c r="BN180">
        <v>1</v>
      </c>
      <c r="BO180">
        <v>1</v>
      </c>
      <c r="BP180">
        <v>2</v>
      </c>
      <c r="BQ180">
        <v>1</v>
      </c>
      <c r="BR180">
        <v>1</v>
      </c>
      <c r="BS180">
        <v>2</v>
      </c>
      <c r="BT180">
        <v>1</v>
      </c>
      <c r="BU180">
        <v>1</v>
      </c>
      <c r="BV180">
        <v>1</v>
      </c>
      <c r="BW180">
        <v>1</v>
      </c>
      <c r="BX180">
        <v>1</v>
      </c>
      <c r="BY180">
        <v>1</v>
      </c>
      <c r="BZ180">
        <v>1</v>
      </c>
      <c r="CA180">
        <v>2</v>
      </c>
      <c r="CB180">
        <v>1</v>
      </c>
      <c r="CC180">
        <v>1</v>
      </c>
      <c r="CD180">
        <v>1</v>
      </c>
      <c r="CE180">
        <v>1</v>
      </c>
      <c r="CF180">
        <v>1</v>
      </c>
      <c r="CG180">
        <v>1</v>
      </c>
      <c r="CH180">
        <v>1</v>
      </c>
      <c r="CI180">
        <v>1</v>
      </c>
      <c r="CJ180">
        <v>1</v>
      </c>
      <c r="CK180">
        <v>1</v>
      </c>
      <c r="CL180">
        <v>1</v>
      </c>
      <c r="CM180">
        <v>1</v>
      </c>
      <c r="CN180">
        <v>1</v>
      </c>
      <c r="CO180">
        <v>2</v>
      </c>
      <c r="CP180">
        <v>1</v>
      </c>
      <c r="CQ180">
        <v>1</v>
      </c>
      <c r="CR180">
        <v>1</v>
      </c>
      <c r="CS180">
        <v>1</v>
      </c>
      <c r="CT180">
        <v>1</v>
      </c>
      <c r="CU180">
        <v>1</v>
      </c>
      <c r="CV180">
        <v>2</v>
      </c>
      <c r="CW180">
        <v>2</v>
      </c>
      <c r="CX180">
        <v>1</v>
      </c>
      <c r="CY180">
        <v>1</v>
      </c>
    </row>
    <row r="181" spans="1:103" x14ac:dyDescent="0.3">
      <c r="A181">
        <v>980</v>
      </c>
      <c r="B181" t="s">
        <v>406</v>
      </c>
      <c r="D181" t="s">
        <v>1991</v>
      </c>
      <c r="E181" t="s">
        <v>1991</v>
      </c>
      <c r="F181" t="s">
        <v>1781</v>
      </c>
      <c r="G181" t="s">
        <v>1754</v>
      </c>
      <c r="H181" t="s">
        <v>1992</v>
      </c>
      <c r="I181" t="s">
        <v>1991</v>
      </c>
      <c r="J181" t="s">
        <v>1993</v>
      </c>
      <c r="K181" t="s">
        <v>1994</v>
      </c>
      <c r="L181" t="s">
        <v>1992</v>
      </c>
      <c r="M181" t="s">
        <v>1780</v>
      </c>
      <c r="N181" t="s">
        <v>1995</v>
      </c>
      <c r="O181" t="s">
        <v>1903</v>
      </c>
      <c r="P181" t="s">
        <v>1996</v>
      </c>
      <c r="Q181" t="s">
        <v>1997</v>
      </c>
      <c r="R181" t="s">
        <v>1998</v>
      </c>
      <c r="S181" t="s">
        <v>1999</v>
      </c>
      <c r="U181" t="s">
        <v>1781</v>
      </c>
      <c r="V181" t="s">
        <v>1991</v>
      </c>
      <c r="X181" t="s">
        <v>1998</v>
      </c>
      <c r="Y181" t="s">
        <v>2000</v>
      </c>
      <c r="Z181" t="s">
        <v>2001</v>
      </c>
      <c r="AA181" t="s">
        <v>1778</v>
      </c>
      <c r="AB181" t="s">
        <v>2002</v>
      </c>
      <c r="AC181" t="s">
        <v>1767</v>
      </c>
      <c r="AD181" t="s">
        <v>1995</v>
      </c>
      <c r="AE181" t="s">
        <v>2003</v>
      </c>
      <c r="AF181" t="s">
        <v>2000</v>
      </c>
      <c r="AG181" t="s">
        <v>2004</v>
      </c>
      <c r="AH181" t="s">
        <v>1919</v>
      </c>
      <c r="AI181" t="s">
        <v>1891</v>
      </c>
      <c r="AJ181" t="s">
        <v>1996</v>
      </c>
      <c r="AK181" t="s">
        <v>2005</v>
      </c>
      <c r="AL181" t="s">
        <v>2003</v>
      </c>
      <c r="AM181" t="s">
        <v>1991</v>
      </c>
      <c r="AN181" t="s">
        <v>2006</v>
      </c>
      <c r="AP181" t="s">
        <v>2003</v>
      </c>
      <c r="AQ181" t="s">
        <v>1781</v>
      </c>
      <c r="AR181" t="s">
        <v>1991</v>
      </c>
      <c r="AS181" t="s">
        <v>1997</v>
      </c>
      <c r="AT181" t="s">
        <v>1991</v>
      </c>
      <c r="AU181" t="s">
        <v>1996</v>
      </c>
      <c r="AV181" t="s">
        <v>1997</v>
      </c>
      <c r="AW181" t="s">
        <v>2007</v>
      </c>
      <c r="AX181" t="s">
        <v>1779</v>
      </c>
      <c r="AY181" t="s">
        <v>2008</v>
      </c>
      <c r="AZ181" t="s">
        <v>1991</v>
      </c>
      <c r="BA181" t="s">
        <v>1991</v>
      </c>
      <c r="BB181" t="s">
        <v>1995</v>
      </c>
      <c r="BC181" t="s">
        <v>1991</v>
      </c>
      <c r="BD181" t="s">
        <v>1997</v>
      </c>
      <c r="BE181" t="s">
        <v>1906</v>
      </c>
      <c r="BF181" t="s">
        <v>1991</v>
      </c>
      <c r="BG181" t="s">
        <v>1991</v>
      </c>
      <c r="BH181" t="s">
        <v>2009</v>
      </c>
      <c r="BI181" t="s">
        <v>2010</v>
      </c>
      <c r="BJ181" t="s">
        <v>1762</v>
      </c>
      <c r="BK181" t="s">
        <v>2011</v>
      </c>
      <c r="BL181" t="s">
        <v>1991</v>
      </c>
      <c r="BM181" t="s">
        <v>1897</v>
      </c>
      <c r="BN181" t="s">
        <v>1997</v>
      </c>
      <c r="BO181" t="s">
        <v>1997</v>
      </c>
      <c r="BP181" t="s">
        <v>1991</v>
      </c>
      <c r="BQ181" t="s">
        <v>1888</v>
      </c>
      <c r="BR181" t="s">
        <v>2007</v>
      </c>
      <c r="BS181" t="s">
        <v>2012</v>
      </c>
      <c r="BT181" t="s">
        <v>1781</v>
      </c>
      <c r="BU181" t="s">
        <v>2013</v>
      </c>
      <c r="BV181" t="s">
        <v>1999</v>
      </c>
      <c r="BW181" t="s">
        <v>2004</v>
      </c>
      <c r="BX181" t="s">
        <v>1854</v>
      </c>
      <c r="BY181" t="s">
        <v>1997</v>
      </c>
      <c r="BZ181" t="s">
        <v>1997</v>
      </c>
      <c r="CA181" t="s">
        <v>1991</v>
      </c>
      <c r="CB181" t="s">
        <v>1999</v>
      </c>
      <c r="CC181" t="s">
        <v>2014</v>
      </c>
      <c r="CD181" t="s">
        <v>1854</v>
      </c>
      <c r="CE181" t="s">
        <v>1996</v>
      </c>
      <c r="CF181" t="s">
        <v>2003</v>
      </c>
      <c r="CG181" t="s">
        <v>1999</v>
      </c>
      <c r="CH181" t="s">
        <v>2015</v>
      </c>
      <c r="CI181" t="s">
        <v>1885</v>
      </c>
      <c r="CJ181" t="s">
        <v>2016</v>
      </c>
      <c r="CK181" t="s">
        <v>2004</v>
      </c>
      <c r="CL181" t="s">
        <v>2017</v>
      </c>
      <c r="CM181" t="s">
        <v>2018</v>
      </c>
      <c r="CN181" t="s">
        <v>1777</v>
      </c>
      <c r="CO181" t="s">
        <v>1781</v>
      </c>
      <c r="CP181" t="s">
        <v>1937</v>
      </c>
      <c r="CQ181" t="s">
        <v>1996</v>
      </c>
      <c r="CR181" t="s">
        <v>2019</v>
      </c>
      <c r="CS181" t="s">
        <v>2004</v>
      </c>
      <c r="CT181" t="s">
        <v>2017</v>
      </c>
      <c r="CU181" t="s">
        <v>1995</v>
      </c>
      <c r="CV181" t="s">
        <v>1991</v>
      </c>
      <c r="CW181" t="s">
        <v>1991</v>
      </c>
      <c r="CX181" t="s">
        <v>1781</v>
      </c>
      <c r="CY181" t="s">
        <v>2004</v>
      </c>
    </row>
    <row r="182" spans="1:103" x14ac:dyDescent="0.3">
      <c r="A182">
        <v>984</v>
      </c>
      <c r="B182" t="s">
        <v>668</v>
      </c>
      <c r="D182">
        <v>105855193</v>
      </c>
      <c r="E182">
        <v>22823687</v>
      </c>
      <c r="F182">
        <v>12061123</v>
      </c>
      <c r="G182">
        <v>16990902</v>
      </c>
      <c r="H182">
        <v>22279723</v>
      </c>
      <c r="I182">
        <v>20707079</v>
      </c>
      <c r="J182">
        <v>39771771</v>
      </c>
      <c r="K182">
        <v>12508340</v>
      </c>
      <c r="L182">
        <v>27682049</v>
      </c>
      <c r="M182">
        <v>161239315</v>
      </c>
      <c r="N182">
        <v>244033754</v>
      </c>
      <c r="O182">
        <v>54452431</v>
      </c>
      <c r="P182">
        <v>231483637</v>
      </c>
      <c r="Q182">
        <v>53475186</v>
      </c>
      <c r="R182">
        <v>11067970</v>
      </c>
      <c r="S182">
        <v>56843215</v>
      </c>
      <c r="U182">
        <v>117300383</v>
      </c>
      <c r="V182">
        <v>96757366</v>
      </c>
      <c r="X182">
        <v>12811347</v>
      </c>
      <c r="Y182">
        <v>9170467</v>
      </c>
      <c r="Z182">
        <v>75473828</v>
      </c>
      <c r="AA182">
        <v>34727868</v>
      </c>
      <c r="AB182">
        <v>59101199</v>
      </c>
      <c r="AC182">
        <v>201502767</v>
      </c>
      <c r="AD182">
        <v>38848803</v>
      </c>
      <c r="AE182">
        <v>69213784</v>
      </c>
      <c r="AF182">
        <v>98034028</v>
      </c>
      <c r="AG182">
        <v>57933169</v>
      </c>
      <c r="AH182">
        <v>35682885</v>
      </c>
      <c r="AI182">
        <v>357912926</v>
      </c>
      <c r="AJ182">
        <v>33842212</v>
      </c>
      <c r="AK182">
        <v>302179933</v>
      </c>
      <c r="AL182">
        <v>56710399</v>
      </c>
      <c r="AM182">
        <v>178482367</v>
      </c>
      <c r="AN182">
        <v>8489120</v>
      </c>
      <c r="AP182">
        <v>45670615</v>
      </c>
      <c r="AQ182">
        <v>10536184</v>
      </c>
      <c r="AR182">
        <v>610710590</v>
      </c>
      <c r="AS182">
        <v>31922162</v>
      </c>
      <c r="AT182">
        <v>79931250</v>
      </c>
      <c r="AU182">
        <v>53115032</v>
      </c>
      <c r="AV182">
        <v>98536453</v>
      </c>
      <c r="AW182">
        <v>14802418</v>
      </c>
      <c r="AX182">
        <v>34143335</v>
      </c>
      <c r="AY182">
        <v>8608937</v>
      </c>
      <c r="AZ182">
        <v>158018849</v>
      </c>
      <c r="BA182">
        <v>45836451</v>
      </c>
      <c r="BB182">
        <v>189818596</v>
      </c>
      <c r="BC182">
        <v>8035164</v>
      </c>
      <c r="BD182">
        <v>50660500</v>
      </c>
      <c r="BE182">
        <v>38307234</v>
      </c>
      <c r="BF182">
        <v>77740991</v>
      </c>
      <c r="BG182">
        <v>34363339</v>
      </c>
      <c r="BH182">
        <v>14809825</v>
      </c>
      <c r="BI182">
        <v>17137832</v>
      </c>
      <c r="BJ182">
        <v>28773193</v>
      </c>
      <c r="BK182">
        <v>994727400</v>
      </c>
      <c r="BL182">
        <v>14058237</v>
      </c>
      <c r="BM182">
        <v>22662215</v>
      </c>
      <c r="BN182">
        <v>73285574</v>
      </c>
      <c r="BO182">
        <v>58671312</v>
      </c>
      <c r="BP182">
        <v>209493998</v>
      </c>
      <c r="BQ182">
        <v>20860950</v>
      </c>
      <c r="BR182">
        <v>134810104</v>
      </c>
      <c r="BS182">
        <v>188249567</v>
      </c>
      <c r="BT182">
        <v>12370220</v>
      </c>
      <c r="BU182">
        <v>27274776</v>
      </c>
      <c r="BV182">
        <v>58804857</v>
      </c>
      <c r="BW182">
        <v>10237344</v>
      </c>
      <c r="BX182">
        <v>39852732</v>
      </c>
      <c r="BY182">
        <v>112057474</v>
      </c>
      <c r="BZ182">
        <v>17979294</v>
      </c>
      <c r="CA182">
        <v>80132285</v>
      </c>
      <c r="CB182">
        <v>31439965</v>
      </c>
      <c r="CC182">
        <v>63487882</v>
      </c>
      <c r="CD182">
        <v>59094806</v>
      </c>
      <c r="CE182">
        <v>97169142</v>
      </c>
      <c r="CF182">
        <v>48629147</v>
      </c>
      <c r="CG182">
        <v>43630059</v>
      </c>
      <c r="CH182">
        <v>24946437</v>
      </c>
      <c r="CI182">
        <v>40228764</v>
      </c>
      <c r="CJ182">
        <v>15036446</v>
      </c>
      <c r="CK182">
        <v>40361461</v>
      </c>
      <c r="CL182">
        <v>7495459</v>
      </c>
      <c r="CM182">
        <v>43029095</v>
      </c>
      <c r="CN182">
        <v>4817676</v>
      </c>
      <c r="CO182">
        <v>227726433</v>
      </c>
      <c r="CP182">
        <v>26831997</v>
      </c>
      <c r="CQ182">
        <v>1236212951</v>
      </c>
      <c r="CR182">
        <v>21352060</v>
      </c>
      <c r="CS182">
        <v>8339932</v>
      </c>
      <c r="CT182">
        <v>44989124</v>
      </c>
      <c r="CU182">
        <v>70559489</v>
      </c>
      <c r="CV182">
        <v>41370655</v>
      </c>
      <c r="CW182">
        <v>59213089</v>
      </c>
      <c r="CX182">
        <v>21947266</v>
      </c>
      <c r="CY182">
        <v>14735722</v>
      </c>
    </row>
    <row r="183" spans="1:103" x14ac:dyDescent="0.3">
      <c r="A183">
        <v>985</v>
      </c>
      <c r="B183" t="s">
        <v>669</v>
      </c>
      <c r="D183">
        <v>105308365</v>
      </c>
      <c r="E183">
        <v>22153133</v>
      </c>
      <c r="F183">
        <v>11253691</v>
      </c>
      <c r="G183">
        <v>16073106</v>
      </c>
      <c r="H183">
        <v>21309511</v>
      </c>
      <c r="I183">
        <v>20068000</v>
      </c>
      <c r="J183">
        <v>39187630</v>
      </c>
      <c r="K183">
        <v>12882000</v>
      </c>
      <c r="L183">
        <v>25900173</v>
      </c>
      <c r="M183">
        <v>156581239</v>
      </c>
      <c r="N183">
        <v>240309247</v>
      </c>
      <c r="O183">
        <v>52205000</v>
      </c>
      <c r="P183">
        <v>226563987</v>
      </c>
      <c r="Q183">
        <v>52386380</v>
      </c>
      <c r="R183">
        <v>9156236</v>
      </c>
      <c r="S183">
        <v>55955000</v>
      </c>
      <c r="U183">
        <v>111361000</v>
      </c>
      <c r="V183">
        <v>95827948</v>
      </c>
      <c r="X183">
        <v>12417082</v>
      </c>
      <c r="Y183">
        <v>9130702</v>
      </c>
      <c r="Z183">
        <v>72102793</v>
      </c>
      <c r="AA183">
        <v>33365977</v>
      </c>
      <c r="AB183">
        <v>58878294</v>
      </c>
      <c r="AC183">
        <v>196868595</v>
      </c>
      <c r="AD183">
        <v>37624267</v>
      </c>
      <c r="AE183">
        <v>68987714</v>
      </c>
      <c r="AF183">
        <v>61937637</v>
      </c>
      <c r="AG183">
        <v>57278181</v>
      </c>
      <c r="AH183">
        <v>34608574</v>
      </c>
      <c r="AI183">
        <v>348001335</v>
      </c>
      <c r="AJ183">
        <v>33445000</v>
      </c>
      <c r="AK183">
        <v>297073935</v>
      </c>
      <c r="AL183">
        <v>54464999</v>
      </c>
      <c r="AM183">
        <v>175878938</v>
      </c>
      <c r="AN183">
        <v>8431886</v>
      </c>
      <c r="AP183">
        <v>44313280</v>
      </c>
      <c r="AQ183">
        <v>10047000</v>
      </c>
      <c r="AR183">
        <v>599886435</v>
      </c>
      <c r="AS183">
        <v>30505000</v>
      </c>
      <c r="AT183">
        <v>77645000</v>
      </c>
      <c r="AU183">
        <v>52190681</v>
      </c>
      <c r="AV183">
        <v>95439998</v>
      </c>
      <c r="AW183">
        <v>14609251</v>
      </c>
      <c r="AX183">
        <v>33911560</v>
      </c>
      <c r="AY183">
        <v>8730906</v>
      </c>
      <c r="AZ183">
        <v>155434816</v>
      </c>
      <c r="BA183">
        <v>45950981</v>
      </c>
      <c r="BB183">
        <v>183980000</v>
      </c>
      <c r="BC183">
        <v>8032769</v>
      </c>
      <c r="BD183">
        <v>48726205</v>
      </c>
      <c r="BE183">
        <v>35251318</v>
      </c>
      <c r="BF183">
        <v>77003909</v>
      </c>
      <c r="BG183">
        <v>34343295</v>
      </c>
      <c r="BH183">
        <v>14468927</v>
      </c>
      <c r="BI183">
        <v>16867330</v>
      </c>
      <c r="BJ183">
        <v>27758038</v>
      </c>
      <c r="BK183">
        <v>979187186</v>
      </c>
      <c r="BL183">
        <v>13830828</v>
      </c>
      <c r="BM183">
        <v>21826000</v>
      </c>
      <c r="BN183">
        <v>71362884</v>
      </c>
      <c r="BO183">
        <v>53806093</v>
      </c>
      <c r="BP183">
        <v>206724165</v>
      </c>
      <c r="BQ183">
        <v>22417453</v>
      </c>
      <c r="BR183">
        <v>131562895</v>
      </c>
      <c r="BS183">
        <v>186312613</v>
      </c>
      <c r="BT183">
        <v>12359000</v>
      </c>
      <c r="BU183">
        <v>26628594</v>
      </c>
      <c r="BV183">
        <v>58861400</v>
      </c>
      <c r="BW183">
        <v>9910941</v>
      </c>
      <c r="BX183">
        <v>37840870</v>
      </c>
      <c r="BY183">
        <v>107996751</v>
      </c>
      <c r="BZ183">
        <v>18626835</v>
      </c>
      <c r="CA183">
        <v>78459208</v>
      </c>
      <c r="CB183">
        <v>30262354</v>
      </c>
      <c r="CC183">
        <v>59432111</v>
      </c>
      <c r="CD183">
        <v>56974239</v>
      </c>
      <c r="CE183">
        <v>91215000</v>
      </c>
      <c r="CF183">
        <v>46742187</v>
      </c>
      <c r="CG183">
        <v>42217792</v>
      </c>
      <c r="CH183">
        <v>24917963</v>
      </c>
      <c r="CI183">
        <v>39275150</v>
      </c>
      <c r="CJ183">
        <v>14984312</v>
      </c>
      <c r="CK183">
        <v>38818865</v>
      </c>
      <c r="CL183">
        <v>7214200</v>
      </c>
      <c r="CM183">
        <v>42223962</v>
      </c>
      <c r="CN183">
        <v>4678025</v>
      </c>
      <c r="CO183">
        <v>220731145</v>
      </c>
      <c r="CP183">
        <v>26146426</v>
      </c>
      <c r="CQ183">
        <v>1229258000</v>
      </c>
      <c r="CR183">
        <v>21109207</v>
      </c>
      <c r="CS183">
        <v>8123479</v>
      </c>
      <c r="CT183">
        <v>42719702</v>
      </c>
      <c r="CU183">
        <v>69433634</v>
      </c>
      <c r="CV183">
        <v>40685630</v>
      </c>
      <c r="CW183">
        <v>56270109</v>
      </c>
      <c r="CX183">
        <v>21247975</v>
      </c>
      <c r="CY183">
        <v>14617450</v>
      </c>
    </row>
    <row r="184" spans="1:103" x14ac:dyDescent="0.3">
      <c r="A184">
        <v>986</v>
      </c>
      <c r="B184" t="s">
        <v>407</v>
      </c>
      <c r="D184">
        <v>0</v>
      </c>
      <c r="E184">
        <v>0</v>
      </c>
      <c r="F184">
        <v>0</v>
      </c>
      <c r="G184">
        <v>0</v>
      </c>
      <c r="H184">
        <v>0</v>
      </c>
      <c r="I184">
        <v>0</v>
      </c>
      <c r="J184">
        <v>0</v>
      </c>
      <c r="K184">
        <v>0</v>
      </c>
      <c r="L184">
        <v>0</v>
      </c>
      <c r="M184">
        <v>0</v>
      </c>
      <c r="N184">
        <v>0</v>
      </c>
      <c r="O184">
        <v>0</v>
      </c>
      <c r="P184">
        <v>0</v>
      </c>
      <c r="Q184">
        <v>0</v>
      </c>
      <c r="R184">
        <v>0</v>
      </c>
      <c r="S184">
        <v>0</v>
      </c>
      <c r="U184">
        <v>0</v>
      </c>
      <c r="V184">
        <v>0</v>
      </c>
      <c r="X184">
        <v>0</v>
      </c>
      <c r="Y184">
        <v>0</v>
      </c>
      <c r="Z184">
        <v>0</v>
      </c>
      <c r="AA184">
        <v>0</v>
      </c>
      <c r="AB184">
        <v>0</v>
      </c>
      <c r="AC184">
        <v>0</v>
      </c>
      <c r="AD184">
        <v>0</v>
      </c>
      <c r="AE184">
        <v>0</v>
      </c>
      <c r="AF184">
        <v>884525</v>
      </c>
      <c r="AG184">
        <v>0</v>
      </c>
      <c r="AH184">
        <v>0</v>
      </c>
      <c r="AI184">
        <v>0</v>
      </c>
      <c r="AJ184">
        <v>0</v>
      </c>
      <c r="AK184">
        <v>0</v>
      </c>
      <c r="AL184">
        <v>0</v>
      </c>
      <c r="AM184">
        <v>0</v>
      </c>
      <c r="AN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1093989</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6320</v>
      </c>
      <c r="CY184">
        <v>0</v>
      </c>
    </row>
    <row r="185" spans="1:103" x14ac:dyDescent="0.3">
      <c r="A185">
        <v>987</v>
      </c>
      <c r="B185" t="s">
        <v>670</v>
      </c>
      <c r="D185">
        <v>0</v>
      </c>
      <c r="E185">
        <v>0</v>
      </c>
      <c r="F185">
        <v>0</v>
      </c>
      <c r="G185">
        <v>0</v>
      </c>
      <c r="H185">
        <v>0</v>
      </c>
      <c r="I185">
        <v>0</v>
      </c>
      <c r="J185">
        <v>0</v>
      </c>
      <c r="K185">
        <v>0</v>
      </c>
      <c r="L185">
        <v>0</v>
      </c>
      <c r="M185">
        <v>0</v>
      </c>
      <c r="N185">
        <v>0</v>
      </c>
      <c r="O185">
        <v>0</v>
      </c>
      <c r="P185">
        <v>0</v>
      </c>
      <c r="Q185">
        <v>0</v>
      </c>
      <c r="R185">
        <v>0</v>
      </c>
      <c r="S185">
        <v>0</v>
      </c>
      <c r="U185">
        <v>0</v>
      </c>
      <c r="V185">
        <v>0</v>
      </c>
      <c r="X185">
        <v>0</v>
      </c>
      <c r="Y185">
        <v>0</v>
      </c>
      <c r="Z185">
        <v>0</v>
      </c>
      <c r="AA185">
        <v>0</v>
      </c>
      <c r="AB185">
        <v>0</v>
      </c>
      <c r="AC185">
        <v>0</v>
      </c>
      <c r="AD185">
        <v>0</v>
      </c>
      <c r="AE185">
        <v>0</v>
      </c>
      <c r="AF185">
        <v>0</v>
      </c>
      <c r="AG185">
        <v>0</v>
      </c>
      <c r="AH185">
        <v>0</v>
      </c>
      <c r="AI185">
        <v>0</v>
      </c>
      <c r="AJ185">
        <v>0</v>
      </c>
      <c r="AK185">
        <v>0</v>
      </c>
      <c r="AL185">
        <v>0</v>
      </c>
      <c r="AM185">
        <v>0</v>
      </c>
      <c r="AN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row>
    <row r="186" spans="1:103" x14ac:dyDescent="0.3">
      <c r="A186">
        <v>988</v>
      </c>
      <c r="B186" t="s">
        <v>671</v>
      </c>
      <c r="D186">
        <v>1</v>
      </c>
      <c r="E186">
        <v>2</v>
      </c>
      <c r="F186">
        <v>2</v>
      </c>
      <c r="G186">
        <v>2</v>
      </c>
      <c r="H186">
        <v>2</v>
      </c>
      <c r="I186">
        <v>2</v>
      </c>
      <c r="J186">
        <v>2</v>
      </c>
      <c r="K186">
        <v>2</v>
      </c>
      <c r="L186">
        <v>2</v>
      </c>
      <c r="M186">
        <v>1</v>
      </c>
      <c r="N186">
        <v>2</v>
      </c>
      <c r="O186">
        <v>2</v>
      </c>
      <c r="P186">
        <v>1</v>
      </c>
      <c r="Q186">
        <v>2</v>
      </c>
      <c r="R186">
        <v>2</v>
      </c>
      <c r="S186">
        <v>2</v>
      </c>
      <c r="U186">
        <v>0</v>
      </c>
      <c r="V186">
        <v>2</v>
      </c>
      <c r="X186">
        <v>2</v>
      </c>
      <c r="Y186">
        <v>2</v>
      </c>
      <c r="Z186">
        <v>2</v>
      </c>
      <c r="AA186">
        <v>2</v>
      </c>
      <c r="AB186">
        <v>2</v>
      </c>
      <c r="AC186">
        <v>2</v>
      </c>
      <c r="AD186">
        <v>2</v>
      </c>
      <c r="AE186">
        <v>2</v>
      </c>
      <c r="AF186">
        <v>1</v>
      </c>
      <c r="AG186">
        <v>2</v>
      </c>
      <c r="AH186">
        <v>2</v>
      </c>
      <c r="AI186">
        <v>2</v>
      </c>
      <c r="AJ186">
        <v>2</v>
      </c>
      <c r="AK186">
        <v>2</v>
      </c>
      <c r="AL186">
        <v>2</v>
      </c>
      <c r="AM186">
        <v>2</v>
      </c>
      <c r="AN186">
        <v>2</v>
      </c>
      <c r="AP186">
        <v>2</v>
      </c>
      <c r="AQ186">
        <v>2</v>
      </c>
      <c r="AR186">
        <v>2</v>
      </c>
      <c r="AS186">
        <v>1</v>
      </c>
      <c r="AT186">
        <v>2</v>
      </c>
      <c r="AU186">
        <v>2</v>
      </c>
      <c r="AV186">
        <v>2</v>
      </c>
      <c r="AW186">
        <v>2</v>
      </c>
      <c r="AX186">
        <v>2</v>
      </c>
      <c r="AY186">
        <v>2</v>
      </c>
      <c r="AZ186">
        <v>2</v>
      </c>
      <c r="BA186">
        <v>1</v>
      </c>
      <c r="BB186">
        <v>1</v>
      </c>
      <c r="BC186">
        <v>2</v>
      </c>
      <c r="BD186">
        <v>2</v>
      </c>
      <c r="BE186">
        <v>2</v>
      </c>
      <c r="BF186">
        <v>2</v>
      </c>
      <c r="BG186">
        <v>1</v>
      </c>
      <c r="BH186">
        <v>2</v>
      </c>
      <c r="BI186">
        <v>2</v>
      </c>
      <c r="BJ186">
        <v>2</v>
      </c>
      <c r="BK186">
        <v>2</v>
      </c>
      <c r="BL186">
        <v>2</v>
      </c>
      <c r="BM186">
        <v>2</v>
      </c>
      <c r="BN186">
        <v>2</v>
      </c>
      <c r="BO186">
        <v>2</v>
      </c>
      <c r="BP186">
        <v>2</v>
      </c>
      <c r="BQ186">
        <v>2</v>
      </c>
      <c r="BR186">
        <v>2</v>
      </c>
      <c r="BS186">
        <v>2</v>
      </c>
      <c r="BT186">
        <v>2</v>
      </c>
      <c r="BU186">
        <v>2</v>
      </c>
      <c r="BV186">
        <v>2</v>
      </c>
      <c r="BW186">
        <v>2</v>
      </c>
      <c r="BX186">
        <v>2</v>
      </c>
      <c r="BY186">
        <v>2</v>
      </c>
      <c r="BZ186">
        <v>2</v>
      </c>
      <c r="CA186">
        <v>2</v>
      </c>
      <c r="CB186">
        <v>2</v>
      </c>
      <c r="CC186">
        <v>1</v>
      </c>
      <c r="CD186">
        <v>1</v>
      </c>
      <c r="CE186">
        <v>2</v>
      </c>
      <c r="CF186">
        <v>2</v>
      </c>
      <c r="CG186">
        <v>2</v>
      </c>
      <c r="CH186">
        <v>2</v>
      </c>
      <c r="CI186">
        <v>0</v>
      </c>
      <c r="CJ186">
        <v>2</v>
      </c>
      <c r="CK186">
        <v>2</v>
      </c>
      <c r="CL186">
        <v>2</v>
      </c>
      <c r="CM186">
        <v>1</v>
      </c>
      <c r="CN186">
        <v>2</v>
      </c>
      <c r="CO186">
        <v>2</v>
      </c>
      <c r="CP186">
        <v>2</v>
      </c>
      <c r="CQ186">
        <v>1</v>
      </c>
      <c r="CR186">
        <v>2</v>
      </c>
      <c r="CS186">
        <v>2</v>
      </c>
      <c r="CT186">
        <v>2</v>
      </c>
      <c r="CU186">
        <v>2</v>
      </c>
      <c r="CV186">
        <v>2</v>
      </c>
      <c r="CW186">
        <v>1</v>
      </c>
      <c r="CX186">
        <v>2</v>
      </c>
      <c r="CY186">
        <v>2</v>
      </c>
    </row>
    <row r="187" spans="1:103" x14ac:dyDescent="0.3">
      <c r="A187">
        <v>989</v>
      </c>
      <c r="B187" t="s">
        <v>672</v>
      </c>
      <c r="D187">
        <v>1</v>
      </c>
      <c r="E187">
        <v>3</v>
      </c>
      <c r="F187">
        <v>3</v>
      </c>
      <c r="G187">
        <v>3</v>
      </c>
      <c r="H187">
        <v>0</v>
      </c>
      <c r="I187">
        <v>3</v>
      </c>
      <c r="J187">
        <v>3</v>
      </c>
      <c r="K187">
        <v>3</v>
      </c>
      <c r="L187">
        <v>3</v>
      </c>
      <c r="M187">
        <v>1</v>
      </c>
      <c r="N187">
        <v>3</v>
      </c>
      <c r="O187">
        <v>3</v>
      </c>
      <c r="P187">
        <v>1</v>
      </c>
      <c r="Q187">
        <v>3</v>
      </c>
      <c r="R187">
        <v>3</v>
      </c>
      <c r="S187">
        <v>3</v>
      </c>
      <c r="U187">
        <v>0</v>
      </c>
      <c r="V187">
        <v>3</v>
      </c>
      <c r="X187">
        <v>3</v>
      </c>
      <c r="Y187">
        <v>3</v>
      </c>
      <c r="Z187">
        <v>3</v>
      </c>
      <c r="AA187">
        <v>3</v>
      </c>
      <c r="AB187">
        <v>3</v>
      </c>
      <c r="AC187">
        <v>3</v>
      </c>
      <c r="AD187">
        <v>3</v>
      </c>
      <c r="AE187">
        <v>3</v>
      </c>
      <c r="AF187">
        <v>1</v>
      </c>
      <c r="AG187">
        <v>3</v>
      </c>
      <c r="AH187">
        <v>3</v>
      </c>
      <c r="AI187">
        <v>3</v>
      </c>
      <c r="AJ187">
        <v>3</v>
      </c>
      <c r="AK187">
        <v>3</v>
      </c>
      <c r="AL187">
        <v>3</v>
      </c>
      <c r="AM187">
        <v>3</v>
      </c>
      <c r="AN187">
        <v>3</v>
      </c>
      <c r="AP187">
        <v>3</v>
      </c>
      <c r="AQ187">
        <v>3</v>
      </c>
      <c r="AR187">
        <v>3</v>
      </c>
      <c r="AS187">
        <v>1</v>
      </c>
      <c r="AT187">
        <v>3</v>
      </c>
      <c r="AU187">
        <v>3</v>
      </c>
      <c r="AV187">
        <v>3</v>
      </c>
      <c r="AW187">
        <v>3</v>
      </c>
      <c r="AX187">
        <v>3</v>
      </c>
      <c r="AY187">
        <v>3</v>
      </c>
      <c r="AZ187">
        <v>3</v>
      </c>
      <c r="BA187">
        <v>1</v>
      </c>
      <c r="BB187">
        <v>1</v>
      </c>
      <c r="BC187">
        <v>3</v>
      </c>
      <c r="BD187">
        <v>3</v>
      </c>
      <c r="BE187">
        <v>0</v>
      </c>
      <c r="BF187">
        <v>3</v>
      </c>
      <c r="BG187">
        <v>1</v>
      </c>
      <c r="BH187">
        <v>0</v>
      </c>
      <c r="BI187">
        <v>3</v>
      </c>
      <c r="BJ187">
        <v>3</v>
      </c>
      <c r="BK187">
        <v>3</v>
      </c>
      <c r="BL187">
        <v>3</v>
      </c>
      <c r="BM187">
        <v>3</v>
      </c>
      <c r="BN187">
        <v>3</v>
      </c>
      <c r="BO187">
        <v>3</v>
      </c>
      <c r="BP187">
        <v>3</v>
      </c>
      <c r="BQ187">
        <v>3</v>
      </c>
      <c r="BR187">
        <v>3</v>
      </c>
      <c r="BS187">
        <v>3</v>
      </c>
      <c r="BT187">
        <v>3</v>
      </c>
      <c r="BU187">
        <v>3</v>
      </c>
      <c r="BV187">
        <v>3</v>
      </c>
      <c r="BW187">
        <v>3</v>
      </c>
      <c r="BX187">
        <v>3</v>
      </c>
      <c r="BY187">
        <v>3</v>
      </c>
      <c r="BZ187">
        <v>3</v>
      </c>
      <c r="CA187">
        <v>3</v>
      </c>
      <c r="CB187">
        <v>3</v>
      </c>
      <c r="CC187">
        <v>1</v>
      </c>
      <c r="CD187">
        <v>1</v>
      </c>
      <c r="CE187">
        <v>3</v>
      </c>
      <c r="CF187">
        <v>3</v>
      </c>
      <c r="CG187">
        <v>3</v>
      </c>
      <c r="CH187">
        <v>3</v>
      </c>
      <c r="CI187">
        <v>0</v>
      </c>
      <c r="CJ187">
        <v>3</v>
      </c>
      <c r="CK187">
        <v>3</v>
      </c>
      <c r="CL187">
        <v>3</v>
      </c>
      <c r="CM187">
        <v>1</v>
      </c>
      <c r="CN187">
        <v>3</v>
      </c>
      <c r="CO187">
        <v>3</v>
      </c>
      <c r="CP187">
        <v>3</v>
      </c>
      <c r="CQ187">
        <v>1</v>
      </c>
      <c r="CR187">
        <v>3</v>
      </c>
      <c r="CS187">
        <v>3</v>
      </c>
      <c r="CT187">
        <v>3</v>
      </c>
      <c r="CU187">
        <v>3</v>
      </c>
      <c r="CV187">
        <v>2</v>
      </c>
      <c r="CW187">
        <v>1</v>
      </c>
      <c r="CX187">
        <v>3</v>
      </c>
      <c r="CY187">
        <v>3</v>
      </c>
    </row>
    <row r="188" spans="1:103" x14ac:dyDescent="0.3">
      <c r="A188">
        <v>991</v>
      </c>
      <c r="B188" t="s">
        <v>673</v>
      </c>
      <c r="D188">
        <v>20</v>
      </c>
      <c r="E188">
        <v>23</v>
      </c>
      <c r="F188">
        <v>23</v>
      </c>
      <c r="G188">
        <v>23</v>
      </c>
      <c r="H188">
        <v>20</v>
      </c>
      <c r="I188">
        <v>23</v>
      </c>
      <c r="J188">
        <v>23</v>
      </c>
      <c r="K188">
        <v>23</v>
      </c>
      <c r="L188">
        <v>23</v>
      </c>
      <c r="M188">
        <v>20</v>
      </c>
      <c r="N188">
        <v>23</v>
      </c>
      <c r="O188">
        <v>20</v>
      </c>
      <c r="P188">
        <v>23</v>
      </c>
      <c r="Q188">
        <v>23</v>
      </c>
      <c r="R188">
        <v>22</v>
      </c>
      <c r="S188">
        <v>23</v>
      </c>
      <c r="U188">
        <v>20</v>
      </c>
      <c r="V188">
        <v>23</v>
      </c>
      <c r="X188">
        <v>23</v>
      </c>
      <c r="Y188">
        <v>23</v>
      </c>
      <c r="Z188">
        <v>23</v>
      </c>
      <c r="AA188">
        <v>23</v>
      </c>
      <c r="AB188">
        <v>20</v>
      </c>
      <c r="AC188">
        <v>23</v>
      </c>
      <c r="AD188">
        <v>23</v>
      </c>
      <c r="AE188">
        <v>23</v>
      </c>
      <c r="AF188">
        <v>23</v>
      </c>
      <c r="AG188">
        <v>23</v>
      </c>
      <c r="AH188">
        <v>23</v>
      </c>
      <c r="AI188">
        <v>23</v>
      </c>
      <c r="AJ188">
        <v>0</v>
      </c>
      <c r="AK188">
        <v>23</v>
      </c>
      <c r="AL188">
        <v>23</v>
      </c>
      <c r="AM188">
        <v>20</v>
      </c>
      <c r="AN188">
        <v>23</v>
      </c>
      <c r="AP188">
        <v>23</v>
      </c>
      <c r="AQ188">
        <v>23</v>
      </c>
      <c r="AR188">
        <v>0</v>
      </c>
      <c r="AS188">
        <v>23</v>
      </c>
      <c r="AT188">
        <v>23</v>
      </c>
      <c r="AU188">
        <v>23</v>
      </c>
      <c r="AV188">
        <v>23</v>
      </c>
      <c r="AW188">
        <v>23</v>
      </c>
      <c r="AX188">
        <v>23</v>
      </c>
      <c r="AY188">
        <v>20</v>
      </c>
      <c r="AZ188">
        <v>20</v>
      </c>
      <c r="BA188">
        <v>23</v>
      </c>
      <c r="BB188">
        <v>23</v>
      </c>
      <c r="BC188">
        <v>23</v>
      </c>
      <c r="BD188">
        <v>20</v>
      </c>
      <c r="BE188">
        <v>23</v>
      </c>
      <c r="BF188">
        <v>20</v>
      </c>
      <c r="BG188">
        <v>20</v>
      </c>
      <c r="BH188">
        <v>23</v>
      </c>
      <c r="BI188">
        <v>23</v>
      </c>
      <c r="BJ188">
        <v>20</v>
      </c>
      <c r="BK188">
        <v>20</v>
      </c>
      <c r="BL188">
        <v>23</v>
      </c>
      <c r="BM188">
        <v>23</v>
      </c>
      <c r="BN188">
        <v>20</v>
      </c>
      <c r="BO188">
        <v>23</v>
      </c>
      <c r="BP188">
        <v>0</v>
      </c>
      <c r="BQ188">
        <v>20</v>
      </c>
      <c r="BR188">
        <v>0</v>
      </c>
      <c r="BS188">
        <v>23</v>
      </c>
      <c r="BT188">
        <v>23</v>
      </c>
      <c r="BU188">
        <v>23</v>
      </c>
      <c r="BV188">
        <v>23</v>
      </c>
      <c r="BW188">
        <v>23</v>
      </c>
      <c r="BX188">
        <v>23</v>
      </c>
      <c r="BY188">
        <v>23</v>
      </c>
      <c r="BZ188">
        <v>23</v>
      </c>
      <c r="CA188">
        <v>20</v>
      </c>
      <c r="CB188">
        <v>23</v>
      </c>
      <c r="CC188">
        <v>23</v>
      </c>
      <c r="CD188">
        <v>20</v>
      </c>
      <c r="CE188">
        <v>20</v>
      </c>
      <c r="CF188">
        <v>20</v>
      </c>
      <c r="CG188">
        <v>23</v>
      </c>
      <c r="CH188">
        <v>23</v>
      </c>
      <c r="CI188">
        <v>23</v>
      </c>
      <c r="CJ188">
        <v>23</v>
      </c>
      <c r="CK188">
        <v>23</v>
      </c>
      <c r="CL188">
        <v>23</v>
      </c>
      <c r="CM188">
        <v>23</v>
      </c>
      <c r="CN188">
        <v>22</v>
      </c>
      <c r="CO188">
        <v>23</v>
      </c>
      <c r="CP188">
        <v>23</v>
      </c>
      <c r="CQ188">
        <v>0</v>
      </c>
      <c r="CR188">
        <v>23</v>
      </c>
      <c r="CS188">
        <v>23</v>
      </c>
      <c r="CT188">
        <v>23</v>
      </c>
      <c r="CU188">
        <v>22</v>
      </c>
      <c r="CV188">
        <v>20</v>
      </c>
      <c r="CW188">
        <v>23</v>
      </c>
      <c r="CX188">
        <v>20</v>
      </c>
      <c r="CY188">
        <v>23</v>
      </c>
    </row>
    <row r="189" spans="1:103" x14ac:dyDescent="0.3">
      <c r="A189">
        <v>995</v>
      </c>
      <c r="B189" t="s">
        <v>231</v>
      </c>
      <c r="D189">
        <v>0</v>
      </c>
      <c r="E189">
        <v>0</v>
      </c>
      <c r="F189">
        <v>0</v>
      </c>
      <c r="G189">
        <v>0</v>
      </c>
      <c r="H189">
        <v>0</v>
      </c>
      <c r="I189">
        <v>0</v>
      </c>
      <c r="J189">
        <v>0</v>
      </c>
      <c r="K189">
        <v>0</v>
      </c>
      <c r="L189">
        <v>0</v>
      </c>
      <c r="M189">
        <v>0</v>
      </c>
      <c r="N189">
        <v>0</v>
      </c>
      <c r="O189">
        <v>0</v>
      </c>
      <c r="P189">
        <v>0</v>
      </c>
      <c r="Q189">
        <v>0</v>
      </c>
      <c r="R189">
        <v>0</v>
      </c>
      <c r="S189">
        <v>0</v>
      </c>
      <c r="U189">
        <v>0</v>
      </c>
      <c r="V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CV189">
        <v>0</v>
      </c>
      <c r="CW189">
        <v>0</v>
      </c>
      <c r="CX189">
        <v>0</v>
      </c>
      <c r="CY189">
        <v>0</v>
      </c>
    </row>
    <row r="190" spans="1:103" x14ac:dyDescent="0.3">
      <c r="A190">
        <v>996</v>
      </c>
      <c r="B190" t="s">
        <v>232</v>
      </c>
      <c r="D190">
        <v>0</v>
      </c>
      <c r="E190">
        <v>0.01</v>
      </c>
      <c r="F190">
        <v>0</v>
      </c>
      <c r="G190">
        <v>0.01</v>
      </c>
      <c r="H190">
        <v>0</v>
      </c>
      <c r="I190">
        <v>0</v>
      </c>
      <c r="J190">
        <v>0.01</v>
      </c>
      <c r="K190">
        <v>0.01</v>
      </c>
      <c r="L190">
        <v>0.01</v>
      </c>
      <c r="M190">
        <v>0.01</v>
      </c>
      <c r="N190">
        <v>0</v>
      </c>
      <c r="O190">
        <v>0.01</v>
      </c>
      <c r="P190">
        <v>0</v>
      </c>
      <c r="Q190">
        <v>0.01</v>
      </c>
      <c r="R190">
        <v>0.01</v>
      </c>
      <c r="S190">
        <v>0.01</v>
      </c>
      <c r="T190">
        <v>0</v>
      </c>
      <c r="U190">
        <v>0</v>
      </c>
      <c r="V190">
        <v>0.01</v>
      </c>
      <c r="W190">
        <v>0</v>
      </c>
      <c r="X190">
        <v>0.01</v>
      </c>
      <c r="Y190">
        <v>0.01</v>
      </c>
      <c r="Z190">
        <v>0</v>
      </c>
      <c r="AA190">
        <v>0.01</v>
      </c>
      <c r="AB190">
        <v>0.01</v>
      </c>
      <c r="AC190">
        <v>0.01</v>
      </c>
      <c r="AD190">
        <v>0.01</v>
      </c>
      <c r="AE190">
        <v>0.01</v>
      </c>
      <c r="AF190">
        <v>0.01</v>
      </c>
      <c r="AG190">
        <v>0.01</v>
      </c>
      <c r="AH190">
        <v>0.01</v>
      </c>
      <c r="AI190">
        <v>0.01</v>
      </c>
      <c r="AJ190">
        <v>0.01</v>
      </c>
      <c r="AK190">
        <v>0</v>
      </c>
      <c r="AL190">
        <v>0.01</v>
      </c>
      <c r="AM190">
        <v>0</v>
      </c>
      <c r="AN190">
        <v>0.01</v>
      </c>
      <c r="AO190">
        <v>0</v>
      </c>
      <c r="AP190">
        <v>0</v>
      </c>
      <c r="AQ190">
        <v>0.01</v>
      </c>
      <c r="AR190">
        <v>0</v>
      </c>
      <c r="AS190">
        <v>0.01</v>
      </c>
      <c r="AT190">
        <v>0.01</v>
      </c>
      <c r="AU190">
        <v>0</v>
      </c>
      <c r="AV190">
        <v>0.01</v>
      </c>
      <c r="AW190">
        <v>0.01</v>
      </c>
      <c r="AX190">
        <v>0.01</v>
      </c>
      <c r="AY190">
        <v>0.01</v>
      </c>
      <c r="AZ190">
        <v>0</v>
      </c>
      <c r="BA190">
        <v>0</v>
      </c>
      <c r="BB190">
        <v>0.01</v>
      </c>
      <c r="BC190">
        <v>0.01</v>
      </c>
      <c r="BD190">
        <v>0</v>
      </c>
      <c r="BE190">
        <v>0</v>
      </c>
      <c r="BF190">
        <v>0.01</v>
      </c>
      <c r="BG190">
        <v>0</v>
      </c>
      <c r="BH190">
        <v>0</v>
      </c>
      <c r="BI190">
        <v>0.01</v>
      </c>
      <c r="BJ190">
        <v>0.01</v>
      </c>
      <c r="BK190">
        <v>0</v>
      </c>
      <c r="BL190">
        <v>0</v>
      </c>
      <c r="BM190">
        <v>0.01</v>
      </c>
      <c r="BN190">
        <v>0.01</v>
      </c>
      <c r="BO190">
        <v>0.01</v>
      </c>
      <c r="BP190">
        <v>0</v>
      </c>
      <c r="BQ190">
        <v>0.01</v>
      </c>
      <c r="BR190">
        <v>0</v>
      </c>
      <c r="BS190">
        <v>0</v>
      </c>
      <c r="BT190">
        <v>0.01</v>
      </c>
      <c r="BU190">
        <v>0.01</v>
      </c>
      <c r="BV190">
        <v>0.01</v>
      </c>
      <c r="BW190">
        <v>0.01</v>
      </c>
      <c r="BX190">
        <v>0</v>
      </c>
      <c r="BY190">
        <v>0</v>
      </c>
      <c r="BZ190">
        <v>0</v>
      </c>
      <c r="CA190">
        <v>0</v>
      </c>
      <c r="CB190">
        <v>0.01</v>
      </c>
      <c r="CC190">
        <v>0.01</v>
      </c>
      <c r="CD190">
        <v>0.01</v>
      </c>
      <c r="CE190">
        <v>0.01</v>
      </c>
      <c r="CF190">
        <v>0</v>
      </c>
      <c r="CG190">
        <v>0.01</v>
      </c>
      <c r="CH190">
        <v>0.01</v>
      </c>
      <c r="CI190">
        <v>0.01</v>
      </c>
      <c r="CJ190">
        <v>0.01</v>
      </c>
      <c r="CK190">
        <v>0.01</v>
      </c>
      <c r="CL190">
        <v>0</v>
      </c>
      <c r="CM190">
        <v>0</v>
      </c>
      <c r="CN190">
        <v>0.01</v>
      </c>
      <c r="CO190">
        <v>0.01</v>
      </c>
      <c r="CP190">
        <v>0.01</v>
      </c>
      <c r="CQ190">
        <v>0</v>
      </c>
      <c r="CR190">
        <v>0.01</v>
      </c>
      <c r="CS190">
        <v>0.01</v>
      </c>
      <c r="CT190">
        <v>0</v>
      </c>
      <c r="CU190">
        <v>0.01</v>
      </c>
      <c r="CV190">
        <v>0</v>
      </c>
      <c r="CW190">
        <v>0.01</v>
      </c>
      <c r="CX190">
        <v>0.01</v>
      </c>
      <c r="CY190">
        <v>0</v>
      </c>
    </row>
    <row r="191" spans="1:103" x14ac:dyDescent="0.3">
      <c r="A191">
        <v>998</v>
      </c>
      <c r="B191" t="s">
        <v>233</v>
      </c>
      <c r="D191">
        <v>51</v>
      </c>
      <c r="E191">
        <v>51</v>
      </c>
      <c r="F191">
        <v>51</v>
      </c>
      <c r="G191">
        <v>51</v>
      </c>
      <c r="H191">
        <v>51</v>
      </c>
      <c r="I191">
        <v>51</v>
      </c>
      <c r="J191">
        <v>51</v>
      </c>
      <c r="K191">
        <v>51</v>
      </c>
      <c r="L191">
        <v>51</v>
      </c>
      <c r="M191">
        <v>51</v>
      </c>
      <c r="N191">
        <v>51</v>
      </c>
      <c r="O191">
        <v>51</v>
      </c>
      <c r="P191">
        <v>51</v>
      </c>
      <c r="Q191">
        <v>51</v>
      </c>
      <c r="R191">
        <v>51</v>
      </c>
      <c r="S191">
        <v>51</v>
      </c>
      <c r="T191">
        <v>51</v>
      </c>
      <c r="U191">
        <v>51</v>
      </c>
      <c r="V191">
        <v>51</v>
      </c>
      <c r="W191">
        <v>51</v>
      </c>
      <c r="X191">
        <v>51</v>
      </c>
      <c r="Y191">
        <v>51</v>
      </c>
      <c r="Z191">
        <v>51</v>
      </c>
      <c r="AA191">
        <v>51</v>
      </c>
      <c r="AB191">
        <v>51</v>
      </c>
      <c r="AC191">
        <v>51</v>
      </c>
      <c r="AD191">
        <v>51</v>
      </c>
      <c r="AE191">
        <v>51</v>
      </c>
      <c r="AF191">
        <v>51</v>
      </c>
      <c r="AG191">
        <v>51</v>
      </c>
      <c r="AH191">
        <v>51</v>
      </c>
      <c r="AI191">
        <v>51</v>
      </c>
      <c r="AJ191">
        <v>51</v>
      </c>
      <c r="AK191">
        <v>51</v>
      </c>
      <c r="AL191">
        <v>51</v>
      </c>
      <c r="AM191">
        <v>51</v>
      </c>
      <c r="AN191">
        <v>51</v>
      </c>
      <c r="AO191">
        <v>51</v>
      </c>
      <c r="AP191">
        <v>51</v>
      </c>
      <c r="AQ191">
        <v>51</v>
      </c>
      <c r="AR191">
        <v>51</v>
      </c>
      <c r="AS191">
        <v>51</v>
      </c>
      <c r="AT191">
        <v>51</v>
      </c>
      <c r="AU191">
        <v>51</v>
      </c>
      <c r="AV191">
        <v>51</v>
      </c>
      <c r="AW191">
        <v>51</v>
      </c>
      <c r="AX191">
        <v>51</v>
      </c>
      <c r="AY191">
        <v>51</v>
      </c>
      <c r="AZ191">
        <v>51</v>
      </c>
      <c r="BA191">
        <v>51</v>
      </c>
      <c r="BB191">
        <v>51</v>
      </c>
      <c r="BC191">
        <v>51</v>
      </c>
      <c r="BD191">
        <v>51</v>
      </c>
      <c r="BE191">
        <v>51</v>
      </c>
      <c r="BF191">
        <v>51</v>
      </c>
      <c r="BG191">
        <v>51</v>
      </c>
      <c r="BH191">
        <v>51</v>
      </c>
      <c r="BI191">
        <v>51</v>
      </c>
      <c r="BJ191">
        <v>51</v>
      </c>
      <c r="BK191">
        <v>51</v>
      </c>
      <c r="BL191">
        <v>51</v>
      </c>
      <c r="BM191">
        <v>51</v>
      </c>
      <c r="BN191">
        <v>51</v>
      </c>
      <c r="BO191">
        <v>51</v>
      </c>
      <c r="BP191">
        <v>51</v>
      </c>
      <c r="BQ191">
        <v>51</v>
      </c>
      <c r="BR191">
        <v>51</v>
      </c>
      <c r="BS191">
        <v>51</v>
      </c>
      <c r="BT191">
        <v>51</v>
      </c>
      <c r="BU191">
        <v>51</v>
      </c>
      <c r="BV191">
        <v>51</v>
      </c>
      <c r="BW191">
        <v>51</v>
      </c>
      <c r="BX191">
        <v>51</v>
      </c>
      <c r="BY191">
        <v>51</v>
      </c>
      <c r="BZ191">
        <v>51</v>
      </c>
      <c r="CA191">
        <v>51</v>
      </c>
      <c r="CB191">
        <v>51</v>
      </c>
      <c r="CC191">
        <v>51</v>
      </c>
      <c r="CD191">
        <v>51</v>
      </c>
      <c r="CE191">
        <v>51</v>
      </c>
      <c r="CF191">
        <v>51</v>
      </c>
      <c r="CG191">
        <v>51</v>
      </c>
      <c r="CH191">
        <v>51</v>
      </c>
      <c r="CI191">
        <v>51</v>
      </c>
      <c r="CJ191">
        <v>51</v>
      </c>
      <c r="CK191">
        <v>51</v>
      </c>
      <c r="CL191">
        <v>51</v>
      </c>
      <c r="CM191">
        <v>51</v>
      </c>
      <c r="CN191">
        <v>51</v>
      </c>
      <c r="CO191">
        <v>51</v>
      </c>
      <c r="CP191">
        <v>51</v>
      </c>
      <c r="CQ191">
        <v>51</v>
      </c>
      <c r="CR191">
        <v>51</v>
      </c>
      <c r="CS191">
        <v>51</v>
      </c>
      <c r="CT191">
        <v>51</v>
      </c>
      <c r="CU191">
        <v>51</v>
      </c>
      <c r="CV191">
        <v>51</v>
      </c>
      <c r="CW191">
        <v>51</v>
      </c>
      <c r="CX191">
        <v>51</v>
      </c>
      <c r="CY191">
        <v>51</v>
      </c>
    </row>
    <row r="192" spans="1:103" x14ac:dyDescent="0.3">
      <c r="A192">
        <v>999</v>
      </c>
      <c r="B192" t="s">
        <v>234</v>
      </c>
      <c r="D192">
        <v>5100</v>
      </c>
      <c r="E192">
        <v>5101</v>
      </c>
      <c r="F192">
        <v>5102</v>
      </c>
      <c r="G192">
        <v>5103</v>
      </c>
      <c r="H192">
        <v>5104</v>
      </c>
      <c r="I192">
        <v>5105</v>
      </c>
      <c r="J192">
        <v>5106</v>
      </c>
      <c r="K192">
        <v>5107</v>
      </c>
      <c r="L192">
        <v>5108</v>
      </c>
      <c r="M192">
        <v>5109</v>
      </c>
      <c r="N192">
        <v>5110</v>
      </c>
      <c r="O192">
        <v>5111</v>
      </c>
      <c r="P192">
        <v>5112</v>
      </c>
      <c r="Q192">
        <v>5113</v>
      </c>
      <c r="R192">
        <v>5114</v>
      </c>
      <c r="S192">
        <v>5115</v>
      </c>
      <c r="T192">
        <v>5116</v>
      </c>
      <c r="U192">
        <v>5117</v>
      </c>
      <c r="V192">
        <v>5118</v>
      </c>
      <c r="W192">
        <v>5119</v>
      </c>
      <c r="X192">
        <v>5120</v>
      </c>
      <c r="Y192">
        <v>5121</v>
      </c>
      <c r="Z192">
        <v>5122</v>
      </c>
      <c r="AA192">
        <v>5123</v>
      </c>
      <c r="AB192">
        <v>5124</v>
      </c>
      <c r="AC192">
        <v>5125</v>
      </c>
      <c r="AD192">
        <v>5126</v>
      </c>
      <c r="AE192">
        <v>5127</v>
      </c>
      <c r="AF192">
        <v>5128</v>
      </c>
      <c r="AG192">
        <v>5129</v>
      </c>
      <c r="AH192">
        <v>5130</v>
      </c>
      <c r="AI192">
        <v>5131</v>
      </c>
      <c r="AJ192">
        <v>5132</v>
      </c>
      <c r="AK192">
        <v>5133</v>
      </c>
      <c r="AL192">
        <v>5134</v>
      </c>
      <c r="AM192">
        <v>5135</v>
      </c>
      <c r="AN192">
        <v>5136</v>
      </c>
      <c r="AO192">
        <v>5137</v>
      </c>
      <c r="AP192">
        <v>5138</v>
      </c>
      <c r="AQ192">
        <v>5139</v>
      </c>
      <c r="AR192">
        <v>5140</v>
      </c>
      <c r="AS192">
        <v>5141</v>
      </c>
      <c r="AT192">
        <v>5142</v>
      </c>
      <c r="AU192">
        <v>5143</v>
      </c>
      <c r="AV192">
        <v>5144</v>
      </c>
      <c r="AW192">
        <v>5145</v>
      </c>
      <c r="AX192">
        <v>5146</v>
      </c>
      <c r="AY192">
        <v>5147</v>
      </c>
      <c r="AZ192">
        <v>5148</v>
      </c>
      <c r="BA192">
        <v>5149</v>
      </c>
      <c r="BB192">
        <v>5150</v>
      </c>
      <c r="BC192">
        <v>5151</v>
      </c>
      <c r="BD192">
        <v>5152</v>
      </c>
      <c r="BE192">
        <v>5153</v>
      </c>
      <c r="BF192">
        <v>5154</v>
      </c>
      <c r="BG192">
        <v>5155</v>
      </c>
      <c r="BH192">
        <v>5156</v>
      </c>
      <c r="BI192">
        <v>5157</v>
      </c>
      <c r="BJ192">
        <v>5158</v>
      </c>
      <c r="BK192">
        <v>5159</v>
      </c>
      <c r="BL192">
        <v>5160</v>
      </c>
      <c r="BM192">
        <v>5161</v>
      </c>
      <c r="BN192">
        <v>5162</v>
      </c>
      <c r="BO192">
        <v>5163</v>
      </c>
      <c r="BP192">
        <v>5164</v>
      </c>
      <c r="BQ192">
        <v>5165</v>
      </c>
      <c r="BR192">
        <v>5166</v>
      </c>
      <c r="BS192">
        <v>5167</v>
      </c>
      <c r="BT192">
        <v>5168</v>
      </c>
      <c r="BU192">
        <v>5169</v>
      </c>
      <c r="BV192">
        <v>5170</v>
      </c>
      <c r="BW192">
        <v>5171</v>
      </c>
      <c r="BX192">
        <v>5172</v>
      </c>
      <c r="BY192">
        <v>5173</v>
      </c>
      <c r="BZ192">
        <v>5174</v>
      </c>
      <c r="CA192">
        <v>5175</v>
      </c>
      <c r="CB192">
        <v>5176</v>
      </c>
      <c r="CC192">
        <v>5177</v>
      </c>
      <c r="CD192">
        <v>5178</v>
      </c>
      <c r="CE192">
        <v>5179</v>
      </c>
      <c r="CF192">
        <v>5180</v>
      </c>
      <c r="CG192">
        <v>5181</v>
      </c>
      <c r="CH192">
        <v>5182</v>
      </c>
      <c r="CI192">
        <v>5183</v>
      </c>
      <c r="CJ192">
        <v>5184</v>
      </c>
      <c r="CK192">
        <v>5185</v>
      </c>
      <c r="CL192">
        <v>5186</v>
      </c>
      <c r="CM192">
        <v>5187</v>
      </c>
      <c r="CN192">
        <v>5188</v>
      </c>
      <c r="CO192">
        <v>5189</v>
      </c>
      <c r="CP192">
        <v>5190</v>
      </c>
      <c r="CQ192">
        <v>5191</v>
      </c>
      <c r="CR192">
        <v>5192</v>
      </c>
      <c r="CS192">
        <v>5193</v>
      </c>
      <c r="CT192">
        <v>5194</v>
      </c>
      <c r="CU192">
        <v>5195</v>
      </c>
      <c r="CV192">
        <v>5196</v>
      </c>
      <c r="CW192">
        <v>5197</v>
      </c>
      <c r="CX192">
        <v>5198</v>
      </c>
      <c r="CY192">
        <v>5199</v>
      </c>
    </row>
    <row r="193" spans="1:103" x14ac:dyDescent="0.3">
      <c r="A193">
        <v>1052</v>
      </c>
      <c r="B193" t="s">
        <v>1574</v>
      </c>
      <c r="D193">
        <v>0</v>
      </c>
      <c r="E193">
        <v>0</v>
      </c>
      <c r="F193">
        <v>0</v>
      </c>
      <c r="G193">
        <v>0</v>
      </c>
      <c r="H193">
        <v>0</v>
      </c>
      <c r="I193">
        <v>0</v>
      </c>
      <c r="J193">
        <v>0</v>
      </c>
      <c r="K193">
        <v>0</v>
      </c>
      <c r="L193">
        <v>0</v>
      </c>
      <c r="M193">
        <v>0</v>
      </c>
      <c r="N193">
        <v>0</v>
      </c>
      <c r="O193">
        <v>0</v>
      </c>
      <c r="P193">
        <v>0</v>
      </c>
      <c r="Q193">
        <v>0</v>
      </c>
      <c r="R193">
        <v>0</v>
      </c>
      <c r="S193">
        <v>0</v>
      </c>
      <c r="U193">
        <v>0</v>
      </c>
      <c r="V193">
        <v>0</v>
      </c>
      <c r="X193">
        <v>0</v>
      </c>
      <c r="Y193">
        <v>0</v>
      </c>
      <c r="Z193">
        <v>0</v>
      </c>
      <c r="AA193">
        <v>0</v>
      </c>
      <c r="AB193">
        <v>0</v>
      </c>
      <c r="AC193">
        <v>0</v>
      </c>
      <c r="AD193">
        <v>-864061</v>
      </c>
      <c r="AE193">
        <v>-324468</v>
      </c>
      <c r="AF193">
        <v>0</v>
      </c>
      <c r="AG193">
        <v>0</v>
      </c>
      <c r="AH193">
        <v>0</v>
      </c>
      <c r="AI193">
        <v>0</v>
      </c>
      <c r="AJ193">
        <v>0</v>
      </c>
      <c r="AK193">
        <v>-551146</v>
      </c>
      <c r="AL193">
        <v>0</v>
      </c>
      <c r="AM193">
        <v>-563641</v>
      </c>
      <c r="AN193">
        <v>0</v>
      </c>
      <c r="AP193">
        <v>0</v>
      </c>
      <c r="AQ193">
        <v>0</v>
      </c>
      <c r="AR193">
        <v>-864741</v>
      </c>
      <c r="AS193">
        <v>0</v>
      </c>
      <c r="AT193">
        <v>0</v>
      </c>
      <c r="AU193">
        <v>0</v>
      </c>
      <c r="AV193">
        <v>-392163</v>
      </c>
      <c r="AW193">
        <v>0</v>
      </c>
      <c r="AX193">
        <v>0</v>
      </c>
      <c r="AY193">
        <v>0</v>
      </c>
      <c r="AZ193">
        <v>-3684</v>
      </c>
      <c r="BA193">
        <v>0</v>
      </c>
      <c r="BB193">
        <v>0</v>
      </c>
      <c r="BC193">
        <v>0</v>
      </c>
      <c r="BD193">
        <v>0</v>
      </c>
      <c r="BE193">
        <v>0</v>
      </c>
      <c r="BF193">
        <v>0</v>
      </c>
      <c r="BG193">
        <v>0</v>
      </c>
      <c r="BH193">
        <v>0</v>
      </c>
      <c r="BI193">
        <v>0</v>
      </c>
      <c r="BJ193">
        <v>0</v>
      </c>
      <c r="BK193">
        <v>-25164232</v>
      </c>
      <c r="BL193">
        <v>0</v>
      </c>
      <c r="BM193">
        <v>0</v>
      </c>
      <c r="BN193">
        <v>0</v>
      </c>
      <c r="BO193">
        <v>0</v>
      </c>
      <c r="BP193">
        <v>-9226715</v>
      </c>
      <c r="BQ193">
        <v>0</v>
      </c>
      <c r="BR193">
        <v>0</v>
      </c>
      <c r="BS193">
        <v>0</v>
      </c>
      <c r="BT193">
        <v>0</v>
      </c>
      <c r="BU193">
        <v>0</v>
      </c>
      <c r="BV193">
        <v>0</v>
      </c>
      <c r="BW193">
        <v>0</v>
      </c>
      <c r="BX193">
        <v>0</v>
      </c>
      <c r="BY193">
        <v>0</v>
      </c>
      <c r="BZ193">
        <v>0</v>
      </c>
      <c r="CA193">
        <v>0</v>
      </c>
      <c r="CB193">
        <v>0</v>
      </c>
      <c r="CC193">
        <v>0</v>
      </c>
      <c r="CD193">
        <v>-600586</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row>
    <row r="194" spans="1:103" x14ac:dyDescent="0.3">
      <c r="A194">
        <v>1053</v>
      </c>
      <c r="B194" t="s">
        <v>779</v>
      </c>
      <c r="D194">
        <v>0</v>
      </c>
      <c r="E194">
        <v>0</v>
      </c>
      <c r="F194">
        <v>0</v>
      </c>
      <c r="G194">
        <v>0</v>
      </c>
      <c r="H194">
        <v>0</v>
      </c>
      <c r="I194">
        <v>0</v>
      </c>
      <c r="J194">
        <v>0</v>
      </c>
      <c r="K194">
        <v>0</v>
      </c>
      <c r="L194">
        <v>0</v>
      </c>
      <c r="M194">
        <v>0</v>
      </c>
      <c r="N194">
        <v>0</v>
      </c>
      <c r="O194">
        <v>0</v>
      </c>
      <c r="P194">
        <v>0</v>
      </c>
      <c r="Q194">
        <v>0</v>
      </c>
      <c r="R194">
        <v>0</v>
      </c>
      <c r="S194">
        <v>0</v>
      </c>
      <c r="U194">
        <v>0</v>
      </c>
      <c r="V194">
        <v>0</v>
      </c>
      <c r="X194">
        <v>0</v>
      </c>
      <c r="Y194">
        <v>0</v>
      </c>
      <c r="Z194">
        <v>0</v>
      </c>
      <c r="AA194">
        <v>0</v>
      </c>
      <c r="AB194">
        <v>0</v>
      </c>
      <c r="AC194">
        <v>0</v>
      </c>
      <c r="AD194">
        <v>-603091</v>
      </c>
      <c r="AE194">
        <v>-97104</v>
      </c>
      <c r="AF194">
        <v>0</v>
      </c>
      <c r="AG194">
        <v>0</v>
      </c>
      <c r="AH194">
        <v>0</v>
      </c>
      <c r="AI194">
        <v>0</v>
      </c>
      <c r="AJ194">
        <v>0</v>
      </c>
      <c r="AK194">
        <v>0</v>
      </c>
      <c r="AL194">
        <v>0</v>
      </c>
      <c r="AM194">
        <v>0</v>
      </c>
      <c r="AN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v>0</v>
      </c>
      <c r="CB194">
        <v>0</v>
      </c>
      <c r="CC194">
        <v>0</v>
      </c>
      <c r="CD194">
        <v>0</v>
      </c>
      <c r="CE194">
        <v>0</v>
      </c>
      <c r="CF194">
        <v>0</v>
      </c>
      <c r="CG194">
        <v>0</v>
      </c>
      <c r="CH194">
        <v>0</v>
      </c>
      <c r="CI194">
        <v>0</v>
      </c>
      <c r="CJ194">
        <v>0</v>
      </c>
      <c r="CK194">
        <v>0</v>
      </c>
      <c r="CL194">
        <v>0</v>
      </c>
      <c r="CM194">
        <v>0</v>
      </c>
      <c r="CN194">
        <v>0</v>
      </c>
      <c r="CO194">
        <v>0</v>
      </c>
      <c r="CP194">
        <v>0</v>
      </c>
      <c r="CQ194">
        <v>0</v>
      </c>
      <c r="CR194">
        <v>0</v>
      </c>
      <c r="CS194">
        <v>0</v>
      </c>
      <c r="CT194">
        <v>0</v>
      </c>
      <c r="CU194">
        <v>0</v>
      </c>
      <c r="CV194">
        <v>0</v>
      </c>
      <c r="CW194">
        <v>0</v>
      </c>
      <c r="CX194">
        <v>0</v>
      </c>
      <c r="CY194">
        <v>0</v>
      </c>
    </row>
    <row r="195" spans="1:103" x14ac:dyDescent="0.3">
      <c r="A195">
        <v>1055</v>
      </c>
      <c r="B195" t="s">
        <v>1575</v>
      </c>
      <c r="D195">
        <v>2</v>
      </c>
      <c r="E195">
        <v>2</v>
      </c>
      <c r="F195">
        <v>1</v>
      </c>
      <c r="G195">
        <v>1</v>
      </c>
      <c r="H195">
        <v>2</v>
      </c>
      <c r="I195">
        <v>2</v>
      </c>
      <c r="J195">
        <v>2</v>
      </c>
      <c r="K195">
        <v>2</v>
      </c>
      <c r="L195">
        <v>2</v>
      </c>
      <c r="M195">
        <v>2</v>
      </c>
      <c r="N195">
        <v>2</v>
      </c>
      <c r="O195">
        <v>2</v>
      </c>
      <c r="P195">
        <v>2</v>
      </c>
      <c r="Q195">
        <v>2</v>
      </c>
      <c r="R195">
        <v>2</v>
      </c>
      <c r="S195">
        <v>2</v>
      </c>
      <c r="U195">
        <v>2</v>
      </c>
      <c r="V195">
        <v>2</v>
      </c>
      <c r="X195">
        <v>2</v>
      </c>
      <c r="Y195">
        <v>2</v>
      </c>
      <c r="Z195">
        <v>2</v>
      </c>
      <c r="AA195">
        <v>2</v>
      </c>
      <c r="AB195">
        <v>2</v>
      </c>
      <c r="AC195">
        <v>2</v>
      </c>
      <c r="AD195">
        <v>2</v>
      </c>
      <c r="AE195">
        <v>2</v>
      </c>
      <c r="AF195">
        <v>2</v>
      </c>
      <c r="AG195">
        <v>2</v>
      </c>
      <c r="AH195">
        <v>2</v>
      </c>
      <c r="AI195">
        <v>2</v>
      </c>
      <c r="AJ195">
        <v>2</v>
      </c>
      <c r="AK195">
        <v>2</v>
      </c>
      <c r="AL195">
        <v>2</v>
      </c>
      <c r="AM195">
        <v>2</v>
      </c>
      <c r="AN195">
        <v>2</v>
      </c>
      <c r="AP195">
        <v>2</v>
      </c>
      <c r="AQ195">
        <v>2</v>
      </c>
      <c r="AR195">
        <v>2</v>
      </c>
      <c r="AS195">
        <v>2</v>
      </c>
      <c r="AT195">
        <v>2</v>
      </c>
      <c r="AU195">
        <v>2</v>
      </c>
      <c r="AV195">
        <v>2</v>
      </c>
      <c r="AW195">
        <v>1</v>
      </c>
      <c r="AX195">
        <v>1</v>
      </c>
      <c r="AY195">
        <v>1</v>
      </c>
      <c r="AZ195">
        <v>2</v>
      </c>
      <c r="BA195">
        <v>2</v>
      </c>
      <c r="BB195">
        <v>2</v>
      </c>
      <c r="BC195">
        <v>2</v>
      </c>
      <c r="BD195">
        <v>2</v>
      </c>
      <c r="BE195">
        <v>2</v>
      </c>
      <c r="BF195">
        <v>2</v>
      </c>
      <c r="BG195">
        <v>2</v>
      </c>
      <c r="BH195">
        <v>2</v>
      </c>
      <c r="BI195">
        <v>2</v>
      </c>
      <c r="BJ195">
        <v>2</v>
      </c>
      <c r="BK195">
        <v>2</v>
      </c>
      <c r="BL195">
        <v>2</v>
      </c>
      <c r="BM195">
        <v>2</v>
      </c>
      <c r="BN195">
        <v>2</v>
      </c>
      <c r="BO195">
        <v>2</v>
      </c>
      <c r="BP195">
        <v>2</v>
      </c>
      <c r="BQ195">
        <v>1</v>
      </c>
      <c r="BR195">
        <v>2</v>
      </c>
      <c r="BS195">
        <v>2</v>
      </c>
      <c r="BT195">
        <v>2</v>
      </c>
      <c r="BU195">
        <v>2</v>
      </c>
      <c r="BV195">
        <v>1</v>
      </c>
      <c r="BW195">
        <v>2</v>
      </c>
      <c r="BX195">
        <v>2</v>
      </c>
      <c r="BY195">
        <v>2</v>
      </c>
      <c r="BZ195">
        <v>2</v>
      </c>
      <c r="CA195">
        <v>2</v>
      </c>
      <c r="CB195">
        <v>1</v>
      </c>
      <c r="CC195">
        <v>2</v>
      </c>
      <c r="CD195">
        <v>2</v>
      </c>
      <c r="CE195">
        <v>2</v>
      </c>
      <c r="CF195">
        <v>2</v>
      </c>
      <c r="CG195">
        <v>2</v>
      </c>
      <c r="CH195">
        <v>2</v>
      </c>
      <c r="CI195">
        <v>2</v>
      </c>
      <c r="CJ195">
        <v>1</v>
      </c>
      <c r="CK195">
        <v>2</v>
      </c>
      <c r="CL195">
        <v>2</v>
      </c>
      <c r="CM195">
        <v>1</v>
      </c>
      <c r="CN195">
        <v>2</v>
      </c>
      <c r="CO195">
        <v>2</v>
      </c>
      <c r="CP195">
        <v>1</v>
      </c>
      <c r="CQ195">
        <v>2</v>
      </c>
      <c r="CR195">
        <v>2</v>
      </c>
      <c r="CS195">
        <v>2</v>
      </c>
      <c r="CT195">
        <v>1</v>
      </c>
      <c r="CU195">
        <v>2</v>
      </c>
      <c r="CV195">
        <v>2</v>
      </c>
      <c r="CW195">
        <v>2</v>
      </c>
      <c r="CX195">
        <v>2</v>
      </c>
      <c r="CY195">
        <v>2</v>
      </c>
    </row>
    <row r="196" spans="1:103" x14ac:dyDescent="0.3">
      <c r="A196">
        <v>1056</v>
      </c>
      <c r="B196" t="s">
        <v>1576</v>
      </c>
      <c r="D196">
        <v>2</v>
      </c>
      <c r="E196">
        <v>2</v>
      </c>
      <c r="F196">
        <v>2</v>
      </c>
      <c r="G196">
        <v>2</v>
      </c>
      <c r="H196">
        <v>2</v>
      </c>
      <c r="I196">
        <v>2</v>
      </c>
      <c r="J196">
        <v>2</v>
      </c>
      <c r="K196">
        <v>2</v>
      </c>
      <c r="L196">
        <v>2</v>
      </c>
      <c r="M196">
        <v>2</v>
      </c>
      <c r="N196">
        <v>2</v>
      </c>
      <c r="O196">
        <v>2</v>
      </c>
      <c r="P196">
        <v>2</v>
      </c>
      <c r="Q196">
        <v>2</v>
      </c>
      <c r="R196">
        <v>2</v>
      </c>
      <c r="S196">
        <v>2</v>
      </c>
      <c r="U196">
        <v>2</v>
      </c>
      <c r="V196">
        <v>2</v>
      </c>
      <c r="X196">
        <v>2</v>
      </c>
      <c r="Y196">
        <v>2</v>
      </c>
      <c r="Z196">
        <v>2</v>
      </c>
      <c r="AA196">
        <v>2</v>
      </c>
      <c r="AB196">
        <v>2</v>
      </c>
      <c r="AC196">
        <v>2</v>
      </c>
      <c r="AD196">
        <v>2</v>
      </c>
      <c r="AE196">
        <v>2</v>
      </c>
      <c r="AF196">
        <v>2</v>
      </c>
      <c r="AG196">
        <v>2</v>
      </c>
      <c r="AH196">
        <v>2</v>
      </c>
      <c r="AI196">
        <v>2</v>
      </c>
      <c r="AJ196">
        <v>2</v>
      </c>
      <c r="AK196">
        <v>2</v>
      </c>
      <c r="AL196">
        <v>2</v>
      </c>
      <c r="AM196">
        <v>2</v>
      </c>
      <c r="AN196">
        <v>2</v>
      </c>
      <c r="AP196">
        <v>2</v>
      </c>
      <c r="AQ196">
        <v>2</v>
      </c>
      <c r="AR196">
        <v>2</v>
      </c>
      <c r="AS196">
        <v>2</v>
      </c>
      <c r="AT196">
        <v>2</v>
      </c>
      <c r="AU196">
        <v>2</v>
      </c>
      <c r="AV196">
        <v>2</v>
      </c>
      <c r="AW196">
        <v>1</v>
      </c>
      <c r="AX196">
        <v>1</v>
      </c>
      <c r="AY196">
        <v>2</v>
      </c>
      <c r="AZ196">
        <v>2</v>
      </c>
      <c r="BA196">
        <v>2</v>
      </c>
      <c r="BB196">
        <v>2</v>
      </c>
      <c r="BC196">
        <v>2</v>
      </c>
      <c r="BD196">
        <v>2</v>
      </c>
      <c r="BE196">
        <v>2</v>
      </c>
      <c r="BF196">
        <v>2</v>
      </c>
      <c r="BG196">
        <v>2</v>
      </c>
      <c r="BH196">
        <v>2</v>
      </c>
      <c r="BI196">
        <v>2</v>
      </c>
      <c r="BJ196">
        <v>2</v>
      </c>
      <c r="BK196">
        <v>2</v>
      </c>
      <c r="BL196">
        <v>2</v>
      </c>
      <c r="BM196">
        <v>2</v>
      </c>
      <c r="BN196">
        <v>2</v>
      </c>
      <c r="BO196">
        <v>2</v>
      </c>
      <c r="BP196">
        <v>2</v>
      </c>
      <c r="BQ196">
        <v>1</v>
      </c>
      <c r="BR196">
        <v>2</v>
      </c>
      <c r="BS196">
        <v>2</v>
      </c>
      <c r="BT196">
        <v>2</v>
      </c>
      <c r="BU196">
        <v>2</v>
      </c>
      <c r="BV196">
        <v>1</v>
      </c>
      <c r="BW196">
        <v>2</v>
      </c>
      <c r="BX196">
        <v>2</v>
      </c>
      <c r="BY196">
        <v>2</v>
      </c>
      <c r="BZ196">
        <v>2</v>
      </c>
      <c r="CA196">
        <v>2</v>
      </c>
      <c r="CB196">
        <v>2</v>
      </c>
      <c r="CC196">
        <v>2</v>
      </c>
      <c r="CD196">
        <v>2</v>
      </c>
      <c r="CE196">
        <v>2</v>
      </c>
      <c r="CF196">
        <v>2</v>
      </c>
      <c r="CG196">
        <v>2</v>
      </c>
      <c r="CH196">
        <v>1</v>
      </c>
      <c r="CI196">
        <v>2</v>
      </c>
      <c r="CJ196">
        <v>2</v>
      </c>
      <c r="CK196">
        <v>2</v>
      </c>
      <c r="CL196">
        <v>2</v>
      </c>
      <c r="CM196">
        <v>1</v>
      </c>
      <c r="CN196">
        <v>2</v>
      </c>
      <c r="CO196">
        <v>2</v>
      </c>
      <c r="CP196">
        <v>1</v>
      </c>
      <c r="CQ196">
        <v>2</v>
      </c>
      <c r="CR196">
        <v>2</v>
      </c>
      <c r="CS196">
        <v>2</v>
      </c>
      <c r="CT196">
        <v>1</v>
      </c>
      <c r="CU196">
        <v>2</v>
      </c>
      <c r="CV196">
        <v>2</v>
      </c>
      <c r="CW196">
        <v>2</v>
      </c>
      <c r="CX196">
        <v>2</v>
      </c>
      <c r="CY196">
        <v>2</v>
      </c>
    </row>
    <row r="197" spans="1:103" x14ac:dyDescent="0.3">
      <c r="A197">
        <v>1057</v>
      </c>
      <c r="B197" t="s">
        <v>1658</v>
      </c>
      <c r="D197">
        <v>2</v>
      </c>
      <c r="E197">
        <v>2</v>
      </c>
      <c r="F197">
        <v>2</v>
      </c>
      <c r="G197">
        <v>1</v>
      </c>
      <c r="H197">
        <v>2</v>
      </c>
      <c r="I197">
        <v>2</v>
      </c>
      <c r="J197">
        <v>1</v>
      </c>
      <c r="K197">
        <v>1</v>
      </c>
      <c r="L197">
        <v>2</v>
      </c>
      <c r="M197">
        <v>2</v>
      </c>
      <c r="N197">
        <v>1</v>
      </c>
      <c r="O197">
        <v>2</v>
      </c>
      <c r="P197">
        <v>2</v>
      </c>
      <c r="Q197">
        <v>2</v>
      </c>
      <c r="R197">
        <v>2</v>
      </c>
      <c r="S197">
        <v>2</v>
      </c>
      <c r="U197">
        <v>1</v>
      </c>
      <c r="V197">
        <v>2</v>
      </c>
      <c r="X197">
        <v>2</v>
      </c>
      <c r="Y197">
        <v>1</v>
      </c>
      <c r="Z197">
        <v>1</v>
      </c>
      <c r="AA197">
        <v>2</v>
      </c>
      <c r="AB197">
        <v>2</v>
      </c>
      <c r="AC197">
        <v>2</v>
      </c>
      <c r="AD197">
        <v>2</v>
      </c>
      <c r="AE197">
        <v>2</v>
      </c>
      <c r="AF197">
        <v>1</v>
      </c>
      <c r="AG197">
        <v>2</v>
      </c>
      <c r="AH197">
        <v>2</v>
      </c>
      <c r="AI197">
        <v>2</v>
      </c>
      <c r="AJ197">
        <v>1</v>
      </c>
      <c r="AK197">
        <v>2</v>
      </c>
      <c r="AL197">
        <v>2</v>
      </c>
      <c r="AM197">
        <v>2</v>
      </c>
      <c r="AN197">
        <v>1</v>
      </c>
      <c r="AP197">
        <v>1</v>
      </c>
      <c r="AQ197">
        <v>1</v>
      </c>
      <c r="AR197">
        <v>2</v>
      </c>
      <c r="AS197">
        <v>2</v>
      </c>
      <c r="AT197">
        <v>2</v>
      </c>
      <c r="AU197">
        <v>1</v>
      </c>
      <c r="AV197">
        <v>2</v>
      </c>
      <c r="AW197">
        <v>1</v>
      </c>
      <c r="AX197">
        <v>2</v>
      </c>
      <c r="AY197">
        <v>1</v>
      </c>
      <c r="AZ197">
        <v>2</v>
      </c>
      <c r="BA197">
        <v>2</v>
      </c>
      <c r="BB197">
        <v>1</v>
      </c>
      <c r="BC197">
        <v>2</v>
      </c>
      <c r="BD197">
        <v>2</v>
      </c>
      <c r="BE197">
        <v>2</v>
      </c>
      <c r="BF197">
        <v>2</v>
      </c>
      <c r="BG197">
        <v>2</v>
      </c>
      <c r="BH197">
        <v>1</v>
      </c>
      <c r="BI197">
        <v>2</v>
      </c>
      <c r="BJ197">
        <v>2</v>
      </c>
      <c r="BK197">
        <v>2</v>
      </c>
      <c r="BL197">
        <v>2</v>
      </c>
      <c r="BM197">
        <v>1</v>
      </c>
      <c r="BN197">
        <v>2</v>
      </c>
      <c r="BO197">
        <v>1</v>
      </c>
      <c r="BP197">
        <v>2</v>
      </c>
      <c r="BQ197">
        <v>1</v>
      </c>
      <c r="BR197">
        <v>2</v>
      </c>
      <c r="BS197">
        <v>2</v>
      </c>
      <c r="BT197">
        <v>2</v>
      </c>
      <c r="BU197">
        <v>2</v>
      </c>
      <c r="BV197">
        <v>1</v>
      </c>
      <c r="BW197">
        <v>2</v>
      </c>
      <c r="BX197">
        <v>2</v>
      </c>
      <c r="BY197">
        <v>1</v>
      </c>
      <c r="BZ197">
        <v>2</v>
      </c>
      <c r="CA197">
        <v>2</v>
      </c>
      <c r="CB197">
        <v>1</v>
      </c>
      <c r="CC197">
        <v>2</v>
      </c>
      <c r="CD197">
        <v>1</v>
      </c>
      <c r="CE197">
        <v>2</v>
      </c>
      <c r="CF197">
        <v>2</v>
      </c>
      <c r="CG197">
        <v>2</v>
      </c>
      <c r="CH197">
        <v>1</v>
      </c>
      <c r="CI197">
        <v>2</v>
      </c>
      <c r="CJ197">
        <v>1</v>
      </c>
      <c r="CK197">
        <v>2</v>
      </c>
      <c r="CL197">
        <v>2</v>
      </c>
      <c r="CM197">
        <v>1</v>
      </c>
      <c r="CN197">
        <v>2</v>
      </c>
      <c r="CO197">
        <v>2</v>
      </c>
      <c r="CP197">
        <v>1</v>
      </c>
      <c r="CQ197">
        <v>1</v>
      </c>
      <c r="CR197">
        <v>1</v>
      </c>
      <c r="CS197">
        <v>2</v>
      </c>
      <c r="CT197">
        <v>2</v>
      </c>
      <c r="CU197">
        <v>2</v>
      </c>
      <c r="CV197">
        <v>2</v>
      </c>
      <c r="CW197">
        <v>2</v>
      </c>
      <c r="CX197">
        <v>2</v>
      </c>
      <c r="CY197">
        <v>2</v>
      </c>
    </row>
    <row r="198" spans="1:103" x14ac:dyDescent="0.3">
      <c r="A198">
        <v>1058</v>
      </c>
      <c r="B198" t="s">
        <v>784</v>
      </c>
      <c r="D198">
        <v>2</v>
      </c>
      <c r="E198">
        <v>2</v>
      </c>
      <c r="F198">
        <v>2</v>
      </c>
      <c r="G198">
        <v>2</v>
      </c>
      <c r="H198">
        <v>2</v>
      </c>
      <c r="I198">
        <v>2</v>
      </c>
      <c r="J198">
        <v>2</v>
      </c>
      <c r="K198">
        <v>1</v>
      </c>
      <c r="L198">
        <v>2</v>
      </c>
      <c r="M198">
        <v>2</v>
      </c>
      <c r="N198">
        <v>2</v>
      </c>
      <c r="O198">
        <v>2</v>
      </c>
      <c r="P198">
        <v>2</v>
      </c>
      <c r="Q198">
        <v>2</v>
      </c>
      <c r="R198">
        <v>2</v>
      </c>
      <c r="S198">
        <v>2</v>
      </c>
      <c r="U198">
        <v>2</v>
      </c>
      <c r="V198">
        <v>2</v>
      </c>
      <c r="X198">
        <v>2</v>
      </c>
      <c r="Y198">
        <v>2</v>
      </c>
      <c r="Z198">
        <v>2</v>
      </c>
      <c r="AA198">
        <v>1</v>
      </c>
      <c r="AB198">
        <v>2</v>
      </c>
      <c r="AC198">
        <v>2</v>
      </c>
      <c r="AD198">
        <v>2</v>
      </c>
      <c r="AE198">
        <v>2</v>
      </c>
      <c r="AF198">
        <v>2</v>
      </c>
      <c r="AG198">
        <v>2</v>
      </c>
      <c r="AH198">
        <v>2</v>
      </c>
      <c r="AI198">
        <v>2</v>
      </c>
      <c r="AJ198">
        <v>1</v>
      </c>
      <c r="AK198">
        <v>2</v>
      </c>
      <c r="AL198">
        <v>2</v>
      </c>
      <c r="AM198">
        <v>2</v>
      </c>
      <c r="AN198">
        <v>1</v>
      </c>
      <c r="AP198">
        <v>2</v>
      </c>
      <c r="AQ198">
        <v>2</v>
      </c>
      <c r="AR198">
        <v>2</v>
      </c>
      <c r="AS198">
        <v>2</v>
      </c>
      <c r="AT198">
        <v>2</v>
      </c>
      <c r="AU198">
        <v>1</v>
      </c>
      <c r="AV198">
        <v>2</v>
      </c>
      <c r="AW198">
        <v>2</v>
      </c>
      <c r="AX198">
        <v>1</v>
      </c>
      <c r="AY198">
        <v>2</v>
      </c>
      <c r="AZ198">
        <v>2</v>
      </c>
      <c r="BA198">
        <v>2</v>
      </c>
      <c r="BB198">
        <v>2</v>
      </c>
      <c r="BC198">
        <v>2</v>
      </c>
      <c r="BD198">
        <v>2</v>
      </c>
      <c r="BE198">
        <v>2</v>
      </c>
      <c r="BF198">
        <v>2</v>
      </c>
      <c r="BG198">
        <v>2</v>
      </c>
      <c r="BH198">
        <v>2</v>
      </c>
      <c r="BI198">
        <v>1</v>
      </c>
      <c r="BJ198">
        <v>2</v>
      </c>
      <c r="BK198">
        <v>2</v>
      </c>
      <c r="BL198">
        <v>2</v>
      </c>
      <c r="BM198">
        <v>2</v>
      </c>
      <c r="BN198">
        <v>2</v>
      </c>
      <c r="BO198">
        <v>2</v>
      </c>
      <c r="BP198">
        <v>2</v>
      </c>
      <c r="BQ198">
        <v>1</v>
      </c>
      <c r="BR198">
        <v>2</v>
      </c>
      <c r="BS198">
        <v>2</v>
      </c>
      <c r="BT198">
        <v>2</v>
      </c>
      <c r="BU198">
        <v>2</v>
      </c>
      <c r="BV198">
        <v>1</v>
      </c>
      <c r="BW198">
        <v>2</v>
      </c>
      <c r="BX198">
        <v>1</v>
      </c>
      <c r="BY198">
        <v>2</v>
      </c>
      <c r="BZ198">
        <v>2</v>
      </c>
      <c r="CA198">
        <v>2</v>
      </c>
      <c r="CB198">
        <v>2</v>
      </c>
      <c r="CC198">
        <v>2</v>
      </c>
      <c r="CD198">
        <v>2</v>
      </c>
      <c r="CE198">
        <v>2</v>
      </c>
      <c r="CF198">
        <v>2</v>
      </c>
      <c r="CG198">
        <v>2</v>
      </c>
      <c r="CH198">
        <v>2</v>
      </c>
      <c r="CI198">
        <v>2</v>
      </c>
      <c r="CJ198">
        <v>1</v>
      </c>
      <c r="CK198">
        <v>2</v>
      </c>
      <c r="CL198">
        <v>1</v>
      </c>
      <c r="CM198">
        <v>1</v>
      </c>
      <c r="CN198">
        <v>2</v>
      </c>
      <c r="CO198">
        <v>2</v>
      </c>
      <c r="CP198">
        <v>2</v>
      </c>
      <c r="CQ198">
        <v>2</v>
      </c>
      <c r="CR198">
        <v>1</v>
      </c>
      <c r="CS198">
        <v>2</v>
      </c>
      <c r="CT198">
        <v>1</v>
      </c>
      <c r="CU198">
        <v>2</v>
      </c>
      <c r="CV198">
        <v>2</v>
      </c>
      <c r="CW198">
        <v>2</v>
      </c>
      <c r="CX198">
        <v>2</v>
      </c>
      <c r="CY198">
        <v>2</v>
      </c>
    </row>
    <row r="199" spans="1:103" x14ac:dyDescent="0.3">
      <c r="A199">
        <v>1059</v>
      </c>
      <c r="B199" t="s">
        <v>1577</v>
      </c>
      <c r="D199">
        <v>1</v>
      </c>
      <c r="E199">
        <v>1</v>
      </c>
      <c r="F199">
        <v>1</v>
      </c>
      <c r="G199">
        <v>1</v>
      </c>
      <c r="H199">
        <v>1</v>
      </c>
      <c r="I199">
        <v>1</v>
      </c>
      <c r="J199">
        <v>1</v>
      </c>
      <c r="K199">
        <v>1</v>
      </c>
      <c r="L199">
        <v>1</v>
      </c>
      <c r="M199">
        <v>1</v>
      </c>
      <c r="N199">
        <v>1</v>
      </c>
      <c r="O199">
        <v>1</v>
      </c>
      <c r="P199">
        <v>1</v>
      </c>
      <c r="Q199">
        <v>1</v>
      </c>
      <c r="R199">
        <v>1</v>
      </c>
      <c r="S199">
        <v>1</v>
      </c>
      <c r="U199">
        <v>1</v>
      </c>
      <c r="V199">
        <v>1</v>
      </c>
      <c r="X199">
        <v>1</v>
      </c>
      <c r="Y199">
        <v>1</v>
      </c>
      <c r="Z199">
        <v>1</v>
      </c>
      <c r="AA199">
        <v>1</v>
      </c>
      <c r="AB199">
        <v>1</v>
      </c>
      <c r="AC199">
        <v>1</v>
      </c>
      <c r="AD199">
        <v>1</v>
      </c>
      <c r="AE199">
        <v>1</v>
      </c>
      <c r="AF199">
        <v>1</v>
      </c>
      <c r="AG199">
        <v>1</v>
      </c>
      <c r="AH199">
        <v>1</v>
      </c>
      <c r="AI199">
        <v>1</v>
      </c>
      <c r="AJ199">
        <v>1</v>
      </c>
      <c r="AK199">
        <v>1</v>
      </c>
      <c r="AL199">
        <v>1</v>
      </c>
      <c r="AM199">
        <v>1</v>
      </c>
      <c r="AN199">
        <v>1</v>
      </c>
      <c r="AP199">
        <v>1</v>
      </c>
      <c r="AQ199">
        <v>1</v>
      </c>
      <c r="AR199">
        <v>1</v>
      </c>
      <c r="AS199">
        <v>1</v>
      </c>
      <c r="AT199">
        <v>1</v>
      </c>
      <c r="AU199">
        <v>1</v>
      </c>
      <c r="AV199">
        <v>1</v>
      </c>
      <c r="AW199">
        <v>1</v>
      </c>
      <c r="AX199">
        <v>1</v>
      </c>
      <c r="AY199">
        <v>1</v>
      </c>
      <c r="AZ199">
        <v>1</v>
      </c>
      <c r="BA199">
        <v>1</v>
      </c>
      <c r="BB199">
        <v>1</v>
      </c>
      <c r="BC199">
        <v>1</v>
      </c>
      <c r="BD199">
        <v>1</v>
      </c>
      <c r="BE199">
        <v>1</v>
      </c>
      <c r="BF199">
        <v>1</v>
      </c>
      <c r="BG199">
        <v>1</v>
      </c>
      <c r="BH199">
        <v>1</v>
      </c>
      <c r="BI199">
        <v>1</v>
      </c>
      <c r="BJ199">
        <v>1</v>
      </c>
      <c r="BK199">
        <v>1</v>
      </c>
      <c r="BL199">
        <v>1</v>
      </c>
      <c r="BM199">
        <v>1</v>
      </c>
      <c r="BN199">
        <v>1</v>
      </c>
      <c r="BO199">
        <v>1</v>
      </c>
      <c r="BP199">
        <v>1</v>
      </c>
      <c r="BQ199">
        <v>1</v>
      </c>
      <c r="BR199">
        <v>1</v>
      </c>
      <c r="BS199">
        <v>1</v>
      </c>
      <c r="BT199">
        <v>1</v>
      </c>
      <c r="BU199">
        <v>1</v>
      </c>
      <c r="BV199">
        <v>1</v>
      </c>
      <c r="BW199">
        <v>1</v>
      </c>
      <c r="BX199">
        <v>1</v>
      </c>
      <c r="BY199">
        <v>1</v>
      </c>
      <c r="BZ199">
        <v>1</v>
      </c>
      <c r="CA199">
        <v>1</v>
      </c>
      <c r="CB199">
        <v>1</v>
      </c>
      <c r="CC199">
        <v>1</v>
      </c>
      <c r="CD199">
        <v>1</v>
      </c>
      <c r="CE199">
        <v>1</v>
      </c>
      <c r="CF199">
        <v>1</v>
      </c>
      <c r="CG199">
        <v>1</v>
      </c>
      <c r="CH199">
        <v>1</v>
      </c>
      <c r="CI199">
        <v>1</v>
      </c>
      <c r="CJ199">
        <v>1</v>
      </c>
      <c r="CK199">
        <v>1</v>
      </c>
      <c r="CL199">
        <v>1</v>
      </c>
      <c r="CM199">
        <v>1</v>
      </c>
      <c r="CN199">
        <v>1</v>
      </c>
      <c r="CO199">
        <v>1</v>
      </c>
      <c r="CP199">
        <v>1</v>
      </c>
      <c r="CQ199">
        <v>1</v>
      </c>
      <c r="CR199">
        <v>1</v>
      </c>
      <c r="CS199">
        <v>1</v>
      </c>
      <c r="CT199">
        <v>2</v>
      </c>
      <c r="CU199">
        <v>1</v>
      </c>
      <c r="CV199">
        <v>1</v>
      </c>
      <c r="CW199">
        <v>1</v>
      </c>
      <c r="CX199">
        <v>1</v>
      </c>
      <c r="CY199">
        <v>1</v>
      </c>
    </row>
    <row r="200" spans="1:103" x14ac:dyDescent="0.3">
      <c r="A200">
        <v>1060</v>
      </c>
      <c r="B200" t="s">
        <v>1578</v>
      </c>
      <c r="D200">
        <v>1133128</v>
      </c>
      <c r="E200">
        <v>244564</v>
      </c>
      <c r="F200">
        <v>2163232</v>
      </c>
      <c r="G200">
        <v>4748349</v>
      </c>
      <c r="H200">
        <v>4819185</v>
      </c>
      <c r="I200">
        <v>99253</v>
      </c>
      <c r="J200">
        <v>5395612</v>
      </c>
      <c r="K200">
        <v>1502591</v>
      </c>
      <c r="L200">
        <v>0</v>
      </c>
      <c r="M200">
        <v>18212155</v>
      </c>
      <c r="N200">
        <v>23554960</v>
      </c>
      <c r="O200">
        <v>13788466</v>
      </c>
      <c r="P200">
        <v>24244140</v>
      </c>
      <c r="Q200">
        <v>12787426</v>
      </c>
      <c r="R200">
        <v>2150174</v>
      </c>
      <c r="S200">
        <v>7592042</v>
      </c>
      <c r="U200">
        <v>0</v>
      </c>
      <c r="V200">
        <v>75425</v>
      </c>
      <c r="X200">
        <v>1013845</v>
      </c>
      <c r="Y200">
        <v>0</v>
      </c>
      <c r="Z200">
        <v>11656967</v>
      </c>
      <c r="AA200">
        <v>10450677</v>
      </c>
      <c r="AB200">
        <v>17500004</v>
      </c>
      <c r="AC200">
        <v>7534568</v>
      </c>
      <c r="AD200">
        <v>5439746</v>
      </c>
      <c r="AE200">
        <v>7196637</v>
      </c>
      <c r="AF200">
        <v>33469928</v>
      </c>
      <c r="AG200">
        <v>4543496</v>
      </c>
      <c r="AH200">
        <v>11419134</v>
      </c>
      <c r="AI200">
        <v>0</v>
      </c>
      <c r="AJ200">
        <v>8997833</v>
      </c>
      <c r="AK200">
        <v>20301310</v>
      </c>
      <c r="AL200">
        <v>10528221</v>
      </c>
      <c r="AM200">
        <v>10561932</v>
      </c>
      <c r="AN200">
        <v>0</v>
      </c>
      <c r="AP200">
        <v>9387820</v>
      </c>
      <c r="AQ200">
        <v>3440406</v>
      </c>
      <c r="AR200">
        <v>30862122</v>
      </c>
      <c r="AS200">
        <v>0</v>
      </c>
      <c r="AT200">
        <v>7001497</v>
      </c>
      <c r="AU200">
        <v>5114051</v>
      </c>
      <c r="AV200">
        <v>1679478</v>
      </c>
      <c r="AW200">
        <v>4510757</v>
      </c>
      <c r="AX200">
        <v>10728557</v>
      </c>
      <c r="AY200">
        <v>871192</v>
      </c>
      <c r="AZ200">
        <v>15953946</v>
      </c>
      <c r="BA200">
        <v>7934442</v>
      </c>
      <c r="BB200">
        <v>249528</v>
      </c>
      <c r="BC200">
        <v>1831018</v>
      </c>
      <c r="BD200">
        <v>7328884</v>
      </c>
      <c r="BE200">
        <v>3096585</v>
      </c>
      <c r="BF200">
        <v>14145036</v>
      </c>
      <c r="BG200">
        <v>3717582</v>
      </c>
      <c r="BH200">
        <v>4175655</v>
      </c>
      <c r="BI200">
        <v>0</v>
      </c>
      <c r="BJ200">
        <v>4391280</v>
      </c>
      <c r="BK200">
        <v>61174692</v>
      </c>
      <c r="BL200">
        <v>1227415</v>
      </c>
      <c r="BM200">
        <v>74502</v>
      </c>
      <c r="BN200">
        <v>10146570</v>
      </c>
      <c r="BO200">
        <v>0</v>
      </c>
      <c r="BP200">
        <v>33809029</v>
      </c>
      <c r="BQ200">
        <v>973569</v>
      </c>
      <c r="BR200">
        <v>8253947</v>
      </c>
      <c r="BS200">
        <v>14627343</v>
      </c>
      <c r="BT200">
        <v>2471876</v>
      </c>
      <c r="BU200">
        <v>7735345</v>
      </c>
      <c r="BV200">
        <v>680122</v>
      </c>
      <c r="BW200">
        <v>1307515</v>
      </c>
      <c r="BX200">
        <v>4920470</v>
      </c>
      <c r="BY200">
        <v>7947488</v>
      </c>
      <c r="BZ200">
        <v>2266033</v>
      </c>
      <c r="CA200">
        <v>11238052</v>
      </c>
      <c r="CB200">
        <v>4783323</v>
      </c>
      <c r="CC200">
        <v>3966548</v>
      </c>
      <c r="CD200">
        <v>11062153</v>
      </c>
      <c r="CE200">
        <v>14037032</v>
      </c>
      <c r="CF200">
        <v>10000000</v>
      </c>
      <c r="CG200">
        <v>4129273</v>
      </c>
      <c r="CH200">
        <v>1895354</v>
      </c>
      <c r="CI200">
        <v>0</v>
      </c>
      <c r="CJ200">
        <v>6455517</v>
      </c>
      <c r="CK200">
        <v>9698844</v>
      </c>
      <c r="CL200">
        <v>1353875</v>
      </c>
      <c r="CM200">
        <v>6678883</v>
      </c>
      <c r="CN200">
        <v>0</v>
      </c>
      <c r="CO200">
        <v>25734776</v>
      </c>
      <c r="CP200">
        <v>2248202</v>
      </c>
      <c r="CQ200">
        <v>88093063</v>
      </c>
      <c r="CR200">
        <v>3830837</v>
      </c>
      <c r="CS200">
        <v>550097</v>
      </c>
      <c r="CT200">
        <v>8326797</v>
      </c>
      <c r="CU200">
        <v>5615676</v>
      </c>
      <c r="CV200">
        <v>5059798</v>
      </c>
      <c r="CW200">
        <v>10000000</v>
      </c>
      <c r="CX200">
        <v>0</v>
      </c>
      <c r="CY200">
        <v>0</v>
      </c>
    </row>
    <row r="201" spans="1:103" x14ac:dyDescent="0.3">
      <c r="A201">
        <v>1061</v>
      </c>
      <c r="B201" t="s">
        <v>1579</v>
      </c>
      <c r="D201">
        <v>1478926</v>
      </c>
      <c r="E201">
        <v>426320</v>
      </c>
      <c r="F201">
        <v>0</v>
      </c>
      <c r="G201">
        <v>0</v>
      </c>
      <c r="H201">
        <v>0</v>
      </c>
      <c r="I201">
        <v>0</v>
      </c>
      <c r="J201">
        <v>0</v>
      </c>
      <c r="K201">
        <v>1255153</v>
      </c>
      <c r="L201">
        <v>0</v>
      </c>
      <c r="M201">
        <v>0</v>
      </c>
      <c r="N201">
        <v>8135435</v>
      </c>
      <c r="O201">
        <v>267288</v>
      </c>
      <c r="P201">
        <v>0</v>
      </c>
      <c r="Q201">
        <v>0</v>
      </c>
      <c r="R201">
        <v>0</v>
      </c>
      <c r="S201">
        <v>3212688</v>
      </c>
      <c r="U201">
        <v>0</v>
      </c>
      <c r="V201">
        <v>74542</v>
      </c>
      <c r="X201">
        <v>1744419</v>
      </c>
      <c r="Y201">
        <v>0</v>
      </c>
      <c r="Z201">
        <v>0</v>
      </c>
      <c r="AA201">
        <v>331101</v>
      </c>
      <c r="AB201">
        <v>2339299</v>
      </c>
      <c r="AC201">
        <v>41475894</v>
      </c>
      <c r="AD201">
        <v>0</v>
      </c>
      <c r="AE201">
        <v>0</v>
      </c>
      <c r="AF201">
        <v>322901</v>
      </c>
      <c r="AG201">
        <v>0</v>
      </c>
      <c r="AH201">
        <v>0</v>
      </c>
      <c r="AI201">
        <v>0</v>
      </c>
      <c r="AJ201">
        <v>0</v>
      </c>
      <c r="AK201">
        <v>24962468</v>
      </c>
      <c r="AL201">
        <v>0</v>
      </c>
      <c r="AM201">
        <v>3462288</v>
      </c>
      <c r="AN201">
        <v>500000</v>
      </c>
      <c r="AP201">
        <v>2352524</v>
      </c>
      <c r="AQ201">
        <v>652000</v>
      </c>
      <c r="AR201">
        <v>19777033</v>
      </c>
      <c r="AS201">
        <v>0</v>
      </c>
      <c r="AT201">
        <v>0</v>
      </c>
      <c r="AU201">
        <v>3987165</v>
      </c>
      <c r="AV201">
        <v>1918639</v>
      </c>
      <c r="AW201">
        <v>88223</v>
      </c>
      <c r="AX201">
        <v>0</v>
      </c>
      <c r="AY201">
        <v>87762</v>
      </c>
      <c r="AZ201">
        <v>10808558</v>
      </c>
      <c r="BA201">
        <v>0</v>
      </c>
      <c r="BB201">
        <v>0</v>
      </c>
      <c r="BC201">
        <v>0</v>
      </c>
      <c r="BD201">
        <v>140389</v>
      </c>
      <c r="BE201">
        <v>5694609</v>
      </c>
      <c r="BF201">
        <v>1656862</v>
      </c>
      <c r="BG201">
        <v>3247414</v>
      </c>
      <c r="BH201">
        <v>0</v>
      </c>
      <c r="BI201">
        <v>0</v>
      </c>
      <c r="BJ201">
        <v>0</v>
      </c>
      <c r="BK201">
        <v>68670150</v>
      </c>
      <c r="BL201">
        <v>1679167</v>
      </c>
      <c r="BM201">
        <v>0</v>
      </c>
      <c r="BN201">
        <v>2297613</v>
      </c>
      <c r="BO201">
        <v>0</v>
      </c>
      <c r="BP201">
        <v>1241406</v>
      </c>
      <c r="BQ201">
        <v>0</v>
      </c>
      <c r="BR201">
        <v>1537768</v>
      </c>
      <c r="BS201">
        <v>14262379</v>
      </c>
      <c r="BT201">
        <v>0</v>
      </c>
      <c r="BU201">
        <v>0</v>
      </c>
      <c r="BV201">
        <v>11568544</v>
      </c>
      <c r="BW201">
        <v>30632</v>
      </c>
      <c r="BX201">
        <v>2750000</v>
      </c>
      <c r="BY201">
        <v>0</v>
      </c>
      <c r="BZ201">
        <v>125000</v>
      </c>
      <c r="CA201">
        <v>2871296</v>
      </c>
      <c r="CB201">
        <v>4783323</v>
      </c>
      <c r="CC201">
        <v>0</v>
      </c>
      <c r="CD201">
        <v>6615473</v>
      </c>
      <c r="CE201">
        <v>336405</v>
      </c>
      <c r="CF201">
        <v>3019596</v>
      </c>
      <c r="CG201">
        <v>0</v>
      </c>
      <c r="CH201">
        <v>0</v>
      </c>
      <c r="CI201">
        <v>0</v>
      </c>
      <c r="CJ201">
        <v>2400000</v>
      </c>
      <c r="CK201">
        <v>0</v>
      </c>
      <c r="CL201">
        <v>0</v>
      </c>
      <c r="CM201">
        <v>0</v>
      </c>
      <c r="CN201">
        <v>0</v>
      </c>
      <c r="CO201">
        <v>28469931</v>
      </c>
      <c r="CP201">
        <v>6402201</v>
      </c>
      <c r="CQ201">
        <v>26917368</v>
      </c>
      <c r="CR201">
        <v>0</v>
      </c>
      <c r="CS201">
        <v>0</v>
      </c>
      <c r="CT201">
        <v>2584927</v>
      </c>
      <c r="CU201">
        <v>16301077</v>
      </c>
      <c r="CV201">
        <v>4974184</v>
      </c>
      <c r="CW201">
        <v>5888885</v>
      </c>
      <c r="CX201">
        <v>0</v>
      </c>
      <c r="CY201">
        <v>0</v>
      </c>
    </row>
    <row r="202" spans="1:103" x14ac:dyDescent="0.3">
      <c r="A202">
        <v>1062</v>
      </c>
      <c r="B202" t="s">
        <v>1580</v>
      </c>
      <c r="D202">
        <v>1</v>
      </c>
      <c r="E202">
        <v>1</v>
      </c>
      <c r="F202">
        <v>1</v>
      </c>
      <c r="G202">
        <v>1</v>
      </c>
      <c r="H202">
        <v>1</v>
      </c>
      <c r="I202">
        <v>1</v>
      </c>
      <c r="J202">
        <v>1</v>
      </c>
      <c r="K202">
        <v>1</v>
      </c>
      <c r="L202">
        <v>1</v>
      </c>
      <c r="M202">
        <v>1</v>
      </c>
      <c r="N202">
        <v>1</v>
      </c>
      <c r="O202">
        <v>1</v>
      </c>
      <c r="P202">
        <v>1</v>
      </c>
      <c r="Q202">
        <v>1</v>
      </c>
      <c r="R202">
        <v>1</v>
      </c>
      <c r="S202">
        <v>1</v>
      </c>
      <c r="U202">
        <v>0</v>
      </c>
      <c r="V202">
        <v>1</v>
      </c>
      <c r="X202">
        <v>1</v>
      </c>
      <c r="Y202">
        <v>1</v>
      </c>
      <c r="Z202">
        <v>1</v>
      </c>
      <c r="AA202">
        <v>1</v>
      </c>
      <c r="AB202">
        <v>1</v>
      </c>
      <c r="AC202">
        <v>1</v>
      </c>
      <c r="AD202">
        <v>1</v>
      </c>
      <c r="AE202">
        <v>1</v>
      </c>
      <c r="AF202">
        <v>1</v>
      </c>
      <c r="AG202">
        <v>1</v>
      </c>
      <c r="AH202">
        <v>1</v>
      </c>
      <c r="AI202">
        <v>1</v>
      </c>
      <c r="AJ202">
        <v>1</v>
      </c>
      <c r="AK202">
        <v>1</v>
      </c>
      <c r="AL202">
        <v>1</v>
      </c>
      <c r="AM202">
        <v>1</v>
      </c>
      <c r="AN202">
        <v>1</v>
      </c>
      <c r="AP202">
        <v>1</v>
      </c>
      <c r="AQ202">
        <v>1</v>
      </c>
      <c r="AR202">
        <v>0</v>
      </c>
      <c r="AS202">
        <v>1</v>
      </c>
      <c r="AT202">
        <v>1</v>
      </c>
      <c r="AU202">
        <v>1</v>
      </c>
      <c r="AV202">
        <v>1</v>
      </c>
      <c r="AW202">
        <v>1</v>
      </c>
      <c r="AX202">
        <v>1</v>
      </c>
      <c r="AY202">
        <v>1</v>
      </c>
      <c r="AZ202">
        <v>1</v>
      </c>
      <c r="BA202">
        <v>1</v>
      </c>
      <c r="BB202">
        <v>1</v>
      </c>
      <c r="BC202">
        <v>1</v>
      </c>
      <c r="BD202">
        <v>1</v>
      </c>
      <c r="BE202">
        <v>1</v>
      </c>
      <c r="BF202">
        <v>1</v>
      </c>
      <c r="BG202">
        <v>1</v>
      </c>
      <c r="BH202">
        <v>1</v>
      </c>
      <c r="BI202">
        <v>1</v>
      </c>
      <c r="BJ202">
        <v>1</v>
      </c>
      <c r="BK202">
        <v>1</v>
      </c>
      <c r="BL202">
        <v>1</v>
      </c>
      <c r="BM202">
        <v>1</v>
      </c>
      <c r="BN202">
        <v>1</v>
      </c>
      <c r="BO202">
        <v>0</v>
      </c>
      <c r="BP202">
        <v>1</v>
      </c>
      <c r="BQ202">
        <v>1</v>
      </c>
      <c r="BR202">
        <v>1</v>
      </c>
      <c r="BS202">
        <v>1</v>
      </c>
      <c r="BT202">
        <v>1</v>
      </c>
      <c r="BU202">
        <v>1</v>
      </c>
      <c r="BV202">
        <v>1</v>
      </c>
      <c r="BW202">
        <v>1</v>
      </c>
      <c r="BX202">
        <v>1</v>
      </c>
      <c r="BY202">
        <v>1</v>
      </c>
      <c r="BZ202">
        <v>1</v>
      </c>
      <c r="CA202">
        <v>1</v>
      </c>
      <c r="CB202">
        <v>1</v>
      </c>
      <c r="CC202">
        <v>1</v>
      </c>
      <c r="CD202">
        <v>1</v>
      </c>
      <c r="CE202">
        <v>1</v>
      </c>
      <c r="CF202">
        <v>1</v>
      </c>
      <c r="CG202">
        <v>1</v>
      </c>
      <c r="CH202">
        <v>1</v>
      </c>
      <c r="CI202">
        <v>0</v>
      </c>
      <c r="CJ202">
        <v>1</v>
      </c>
      <c r="CK202">
        <v>1</v>
      </c>
      <c r="CL202">
        <v>1</v>
      </c>
      <c r="CM202">
        <v>1</v>
      </c>
      <c r="CN202">
        <v>1</v>
      </c>
      <c r="CO202">
        <v>1</v>
      </c>
      <c r="CP202">
        <v>1</v>
      </c>
      <c r="CQ202">
        <v>1</v>
      </c>
      <c r="CR202">
        <v>1</v>
      </c>
      <c r="CS202">
        <v>1</v>
      </c>
      <c r="CT202">
        <v>1</v>
      </c>
      <c r="CU202">
        <v>1</v>
      </c>
      <c r="CV202">
        <v>1</v>
      </c>
      <c r="CW202">
        <v>1</v>
      </c>
      <c r="CX202">
        <v>1</v>
      </c>
      <c r="CY202">
        <v>1</v>
      </c>
    </row>
    <row r="203" spans="1:103" x14ac:dyDescent="0.3">
      <c r="A203">
        <v>1063</v>
      </c>
      <c r="B203" t="s">
        <v>1581</v>
      </c>
      <c r="D203">
        <v>1</v>
      </c>
      <c r="E203">
        <v>1</v>
      </c>
      <c r="F203">
        <v>1</v>
      </c>
      <c r="G203">
        <v>1</v>
      </c>
      <c r="H203">
        <v>1</v>
      </c>
      <c r="I203">
        <v>1</v>
      </c>
      <c r="J203">
        <v>1</v>
      </c>
      <c r="K203">
        <v>1</v>
      </c>
      <c r="L203">
        <v>1</v>
      </c>
      <c r="M203">
        <v>1</v>
      </c>
      <c r="N203">
        <v>1</v>
      </c>
      <c r="O203">
        <v>1</v>
      </c>
      <c r="P203">
        <v>1</v>
      </c>
      <c r="Q203">
        <v>1</v>
      </c>
      <c r="R203">
        <v>1</v>
      </c>
      <c r="S203">
        <v>1</v>
      </c>
      <c r="U203">
        <v>0</v>
      </c>
      <c r="V203">
        <v>1</v>
      </c>
      <c r="X203">
        <v>1</v>
      </c>
      <c r="Y203">
        <v>1</v>
      </c>
      <c r="Z203">
        <v>1</v>
      </c>
      <c r="AA203">
        <v>1</v>
      </c>
      <c r="AB203">
        <v>1</v>
      </c>
      <c r="AC203">
        <v>1</v>
      </c>
      <c r="AD203">
        <v>1</v>
      </c>
      <c r="AE203">
        <v>1</v>
      </c>
      <c r="AF203">
        <v>1</v>
      </c>
      <c r="AG203">
        <v>1</v>
      </c>
      <c r="AH203">
        <v>1</v>
      </c>
      <c r="AI203">
        <v>1</v>
      </c>
      <c r="AJ203">
        <v>1</v>
      </c>
      <c r="AK203">
        <v>1</v>
      </c>
      <c r="AL203">
        <v>1</v>
      </c>
      <c r="AM203">
        <v>1</v>
      </c>
      <c r="AN203">
        <v>1</v>
      </c>
      <c r="AP203">
        <v>1</v>
      </c>
      <c r="AQ203">
        <v>1</v>
      </c>
      <c r="AR203">
        <v>0</v>
      </c>
      <c r="AS203">
        <v>1</v>
      </c>
      <c r="AT203">
        <v>1</v>
      </c>
      <c r="AU203">
        <v>1</v>
      </c>
      <c r="AV203">
        <v>1</v>
      </c>
      <c r="AW203">
        <v>1</v>
      </c>
      <c r="AX203">
        <v>1</v>
      </c>
      <c r="AY203">
        <v>1</v>
      </c>
      <c r="AZ203">
        <v>1</v>
      </c>
      <c r="BA203">
        <v>1</v>
      </c>
      <c r="BB203">
        <v>1</v>
      </c>
      <c r="BC203">
        <v>1</v>
      </c>
      <c r="BD203">
        <v>1</v>
      </c>
      <c r="BE203">
        <v>1</v>
      </c>
      <c r="BF203">
        <v>1</v>
      </c>
      <c r="BG203">
        <v>1</v>
      </c>
      <c r="BH203">
        <v>1</v>
      </c>
      <c r="BI203">
        <v>1</v>
      </c>
      <c r="BJ203">
        <v>1</v>
      </c>
      <c r="BK203">
        <v>1</v>
      </c>
      <c r="BL203">
        <v>1</v>
      </c>
      <c r="BM203">
        <v>1</v>
      </c>
      <c r="BN203">
        <v>1</v>
      </c>
      <c r="BO203">
        <v>0</v>
      </c>
      <c r="BP203">
        <v>1</v>
      </c>
      <c r="BQ203">
        <v>1</v>
      </c>
      <c r="BR203">
        <v>1</v>
      </c>
      <c r="BS203">
        <v>1</v>
      </c>
      <c r="BT203">
        <v>1</v>
      </c>
      <c r="BU203">
        <v>1</v>
      </c>
      <c r="BV203">
        <v>1</v>
      </c>
      <c r="BW203">
        <v>1</v>
      </c>
      <c r="BX203">
        <v>1</v>
      </c>
      <c r="BY203">
        <v>1</v>
      </c>
      <c r="BZ203">
        <v>1</v>
      </c>
      <c r="CA203">
        <v>1</v>
      </c>
      <c r="CB203">
        <v>1</v>
      </c>
      <c r="CC203">
        <v>1</v>
      </c>
      <c r="CD203">
        <v>1</v>
      </c>
      <c r="CE203">
        <v>1</v>
      </c>
      <c r="CF203">
        <v>1</v>
      </c>
      <c r="CG203">
        <v>1</v>
      </c>
      <c r="CH203">
        <v>1</v>
      </c>
      <c r="CI203">
        <v>0</v>
      </c>
      <c r="CJ203">
        <v>1</v>
      </c>
      <c r="CK203">
        <v>1</v>
      </c>
      <c r="CL203">
        <v>1</v>
      </c>
      <c r="CM203">
        <v>1</v>
      </c>
      <c r="CN203">
        <v>1</v>
      </c>
      <c r="CO203">
        <v>1</v>
      </c>
      <c r="CP203">
        <v>1</v>
      </c>
      <c r="CQ203">
        <v>1</v>
      </c>
      <c r="CR203">
        <v>1</v>
      </c>
      <c r="CS203">
        <v>1</v>
      </c>
      <c r="CT203">
        <v>1</v>
      </c>
      <c r="CU203">
        <v>1</v>
      </c>
      <c r="CV203">
        <v>1</v>
      </c>
      <c r="CW203">
        <v>1</v>
      </c>
      <c r="CX203">
        <v>1</v>
      </c>
      <c r="CY203">
        <v>1</v>
      </c>
    </row>
    <row r="204" spans="1:103" x14ac:dyDescent="0.3">
      <c r="A204">
        <v>1066</v>
      </c>
      <c r="B204" t="s">
        <v>1582</v>
      </c>
      <c r="D204" t="s">
        <v>2020</v>
      </c>
      <c r="E204" t="s">
        <v>2021</v>
      </c>
      <c r="F204" t="s">
        <v>2022</v>
      </c>
      <c r="G204" t="s">
        <v>2023</v>
      </c>
      <c r="H204" t="s">
        <v>2024</v>
      </c>
      <c r="I204" t="s">
        <v>2025</v>
      </c>
      <c r="J204" t="s">
        <v>2022</v>
      </c>
      <c r="K204" t="s">
        <v>1785</v>
      </c>
      <c r="L204" t="s">
        <v>2026</v>
      </c>
      <c r="M204" t="s">
        <v>2027</v>
      </c>
      <c r="N204" t="s">
        <v>2028</v>
      </c>
      <c r="O204" t="s">
        <v>2029</v>
      </c>
      <c r="P204" t="s">
        <v>2020</v>
      </c>
      <c r="Q204" t="s">
        <v>2030</v>
      </c>
      <c r="R204" t="s">
        <v>2020</v>
      </c>
      <c r="S204" t="s">
        <v>1782</v>
      </c>
      <c r="U204" t="s">
        <v>2025</v>
      </c>
      <c r="V204" t="s">
        <v>2020</v>
      </c>
      <c r="X204" t="s">
        <v>2029</v>
      </c>
      <c r="Y204" t="s">
        <v>2025</v>
      </c>
      <c r="Z204" t="s">
        <v>2031</v>
      </c>
      <c r="AA204" t="s">
        <v>1783</v>
      </c>
      <c r="AB204" t="s">
        <v>2032</v>
      </c>
      <c r="AC204" t="s">
        <v>2033</v>
      </c>
      <c r="AD204" t="s">
        <v>2025</v>
      </c>
      <c r="AE204" t="s">
        <v>2020</v>
      </c>
      <c r="AF204" t="s">
        <v>2025</v>
      </c>
      <c r="AG204" t="s">
        <v>2020</v>
      </c>
      <c r="AH204" t="s">
        <v>2020</v>
      </c>
      <c r="AI204" t="s">
        <v>2034</v>
      </c>
      <c r="AJ204" t="s">
        <v>2032</v>
      </c>
      <c r="AK204" t="s">
        <v>2035</v>
      </c>
      <c r="AL204" t="s">
        <v>2036</v>
      </c>
      <c r="AM204" t="s">
        <v>2022</v>
      </c>
      <c r="AN204" t="s">
        <v>2037</v>
      </c>
      <c r="AP204" t="s">
        <v>2038</v>
      </c>
      <c r="AQ204" t="s">
        <v>2025</v>
      </c>
      <c r="AR204" t="s">
        <v>2039</v>
      </c>
      <c r="AS204" t="s">
        <v>2022</v>
      </c>
      <c r="AT204" t="s">
        <v>2020</v>
      </c>
      <c r="AU204" t="s">
        <v>2020</v>
      </c>
      <c r="AV204" t="s">
        <v>2040</v>
      </c>
      <c r="AW204" t="s">
        <v>2041</v>
      </c>
      <c r="AX204" t="s">
        <v>2042</v>
      </c>
      <c r="AY204" t="s">
        <v>2043</v>
      </c>
      <c r="AZ204" t="s">
        <v>2020</v>
      </c>
      <c r="BA204" t="s">
        <v>2025</v>
      </c>
      <c r="BB204" t="s">
        <v>2032</v>
      </c>
      <c r="BC204" t="s">
        <v>2029</v>
      </c>
      <c r="BD204" t="s">
        <v>2044</v>
      </c>
      <c r="BE204" t="s">
        <v>2045</v>
      </c>
      <c r="BF204" t="s">
        <v>2029</v>
      </c>
      <c r="BG204" t="s">
        <v>2022</v>
      </c>
      <c r="BH204" t="s">
        <v>2046</v>
      </c>
      <c r="BI204" t="s">
        <v>2034</v>
      </c>
      <c r="BJ204" t="s">
        <v>2047</v>
      </c>
      <c r="BK204" t="s">
        <v>2025</v>
      </c>
      <c r="BL204" t="s">
        <v>2029</v>
      </c>
      <c r="BM204" t="s">
        <v>2048</v>
      </c>
      <c r="BN204" t="s">
        <v>2020</v>
      </c>
      <c r="BO204" t="s">
        <v>2049</v>
      </c>
      <c r="BP204" t="s">
        <v>2020</v>
      </c>
      <c r="BQ204" t="s">
        <v>2050</v>
      </c>
      <c r="BR204" t="s">
        <v>2051</v>
      </c>
      <c r="BS204" t="s">
        <v>2020</v>
      </c>
      <c r="BT204" t="s">
        <v>2030</v>
      </c>
      <c r="BU204" t="s">
        <v>2048</v>
      </c>
      <c r="BV204" t="s">
        <v>1782</v>
      </c>
      <c r="BW204" t="s">
        <v>2022</v>
      </c>
      <c r="BX204" t="s">
        <v>2052</v>
      </c>
      <c r="BY204" t="s">
        <v>2025</v>
      </c>
      <c r="BZ204" t="s">
        <v>2022</v>
      </c>
      <c r="CA204" t="s">
        <v>2022</v>
      </c>
      <c r="CB204" t="s">
        <v>2053</v>
      </c>
      <c r="CC204" t="s">
        <v>2054</v>
      </c>
      <c r="CD204" t="s">
        <v>2055</v>
      </c>
      <c r="CE204" t="s">
        <v>2022</v>
      </c>
      <c r="CF204" t="s">
        <v>1782</v>
      </c>
      <c r="CG204" t="s">
        <v>2026</v>
      </c>
      <c r="CH204" t="s">
        <v>2056</v>
      </c>
      <c r="CI204" t="s">
        <v>2057</v>
      </c>
      <c r="CJ204" t="s">
        <v>1782</v>
      </c>
      <c r="CK204" t="s">
        <v>2020</v>
      </c>
      <c r="CL204" t="s">
        <v>2058</v>
      </c>
      <c r="CM204" t="s">
        <v>2059</v>
      </c>
      <c r="CN204" t="s">
        <v>2060</v>
      </c>
      <c r="CO204" t="s">
        <v>2029</v>
      </c>
      <c r="CP204" t="s">
        <v>2061</v>
      </c>
      <c r="CQ204" t="s">
        <v>2062</v>
      </c>
      <c r="CR204" t="s">
        <v>2063</v>
      </c>
      <c r="CS204" t="s">
        <v>2020</v>
      </c>
      <c r="CT204" t="s">
        <v>2064</v>
      </c>
      <c r="CU204" t="s">
        <v>2065</v>
      </c>
      <c r="CV204" t="s">
        <v>2020</v>
      </c>
      <c r="CW204" t="s">
        <v>2066</v>
      </c>
      <c r="CX204" t="s">
        <v>2029</v>
      </c>
      <c r="CY204" t="s">
        <v>2020</v>
      </c>
    </row>
    <row r="205" spans="1:103" x14ac:dyDescent="0.3">
      <c r="A205">
        <v>1067</v>
      </c>
      <c r="B205" t="s">
        <v>2067</v>
      </c>
      <c r="D205">
        <v>1</v>
      </c>
      <c r="E205">
        <v>1</v>
      </c>
      <c r="F205">
        <v>1</v>
      </c>
      <c r="G205">
        <v>1</v>
      </c>
      <c r="H205">
        <v>1</v>
      </c>
      <c r="I205">
        <v>1</v>
      </c>
      <c r="J205">
        <v>1</v>
      </c>
      <c r="K205">
        <v>2</v>
      </c>
      <c r="L205">
        <v>1</v>
      </c>
      <c r="M205">
        <v>1</v>
      </c>
      <c r="N205">
        <v>1</v>
      </c>
      <c r="O205">
        <v>1</v>
      </c>
      <c r="P205">
        <v>1</v>
      </c>
      <c r="Q205">
        <v>1</v>
      </c>
      <c r="R205">
        <v>1</v>
      </c>
      <c r="S205">
        <v>1</v>
      </c>
      <c r="U205">
        <v>1</v>
      </c>
      <c r="V205">
        <v>1</v>
      </c>
      <c r="X205">
        <v>1</v>
      </c>
      <c r="Y205">
        <v>1</v>
      </c>
      <c r="Z205">
        <v>1</v>
      </c>
      <c r="AA205">
        <v>1</v>
      </c>
      <c r="AB205">
        <v>1</v>
      </c>
      <c r="AC205">
        <v>1</v>
      </c>
      <c r="AD205">
        <v>1</v>
      </c>
      <c r="AE205">
        <v>1</v>
      </c>
      <c r="AF205">
        <v>1</v>
      </c>
      <c r="AG205">
        <v>1</v>
      </c>
      <c r="AH205">
        <v>1</v>
      </c>
      <c r="AI205">
        <v>1</v>
      </c>
      <c r="AJ205">
        <v>1</v>
      </c>
      <c r="AK205">
        <v>1</v>
      </c>
      <c r="AL205">
        <v>1</v>
      </c>
      <c r="AM205">
        <v>1</v>
      </c>
      <c r="AN205">
        <v>1</v>
      </c>
      <c r="AP205">
        <v>1</v>
      </c>
      <c r="AQ205">
        <v>1</v>
      </c>
      <c r="AR205">
        <v>1</v>
      </c>
      <c r="AS205">
        <v>1</v>
      </c>
      <c r="AT205">
        <v>1</v>
      </c>
      <c r="AU205">
        <v>1</v>
      </c>
      <c r="AV205">
        <v>1</v>
      </c>
      <c r="AW205">
        <v>1</v>
      </c>
      <c r="AX205">
        <v>2</v>
      </c>
      <c r="AY205">
        <v>1</v>
      </c>
      <c r="AZ205">
        <v>1</v>
      </c>
      <c r="BA205">
        <v>1</v>
      </c>
      <c r="BB205">
        <v>1</v>
      </c>
      <c r="BC205">
        <v>1</v>
      </c>
      <c r="BD205">
        <v>1</v>
      </c>
      <c r="BE205">
        <v>1</v>
      </c>
      <c r="BF205">
        <v>1</v>
      </c>
      <c r="BG205">
        <v>1</v>
      </c>
      <c r="BH205">
        <v>2</v>
      </c>
      <c r="BI205">
        <v>1</v>
      </c>
      <c r="BJ205">
        <v>1</v>
      </c>
      <c r="BK205">
        <v>1</v>
      </c>
      <c r="BL205">
        <v>1</v>
      </c>
      <c r="BM205">
        <v>1</v>
      </c>
      <c r="BN205">
        <v>1</v>
      </c>
      <c r="BO205">
        <v>1</v>
      </c>
      <c r="BP205">
        <v>1</v>
      </c>
      <c r="BQ205">
        <v>2</v>
      </c>
      <c r="BR205">
        <v>1</v>
      </c>
      <c r="BS205">
        <v>1</v>
      </c>
      <c r="BT205">
        <v>1</v>
      </c>
      <c r="BU205">
        <v>1</v>
      </c>
      <c r="BV205">
        <v>2</v>
      </c>
      <c r="BW205">
        <v>1</v>
      </c>
      <c r="BX205">
        <v>1</v>
      </c>
      <c r="BY205">
        <v>1</v>
      </c>
      <c r="BZ205">
        <v>1</v>
      </c>
      <c r="CA205">
        <v>1</v>
      </c>
      <c r="CB205">
        <v>1</v>
      </c>
      <c r="CC205">
        <v>1</v>
      </c>
      <c r="CD205">
        <v>1</v>
      </c>
      <c r="CE205">
        <v>1</v>
      </c>
      <c r="CF205">
        <v>1</v>
      </c>
      <c r="CG205">
        <v>1</v>
      </c>
      <c r="CH205">
        <v>1</v>
      </c>
      <c r="CI205">
        <v>1</v>
      </c>
      <c r="CJ205">
        <v>1</v>
      </c>
      <c r="CK205">
        <v>1</v>
      </c>
      <c r="CL205">
        <v>1</v>
      </c>
      <c r="CM205">
        <v>1</v>
      </c>
      <c r="CN205">
        <v>1</v>
      </c>
      <c r="CO205">
        <v>1</v>
      </c>
      <c r="CP205">
        <v>1</v>
      </c>
      <c r="CQ205">
        <v>1</v>
      </c>
      <c r="CR205">
        <v>2</v>
      </c>
      <c r="CS205">
        <v>1</v>
      </c>
      <c r="CT205">
        <v>1</v>
      </c>
      <c r="CU205">
        <v>1</v>
      </c>
      <c r="CV205">
        <v>1</v>
      </c>
      <c r="CW205">
        <v>1</v>
      </c>
      <c r="CX205">
        <v>1</v>
      </c>
      <c r="CY205">
        <v>1</v>
      </c>
    </row>
    <row r="206" spans="1:103" x14ac:dyDescent="0.3">
      <c r="A206">
        <v>1068</v>
      </c>
      <c r="B206" t="s">
        <v>2068</v>
      </c>
      <c r="D206">
        <v>1</v>
      </c>
      <c r="E206">
        <v>2</v>
      </c>
      <c r="F206">
        <v>2</v>
      </c>
      <c r="G206">
        <v>2</v>
      </c>
      <c r="H206">
        <v>2</v>
      </c>
      <c r="I206">
        <v>2</v>
      </c>
      <c r="J206">
        <v>1</v>
      </c>
      <c r="K206">
        <v>2</v>
      </c>
      <c r="L206">
        <v>2</v>
      </c>
      <c r="M206">
        <v>2</v>
      </c>
      <c r="N206">
        <v>1</v>
      </c>
      <c r="O206">
        <v>1</v>
      </c>
      <c r="P206">
        <v>2</v>
      </c>
      <c r="Q206">
        <v>2</v>
      </c>
      <c r="R206">
        <v>2</v>
      </c>
      <c r="S206">
        <v>2</v>
      </c>
      <c r="U206">
        <v>1</v>
      </c>
      <c r="V206">
        <v>2</v>
      </c>
      <c r="X206">
        <v>2</v>
      </c>
      <c r="Y206">
        <v>2</v>
      </c>
      <c r="Z206">
        <v>1</v>
      </c>
      <c r="AA206">
        <v>2</v>
      </c>
      <c r="AB206">
        <v>1</v>
      </c>
      <c r="AC206">
        <v>1</v>
      </c>
      <c r="AD206">
        <v>2</v>
      </c>
      <c r="AE206">
        <v>1</v>
      </c>
      <c r="AF206">
        <v>1</v>
      </c>
      <c r="AG206">
        <v>1</v>
      </c>
      <c r="AH206">
        <v>1</v>
      </c>
      <c r="AI206">
        <v>1</v>
      </c>
      <c r="AJ206">
        <v>1</v>
      </c>
      <c r="AK206">
        <v>1</v>
      </c>
      <c r="AL206">
        <v>1</v>
      </c>
      <c r="AM206">
        <v>1</v>
      </c>
      <c r="AN206">
        <v>2</v>
      </c>
      <c r="AP206">
        <v>1</v>
      </c>
      <c r="AQ206">
        <v>2</v>
      </c>
      <c r="AR206">
        <v>1</v>
      </c>
      <c r="AS206">
        <v>1</v>
      </c>
      <c r="AT206">
        <v>1</v>
      </c>
      <c r="AU206">
        <v>1</v>
      </c>
      <c r="AV206">
        <v>1</v>
      </c>
      <c r="AW206">
        <v>2</v>
      </c>
      <c r="AX206">
        <v>2</v>
      </c>
      <c r="AY206">
        <v>2</v>
      </c>
      <c r="AZ206">
        <v>1</v>
      </c>
      <c r="BA206">
        <v>1</v>
      </c>
      <c r="BB206">
        <v>2</v>
      </c>
      <c r="BC206">
        <v>2</v>
      </c>
      <c r="BD206">
        <v>1</v>
      </c>
      <c r="BE206">
        <v>2</v>
      </c>
      <c r="BF206">
        <v>1</v>
      </c>
      <c r="BG206">
        <v>1</v>
      </c>
      <c r="BH206">
        <v>2</v>
      </c>
      <c r="BI206">
        <v>2</v>
      </c>
      <c r="BJ206">
        <v>1</v>
      </c>
      <c r="BK206">
        <v>1</v>
      </c>
      <c r="BL206">
        <v>2</v>
      </c>
      <c r="BM206">
        <v>2</v>
      </c>
      <c r="BN206">
        <v>1</v>
      </c>
      <c r="BO206">
        <v>1</v>
      </c>
      <c r="BP206">
        <v>2</v>
      </c>
      <c r="BQ206">
        <v>2</v>
      </c>
      <c r="BR206">
        <v>2</v>
      </c>
      <c r="BS206">
        <v>1</v>
      </c>
      <c r="BT206">
        <v>2</v>
      </c>
      <c r="BU206">
        <v>2</v>
      </c>
      <c r="BV206">
        <v>2</v>
      </c>
      <c r="BW206">
        <v>2</v>
      </c>
      <c r="BX206">
        <v>1</v>
      </c>
      <c r="BY206">
        <v>1</v>
      </c>
      <c r="BZ206">
        <v>2</v>
      </c>
      <c r="CA206">
        <v>2</v>
      </c>
      <c r="CB206">
        <v>2</v>
      </c>
      <c r="CC206">
        <v>2</v>
      </c>
      <c r="CD206">
        <v>1</v>
      </c>
      <c r="CE206">
        <v>1</v>
      </c>
      <c r="CF206">
        <v>2</v>
      </c>
      <c r="CG206">
        <v>2</v>
      </c>
      <c r="CH206">
        <v>2</v>
      </c>
      <c r="CI206">
        <v>1</v>
      </c>
      <c r="CJ206">
        <v>2</v>
      </c>
      <c r="CK206">
        <v>2</v>
      </c>
      <c r="CL206">
        <v>2</v>
      </c>
      <c r="CM206">
        <v>1</v>
      </c>
      <c r="CN206">
        <v>2</v>
      </c>
      <c r="CO206">
        <v>1</v>
      </c>
      <c r="CP206">
        <v>2</v>
      </c>
      <c r="CQ206">
        <v>1</v>
      </c>
      <c r="CR206">
        <v>1</v>
      </c>
      <c r="CS206">
        <v>2</v>
      </c>
      <c r="CT206">
        <v>2</v>
      </c>
      <c r="CU206">
        <v>1</v>
      </c>
      <c r="CV206">
        <v>2</v>
      </c>
      <c r="CW206">
        <v>1</v>
      </c>
      <c r="CX206">
        <v>1</v>
      </c>
      <c r="CY206">
        <v>2</v>
      </c>
    </row>
    <row r="207" spans="1:103" x14ac:dyDescent="0.3">
      <c r="A207">
        <v>1069</v>
      </c>
      <c r="B207" t="s">
        <v>1674</v>
      </c>
      <c r="D207">
        <v>1</v>
      </c>
      <c r="E207">
        <v>3</v>
      </c>
      <c r="F207">
        <v>3</v>
      </c>
      <c r="G207">
        <v>3</v>
      </c>
      <c r="H207">
        <v>2</v>
      </c>
      <c r="I207">
        <v>3</v>
      </c>
      <c r="J207">
        <v>3</v>
      </c>
      <c r="K207">
        <v>3</v>
      </c>
      <c r="L207">
        <v>3</v>
      </c>
      <c r="M207">
        <v>3</v>
      </c>
      <c r="N207">
        <v>1</v>
      </c>
      <c r="O207">
        <v>1</v>
      </c>
      <c r="P207">
        <v>3</v>
      </c>
      <c r="Q207">
        <v>3</v>
      </c>
      <c r="R207">
        <v>2</v>
      </c>
      <c r="S207">
        <v>3</v>
      </c>
      <c r="U207">
        <v>1</v>
      </c>
      <c r="V207">
        <v>3</v>
      </c>
      <c r="X207">
        <v>2</v>
      </c>
      <c r="Y207">
        <v>3</v>
      </c>
      <c r="Z207">
        <v>1</v>
      </c>
      <c r="AA207">
        <v>3</v>
      </c>
      <c r="AB207">
        <v>1</v>
      </c>
      <c r="AC207">
        <v>1</v>
      </c>
      <c r="AD207">
        <v>3</v>
      </c>
      <c r="AE207">
        <v>1</v>
      </c>
      <c r="AF207">
        <v>1</v>
      </c>
      <c r="AG207">
        <v>1</v>
      </c>
      <c r="AH207">
        <v>1</v>
      </c>
      <c r="AI207">
        <v>3</v>
      </c>
      <c r="AJ207">
        <v>1</v>
      </c>
      <c r="AK207">
        <v>1</v>
      </c>
      <c r="AL207">
        <v>1</v>
      </c>
      <c r="AM207">
        <v>1</v>
      </c>
      <c r="AN207">
        <v>3</v>
      </c>
      <c r="AP207">
        <v>1</v>
      </c>
      <c r="AQ207">
        <v>3</v>
      </c>
      <c r="AR207">
        <v>3</v>
      </c>
      <c r="AS207">
        <v>1</v>
      </c>
      <c r="AT207">
        <v>1</v>
      </c>
      <c r="AU207">
        <v>2</v>
      </c>
      <c r="AV207">
        <v>1</v>
      </c>
      <c r="AW207">
        <v>3</v>
      </c>
      <c r="AX207">
        <v>3</v>
      </c>
      <c r="AY207">
        <v>3</v>
      </c>
      <c r="AZ207">
        <v>1</v>
      </c>
      <c r="BA207">
        <v>1</v>
      </c>
      <c r="BB207">
        <v>1</v>
      </c>
      <c r="BC207">
        <v>2</v>
      </c>
      <c r="BD207">
        <v>1</v>
      </c>
      <c r="BE207">
        <v>2</v>
      </c>
      <c r="BF207">
        <v>1</v>
      </c>
      <c r="BG207">
        <v>1</v>
      </c>
      <c r="BH207">
        <v>2</v>
      </c>
      <c r="BI207">
        <v>2</v>
      </c>
      <c r="BJ207">
        <v>1</v>
      </c>
      <c r="BK207">
        <v>2</v>
      </c>
      <c r="BL207">
        <v>3</v>
      </c>
      <c r="BM207">
        <v>3</v>
      </c>
      <c r="BN207">
        <v>1</v>
      </c>
      <c r="BO207">
        <v>1</v>
      </c>
      <c r="BP207">
        <v>1</v>
      </c>
      <c r="BQ207">
        <v>2</v>
      </c>
      <c r="BR207">
        <v>3</v>
      </c>
      <c r="BS207">
        <v>1</v>
      </c>
      <c r="BT207">
        <v>3</v>
      </c>
      <c r="BU207">
        <v>2</v>
      </c>
      <c r="BV207">
        <v>3</v>
      </c>
      <c r="BW207">
        <v>2</v>
      </c>
      <c r="BX207">
        <v>1</v>
      </c>
      <c r="BY207">
        <v>1</v>
      </c>
      <c r="BZ207">
        <v>3</v>
      </c>
      <c r="CA207">
        <v>3</v>
      </c>
      <c r="CB207">
        <v>3</v>
      </c>
      <c r="CC207">
        <v>2</v>
      </c>
      <c r="CD207">
        <v>1</v>
      </c>
      <c r="CE207">
        <v>1</v>
      </c>
      <c r="CF207">
        <v>3</v>
      </c>
      <c r="CG207">
        <v>3</v>
      </c>
      <c r="CH207">
        <v>3</v>
      </c>
      <c r="CI207">
        <v>1</v>
      </c>
      <c r="CJ207">
        <v>1</v>
      </c>
      <c r="CK207">
        <v>3</v>
      </c>
      <c r="CL207">
        <v>3</v>
      </c>
      <c r="CM207">
        <v>1</v>
      </c>
      <c r="CN207">
        <v>2</v>
      </c>
      <c r="CO207">
        <v>1</v>
      </c>
      <c r="CP207">
        <v>3</v>
      </c>
      <c r="CQ207">
        <v>1</v>
      </c>
      <c r="CR207">
        <v>1</v>
      </c>
      <c r="CS207">
        <v>3</v>
      </c>
      <c r="CT207">
        <v>3</v>
      </c>
      <c r="CU207">
        <v>1</v>
      </c>
      <c r="CV207">
        <v>1</v>
      </c>
      <c r="CW207">
        <v>1</v>
      </c>
      <c r="CX207">
        <v>1</v>
      </c>
      <c r="CY207">
        <v>3</v>
      </c>
    </row>
    <row r="208" spans="1:103" x14ac:dyDescent="0.3">
      <c r="A208">
        <v>1070</v>
      </c>
      <c r="B208" t="s">
        <v>2069</v>
      </c>
      <c r="D208">
        <v>2</v>
      </c>
      <c r="E208">
        <v>2</v>
      </c>
      <c r="F208">
        <v>2</v>
      </c>
      <c r="G208">
        <v>2</v>
      </c>
      <c r="H208">
        <v>2</v>
      </c>
      <c r="I208">
        <v>2</v>
      </c>
      <c r="J208">
        <v>2</v>
      </c>
      <c r="K208">
        <v>2</v>
      </c>
      <c r="L208">
        <v>2</v>
      </c>
      <c r="M208">
        <v>2</v>
      </c>
      <c r="N208">
        <v>2</v>
      </c>
      <c r="O208">
        <v>2</v>
      </c>
      <c r="P208">
        <v>2</v>
      </c>
      <c r="Q208">
        <v>2</v>
      </c>
      <c r="R208">
        <v>2</v>
      </c>
      <c r="S208">
        <v>2</v>
      </c>
      <c r="U208">
        <v>2</v>
      </c>
      <c r="V208">
        <v>2</v>
      </c>
      <c r="X208">
        <v>2</v>
      </c>
      <c r="Y208">
        <v>2</v>
      </c>
      <c r="Z208">
        <v>2</v>
      </c>
      <c r="AA208">
        <v>2</v>
      </c>
      <c r="AB208">
        <v>2</v>
      </c>
      <c r="AC208">
        <v>2</v>
      </c>
      <c r="AD208">
        <v>2</v>
      </c>
      <c r="AE208">
        <v>2</v>
      </c>
      <c r="AF208">
        <v>2</v>
      </c>
      <c r="AG208">
        <v>2</v>
      </c>
      <c r="AH208">
        <v>2</v>
      </c>
      <c r="AI208">
        <v>2</v>
      </c>
      <c r="AJ208">
        <v>2</v>
      </c>
      <c r="AK208">
        <v>2</v>
      </c>
      <c r="AL208">
        <v>1</v>
      </c>
      <c r="AM208">
        <v>2</v>
      </c>
      <c r="AN208">
        <v>2</v>
      </c>
      <c r="AP208">
        <v>2</v>
      </c>
      <c r="AQ208">
        <v>2</v>
      </c>
      <c r="AR208">
        <v>2</v>
      </c>
      <c r="AS208">
        <v>2</v>
      </c>
      <c r="AT208">
        <v>2</v>
      </c>
      <c r="AU208">
        <v>2</v>
      </c>
      <c r="AV208">
        <v>1</v>
      </c>
      <c r="AW208">
        <v>2</v>
      </c>
      <c r="AX208">
        <v>2</v>
      </c>
      <c r="AY208">
        <v>2</v>
      </c>
      <c r="AZ208">
        <v>2</v>
      </c>
      <c r="BA208">
        <v>2</v>
      </c>
      <c r="BB208">
        <v>2</v>
      </c>
      <c r="BC208">
        <v>2</v>
      </c>
      <c r="BD208">
        <v>2</v>
      </c>
      <c r="BE208">
        <v>2</v>
      </c>
      <c r="BF208">
        <v>2</v>
      </c>
      <c r="BG208">
        <v>2</v>
      </c>
      <c r="BH208">
        <v>2</v>
      </c>
      <c r="BI208">
        <v>2</v>
      </c>
      <c r="BJ208">
        <v>2</v>
      </c>
      <c r="BK208">
        <v>1</v>
      </c>
      <c r="BL208">
        <v>2</v>
      </c>
      <c r="BM208">
        <v>2</v>
      </c>
      <c r="BN208">
        <v>2</v>
      </c>
      <c r="BO208">
        <v>2</v>
      </c>
      <c r="BP208">
        <v>1</v>
      </c>
      <c r="BQ208">
        <v>2</v>
      </c>
      <c r="BR208">
        <v>2</v>
      </c>
      <c r="BS208">
        <v>2</v>
      </c>
      <c r="BT208">
        <v>2</v>
      </c>
      <c r="BU208">
        <v>2</v>
      </c>
      <c r="BV208">
        <v>2</v>
      </c>
      <c r="BW208">
        <v>2</v>
      </c>
      <c r="BX208">
        <v>2</v>
      </c>
      <c r="BY208">
        <v>2</v>
      </c>
      <c r="BZ208">
        <v>2</v>
      </c>
      <c r="CA208">
        <v>2</v>
      </c>
      <c r="CB208">
        <v>2</v>
      </c>
      <c r="CC208">
        <v>2</v>
      </c>
      <c r="CD208">
        <v>2</v>
      </c>
      <c r="CE208">
        <v>2</v>
      </c>
      <c r="CF208">
        <v>2</v>
      </c>
      <c r="CG208">
        <v>2</v>
      </c>
      <c r="CH208">
        <v>2</v>
      </c>
      <c r="CI208">
        <v>2</v>
      </c>
      <c r="CJ208">
        <v>2</v>
      </c>
      <c r="CK208">
        <v>2</v>
      </c>
      <c r="CL208">
        <v>2</v>
      </c>
      <c r="CM208">
        <v>2</v>
      </c>
      <c r="CN208">
        <v>2</v>
      </c>
      <c r="CO208">
        <v>2</v>
      </c>
      <c r="CP208">
        <v>2</v>
      </c>
      <c r="CQ208">
        <v>2</v>
      </c>
      <c r="CR208">
        <v>2</v>
      </c>
      <c r="CS208">
        <v>2</v>
      </c>
      <c r="CT208">
        <v>2</v>
      </c>
      <c r="CU208">
        <v>2</v>
      </c>
      <c r="CV208">
        <v>2</v>
      </c>
      <c r="CW208">
        <v>2</v>
      </c>
      <c r="CX208">
        <v>2</v>
      </c>
      <c r="CY208">
        <v>2</v>
      </c>
    </row>
    <row r="209" spans="1:103" x14ac:dyDescent="0.3">
      <c r="A209">
        <v>1071</v>
      </c>
      <c r="B209" t="s">
        <v>2070</v>
      </c>
      <c r="D209">
        <v>158222</v>
      </c>
      <c r="E209">
        <v>92584</v>
      </c>
      <c r="F209">
        <v>1081616</v>
      </c>
      <c r="G209">
        <v>4748349</v>
      </c>
      <c r="H209">
        <v>4819185</v>
      </c>
      <c r="I209">
        <v>99253</v>
      </c>
      <c r="J209">
        <v>0</v>
      </c>
      <c r="K209">
        <v>85001</v>
      </c>
      <c r="L209">
        <v>749558</v>
      </c>
      <c r="M209">
        <v>190913</v>
      </c>
      <c r="N209">
        <v>12518680</v>
      </c>
      <c r="O209">
        <v>13272388</v>
      </c>
      <c r="P209">
        <v>8569453</v>
      </c>
      <c r="Q209">
        <v>1425245</v>
      </c>
      <c r="R209">
        <v>2150174</v>
      </c>
      <c r="S209">
        <v>7592042</v>
      </c>
      <c r="U209">
        <v>2976929</v>
      </c>
      <c r="V209">
        <v>0</v>
      </c>
      <c r="X209">
        <v>350000</v>
      </c>
      <c r="Y209">
        <v>1090745</v>
      </c>
      <c r="Z209">
        <v>790834</v>
      </c>
      <c r="AA209">
        <v>1007492</v>
      </c>
      <c r="AB209">
        <v>4675295</v>
      </c>
      <c r="AC209">
        <v>18590191</v>
      </c>
      <c r="AD209">
        <v>5439746</v>
      </c>
      <c r="AE209">
        <v>0</v>
      </c>
      <c r="AF209">
        <v>33469928</v>
      </c>
      <c r="AG209">
        <v>2786886</v>
      </c>
      <c r="AH209">
        <v>9311177</v>
      </c>
      <c r="AI209">
        <v>468731</v>
      </c>
      <c r="AJ209">
        <v>5926708</v>
      </c>
      <c r="AK209">
        <v>23096015</v>
      </c>
      <c r="AL209">
        <v>9528221</v>
      </c>
      <c r="AM209">
        <v>10256215</v>
      </c>
      <c r="AN209">
        <v>0</v>
      </c>
      <c r="AP209">
        <v>9387820</v>
      </c>
      <c r="AQ209">
        <v>0</v>
      </c>
      <c r="AR209">
        <v>28009441</v>
      </c>
      <c r="AS209">
        <v>7713856</v>
      </c>
      <c r="AT209">
        <v>1249448</v>
      </c>
      <c r="AU209">
        <v>5114051</v>
      </c>
      <c r="AV209">
        <v>0</v>
      </c>
      <c r="AW209">
        <v>2211267</v>
      </c>
      <c r="AX209">
        <v>10000000</v>
      </c>
      <c r="AY209">
        <v>687110</v>
      </c>
      <c r="AZ209">
        <v>8429993</v>
      </c>
      <c r="BA209">
        <v>7713847</v>
      </c>
      <c r="BB209">
        <v>0</v>
      </c>
      <c r="BC209">
        <v>0</v>
      </c>
      <c r="BD209">
        <v>6198438</v>
      </c>
      <c r="BE209">
        <v>3096585</v>
      </c>
      <c r="BF209">
        <v>10747809</v>
      </c>
      <c r="BG209">
        <v>1875659</v>
      </c>
      <c r="BH209">
        <v>2113252</v>
      </c>
      <c r="BI209">
        <v>0</v>
      </c>
      <c r="BJ209">
        <v>2778366</v>
      </c>
      <c r="BK209">
        <v>49673028</v>
      </c>
      <c r="BL209">
        <v>1227415</v>
      </c>
      <c r="BM209">
        <v>74502</v>
      </c>
      <c r="BN209">
        <v>0</v>
      </c>
      <c r="BO209">
        <v>108405</v>
      </c>
      <c r="BP209">
        <v>16129911</v>
      </c>
      <c r="BQ209">
        <v>20000</v>
      </c>
      <c r="BR209">
        <v>4191776</v>
      </c>
      <c r="BS209">
        <v>8593260</v>
      </c>
      <c r="BT209">
        <v>2471876</v>
      </c>
      <c r="BU209">
        <v>7852068</v>
      </c>
      <c r="BV209">
        <v>0</v>
      </c>
      <c r="BW209">
        <v>1307515</v>
      </c>
      <c r="BX209">
        <v>4920470</v>
      </c>
      <c r="BY209">
        <v>1578553</v>
      </c>
      <c r="BZ209">
        <v>0</v>
      </c>
      <c r="CA209">
        <v>10534299</v>
      </c>
      <c r="CB209">
        <v>1022573</v>
      </c>
      <c r="CC209">
        <v>1753105</v>
      </c>
      <c r="CD209">
        <v>2720835</v>
      </c>
      <c r="CE209">
        <v>7666718</v>
      </c>
      <c r="CF209">
        <v>0</v>
      </c>
      <c r="CG209">
        <v>2000000</v>
      </c>
      <c r="CH209">
        <v>1289878</v>
      </c>
      <c r="CI209">
        <v>0</v>
      </c>
      <c r="CJ209">
        <v>6455517</v>
      </c>
      <c r="CK209">
        <v>9698821</v>
      </c>
      <c r="CL209">
        <v>560536</v>
      </c>
      <c r="CM209">
        <v>2388858</v>
      </c>
      <c r="CN209">
        <v>0</v>
      </c>
      <c r="CO209">
        <v>8067480</v>
      </c>
      <c r="CP209">
        <v>2248202</v>
      </c>
      <c r="CQ209">
        <v>41953329</v>
      </c>
      <c r="CR209">
        <v>3807165</v>
      </c>
      <c r="CS209">
        <v>55097</v>
      </c>
      <c r="CT209">
        <v>4232480</v>
      </c>
      <c r="CU209">
        <v>5615676</v>
      </c>
      <c r="CV209">
        <v>0</v>
      </c>
      <c r="CW209">
        <v>2055557</v>
      </c>
      <c r="CX209">
        <v>0</v>
      </c>
      <c r="CY209">
        <v>0</v>
      </c>
    </row>
    <row r="210" spans="1:103" x14ac:dyDescent="0.3">
      <c r="A210">
        <v>1075</v>
      </c>
      <c r="B210" t="s">
        <v>2071</v>
      </c>
      <c r="D210">
        <v>0</v>
      </c>
      <c r="E210">
        <v>601361</v>
      </c>
      <c r="F210">
        <v>0</v>
      </c>
      <c r="G210">
        <v>957403</v>
      </c>
      <c r="H210">
        <v>0</v>
      </c>
      <c r="I210">
        <v>0</v>
      </c>
      <c r="J210">
        <v>0</v>
      </c>
      <c r="K210">
        <v>0</v>
      </c>
      <c r="L210">
        <v>0</v>
      </c>
      <c r="M210">
        <v>0</v>
      </c>
      <c r="N210">
        <v>0</v>
      </c>
      <c r="O210">
        <v>250000</v>
      </c>
      <c r="P210">
        <v>0</v>
      </c>
      <c r="Q210">
        <v>0</v>
      </c>
      <c r="R210">
        <v>0</v>
      </c>
      <c r="S210">
        <v>0</v>
      </c>
      <c r="U210">
        <v>0</v>
      </c>
      <c r="V210">
        <v>0</v>
      </c>
      <c r="X210">
        <v>0</v>
      </c>
      <c r="Y210">
        <v>0</v>
      </c>
      <c r="Z210">
        <v>0</v>
      </c>
      <c r="AA210">
        <v>0</v>
      </c>
      <c r="AB210">
        <v>18000</v>
      </c>
      <c r="AC210">
        <v>1072226</v>
      </c>
      <c r="AD210">
        <v>0</v>
      </c>
      <c r="AE210">
        <v>0</v>
      </c>
      <c r="AF210">
        <v>884525</v>
      </c>
      <c r="AG210">
        <v>104085</v>
      </c>
      <c r="AH210">
        <v>0</v>
      </c>
      <c r="AI210">
        <v>0</v>
      </c>
      <c r="AJ210">
        <v>5686</v>
      </c>
      <c r="AK210">
        <v>0</v>
      </c>
      <c r="AL210">
        <v>0</v>
      </c>
      <c r="AM210">
        <v>0</v>
      </c>
      <c r="AN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0</v>
      </c>
      <c r="BY210">
        <v>0</v>
      </c>
      <c r="BZ210">
        <v>0</v>
      </c>
      <c r="CA210">
        <v>1281000</v>
      </c>
      <c r="CB210">
        <v>0</v>
      </c>
      <c r="CC210">
        <v>0</v>
      </c>
      <c r="CD210">
        <v>1093989</v>
      </c>
      <c r="CE210">
        <v>0</v>
      </c>
      <c r="CF210">
        <v>0</v>
      </c>
      <c r="CG210">
        <v>0</v>
      </c>
      <c r="CH210">
        <v>451731</v>
      </c>
      <c r="CI210">
        <v>0</v>
      </c>
      <c r="CJ210">
        <v>270080</v>
      </c>
      <c r="CK210">
        <v>0</v>
      </c>
      <c r="CL210">
        <v>0</v>
      </c>
      <c r="CM210">
        <v>0</v>
      </c>
      <c r="CN210">
        <v>0</v>
      </c>
      <c r="CO210">
        <v>0</v>
      </c>
      <c r="CP210">
        <v>93394</v>
      </c>
      <c r="CQ210">
        <v>0</v>
      </c>
      <c r="CR210">
        <v>165000</v>
      </c>
      <c r="CS210">
        <v>0</v>
      </c>
      <c r="CT210">
        <v>0</v>
      </c>
      <c r="CU210">
        <v>206912</v>
      </c>
      <c r="CV210">
        <v>0</v>
      </c>
      <c r="CW210">
        <v>0</v>
      </c>
      <c r="CX210">
        <v>6320</v>
      </c>
      <c r="CY210">
        <v>50000</v>
      </c>
    </row>
    <row r="211" spans="1:103" x14ac:dyDescent="0.3">
      <c r="A211">
        <v>1076</v>
      </c>
      <c r="B211" t="s">
        <v>2072</v>
      </c>
      <c r="D211">
        <v>0</v>
      </c>
      <c r="E211">
        <v>871651</v>
      </c>
      <c r="F211">
        <v>0</v>
      </c>
      <c r="G211">
        <v>0</v>
      </c>
      <c r="H211">
        <v>0</v>
      </c>
      <c r="I211">
        <v>0</v>
      </c>
      <c r="J211">
        <v>0</v>
      </c>
      <c r="K211">
        <v>0</v>
      </c>
      <c r="L211">
        <v>0</v>
      </c>
      <c r="M211">
        <v>0</v>
      </c>
      <c r="N211">
        <v>0</v>
      </c>
      <c r="O211">
        <v>167660</v>
      </c>
      <c r="P211">
        <v>0</v>
      </c>
      <c r="Q211">
        <v>0</v>
      </c>
      <c r="R211">
        <v>0</v>
      </c>
      <c r="S211">
        <v>0</v>
      </c>
      <c r="U211">
        <v>0</v>
      </c>
      <c r="V211">
        <v>0</v>
      </c>
      <c r="X211">
        <v>0</v>
      </c>
      <c r="Y211">
        <v>0</v>
      </c>
      <c r="Z211">
        <v>0</v>
      </c>
      <c r="AA211">
        <v>680527</v>
      </c>
      <c r="AB211">
        <v>169000</v>
      </c>
      <c r="AC211">
        <v>0</v>
      </c>
      <c r="AD211">
        <v>0</v>
      </c>
      <c r="AE211">
        <v>0</v>
      </c>
      <c r="AF211">
        <v>0</v>
      </c>
      <c r="AG211">
        <v>0</v>
      </c>
      <c r="AH211">
        <v>0</v>
      </c>
      <c r="AI211">
        <v>0</v>
      </c>
      <c r="AJ211">
        <v>0</v>
      </c>
      <c r="AK211">
        <v>0</v>
      </c>
      <c r="AL211">
        <v>160905</v>
      </c>
      <c r="AM211">
        <v>0</v>
      </c>
      <c r="AN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150000</v>
      </c>
      <c r="BU211">
        <v>0</v>
      </c>
      <c r="BV211">
        <v>0</v>
      </c>
      <c r="BW211">
        <v>0</v>
      </c>
      <c r="BX211">
        <v>0</v>
      </c>
      <c r="BY211">
        <v>0</v>
      </c>
      <c r="BZ211">
        <v>0</v>
      </c>
      <c r="CA211">
        <v>0</v>
      </c>
      <c r="CB211">
        <v>0</v>
      </c>
      <c r="CC211">
        <v>0</v>
      </c>
      <c r="CD211">
        <v>2771</v>
      </c>
      <c r="CE211">
        <v>0</v>
      </c>
      <c r="CF211">
        <v>0</v>
      </c>
      <c r="CG211">
        <v>0</v>
      </c>
      <c r="CH211">
        <v>0</v>
      </c>
      <c r="CI211">
        <v>0</v>
      </c>
      <c r="CJ211">
        <v>0</v>
      </c>
      <c r="CK211">
        <v>0</v>
      </c>
      <c r="CL211">
        <v>0</v>
      </c>
      <c r="CM211">
        <v>0</v>
      </c>
      <c r="CN211">
        <v>0</v>
      </c>
      <c r="CO211">
        <v>0</v>
      </c>
      <c r="CP211">
        <v>0</v>
      </c>
      <c r="CQ211">
        <v>0</v>
      </c>
      <c r="CR211">
        <v>73511</v>
      </c>
      <c r="CS211">
        <v>0</v>
      </c>
      <c r="CT211">
        <v>0</v>
      </c>
      <c r="CU211">
        <v>0</v>
      </c>
      <c r="CV211">
        <v>0</v>
      </c>
      <c r="CW211">
        <v>0</v>
      </c>
      <c r="CX211">
        <v>0</v>
      </c>
      <c r="CY211">
        <v>0</v>
      </c>
    </row>
    <row r="212" spans="1:103" x14ac:dyDescent="0.3">
      <c r="A212">
        <v>1077</v>
      </c>
      <c r="B212" t="s">
        <v>2073</v>
      </c>
      <c r="D212">
        <v>0</v>
      </c>
      <c r="E212">
        <v>0</v>
      </c>
      <c r="F212">
        <v>0</v>
      </c>
      <c r="G212">
        <v>0</v>
      </c>
      <c r="H212">
        <v>0</v>
      </c>
      <c r="I212">
        <v>0</v>
      </c>
      <c r="J212">
        <v>0</v>
      </c>
      <c r="K212">
        <v>0</v>
      </c>
      <c r="L212">
        <v>0</v>
      </c>
      <c r="M212">
        <v>11793960</v>
      </c>
      <c r="N212">
        <v>0</v>
      </c>
      <c r="O212">
        <v>0</v>
      </c>
      <c r="P212">
        <v>0</v>
      </c>
      <c r="Q212">
        <v>0</v>
      </c>
      <c r="R212">
        <v>0</v>
      </c>
      <c r="S212">
        <v>0</v>
      </c>
      <c r="U212">
        <v>0</v>
      </c>
      <c r="V212">
        <v>0</v>
      </c>
      <c r="X212">
        <v>0</v>
      </c>
      <c r="Y212">
        <v>0</v>
      </c>
      <c r="Z212">
        <v>0</v>
      </c>
      <c r="AA212">
        <v>0</v>
      </c>
      <c r="AB212">
        <v>1269261</v>
      </c>
      <c r="AC212">
        <v>0</v>
      </c>
      <c r="AD212">
        <v>2098841</v>
      </c>
      <c r="AE212">
        <v>2807600</v>
      </c>
      <c r="AF212">
        <v>0</v>
      </c>
      <c r="AG212">
        <v>918000</v>
      </c>
      <c r="AH212">
        <v>0</v>
      </c>
      <c r="AI212">
        <v>0</v>
      </c>
      <c r="AJ212">
        <v>0</v>
      </c>
      <c r="AK212">
        <v>0</v>
      </c>
      <c r="AL212">
        <v>2147900</v>
      </c>
      <c r="AM212">
        <v>0</v>
      </c>
      <c r="AN212">
        <v>0</v>
      </c>
      <c r="AP212">
        <v>0</v>
      </c>
      <c r="AQ212">
        <v>807015</v>
      </c>
      <c r="AR212">
        <v>0</v>
      </c>
      <c r="AS212">
        <v>0</v>
      </c>
      <c r="AT212">
        <v>24372908</v>
      </c>
      <c r="AU212">
        <v>0</v>
      </c>
      <c r="AV212">
        <v>0</v>
      </c>
      <c r="AW212">
        <v>0</v>
      </c>
      <c r="AX212">
        <v>2355612</v>
      </c>
      <c r="AY212">
        <v>0</v>
      </c>
      <c r="AZ212">
        <v>0</v>
      </c>
      <c r="BA212">
        <v>0</v>
      </c>
      <c r="BB212">
        <v>12806399</v>
      </c>
      <c r="BC212">
        <v>0</v>
      </c>
      <c r="BD212">
        <v>0</v>
      </c>
      <c r="BE212">
        <v>0</v>
      </c>
      <c r="BF212">
        <v>365000</v>
      </c>
      <c r="BG212">
        <v>0</v>
      </c>
      <c r="BH212">
        <v>0</v>
      </c>
      <c r="BI212">
        <v>0</v>
      </c>
      <c r="BJ212">
        <v>0</v>
      </c>
      <c r="BK212">
        <v>0</v>
      </c>
      <c r="BL212">
        <v>0</v>
      </c>
      <c r="BM212">
        <v>0</v>
      </c>
      <c r="BN212">
        <v>2199559</v>
      </c>
      <c r="BO212">
        <v>0</v>
      </c>
      <c r="BP212">
        <v>0</v>
      </c>
      <c r="BQ212">
        <v>0</v>
      </c>
      <c r="BR212">
        <v>0</v>
      </c>
      <c r="BS212">
        <v>0</v>
      </c>
      <c r="BT212">
        <v>0</v>
      </c>
      <c r="BU212">
        <v>0</v>
      </c>
      <c r="BV212">
        <v>8503114</v>
      </c>
      <c r="BW212">
        <v>0</v>
      </c>
      <c r="BX212">
        <v>0</v>
      </c>
      <c r="BY212">
        <v>0</v>
      </c>
      <c r="BZ212">
        <v>0</v>
      </c>
      <c r="CA212">
        <v>0</v>
      </c>
      <c r="CB212">
        <v>0</v>
      </c>
      <c r="CC212">
        <v>0</v>
      </c>
      <c r="CD212">
        <v>0</v>
      </c>
      <c r="CE212">
        <v>0</v>
      </c>
      <c r="CF212">
        <v>0</v>
      </c>
      <c r="CG212">
        <v>0</v>
      </c>
      <c r="CH212">
        <v>0</v>
      </c>
      <c r="CI212">
        <v>181894</v>
      </c>
      <c r="CJ212">
        <v>0</v>
      </c>
      <c r="CK212">
        <v>0</v>
      </c>
      <c r="CL212">
        <v>0</v>
      </c>
      <c r="CM212">
        <v>0</v>
      </c>
      <c r="CN212">
        <v>0</v>
      </c>
      <c r="CO212">
        <v>0</v>
      </c>
      <c r="CP212">
        <v>0</v>
      </c>
      <c r="CQ212">
        <v>0</v>
      </c>
      <c r="CR212">
        <v>0</v>
      </c>
      <c r="CS212">
        <v>0</v>
      </c>
      <c r="CT212">
        <v>0</v>
      </c>
      <c r="CU212">
        <v>0</v>
      </c>
      <c r="CV212">
        <v>0</v>
      </c>
      <c r="CW212">
        <v>0</v>
      </c>
      <c r="CX212">
        <v>0</v>
      </c>
      <c r="CY212">
        <v>0</v>
      </c>
    </row>
    <row r="213" spans="1:103" x14ac:dyDescent="0.3">
      <c r="A213">
        <v>1078</v>
      </c>
      <c r="B213" t="s">
        <v>2074</v>
      </c>
      <c r="D213">
        <v>3</v>
      </c>
      <c r="E213">
        <v>3</v>
      </c>
      <c r="F213">
        <v>3</v>
      </c>
      <c r="G213">
        <v>3</v>
      </c>
      <c r="H213">
        <v>3</v>
      </c>
      <c r="I213">
        <v>3</v>
      </c>
      <c r="J213">
        <v>3</v>
      </c>
      <c r="K213">
        <v>3</v>
      </c>
      <c r="L213">
        <v>3</v>
      </c>
      <c r="M213">
        <v>3</v>
      </c>
      <c r="N213">
        <v>3</v>
      </c>
      <c r="O213">
        <v>3</v>
      </c>
      <c r="P213">
        <v>3</v>
      </c>
      <c r="Q213">
        <v>3</v>
      </c>
      <c r="R213">
        <v>3</v>
      </c>
      <c r="S213">
        <v>3</v>
      </c>
      <c r="U213">
        <v>3</v>
      </c>
      <c r="V213">
        <v>3</v>
      </c>
      <c r="X213">
        <v>3</v>
      </c>
      <c r="Y213">
        <v>3</v>
      </c>
      <c r="Z213">
        <v>2</v>
      </c>
      <c r="AA213">
        <v>3</v>
      </c>
      <c r="AB213">
        <v>3</v>
      </c>
      <c r="AC213">
        <v>3</v>
      </c>
      <c r="AD213">
        <v>3</v>
      </c>
      <c r="AE213">
        <v>3</v>
      </c>
      <c r="AF213">
        <v>3</v>
      </c>
      <c r="AG213">
        <v>3</v>
      </c>
      <c r="AH213">
        <v>3</v>
      </c>
      <c r="AI213">
        <v>3</v>
      </c>
      <c r="AJ213">
        <v>3</v>
      </c>
      <c r="AK213">
        <v>3</v>
      </c>
      <c r="AL213">
        <v>3</v>
      </c>
      <c r="AM213">
        <v>3</v>
      </c>
      <c r="AN213">
        <v>3</v>
      </c>
      <c r="AP213">
        <v>3</v>
      </c>
      <c r="AQ213">
        <v>3</v>
      </c>
      <c r="AR213">
        <v>3</v>
      </c>
      <c r="AS213">
        <v>3</v>
      </c>
      <c r="AT213">
        <v>3</v>
      </c>
      <c r="AU213">
        <v>3</v>
      </c>
      <c r="AV213">
        <v>3</v>
      </c>
      <c r="AW213">
        <v>3</v>
      </c>
      <c r="AX213">
        <v>3</v>
      </c>
      <c r="AY213">
        <v>3</v>
      </c>
      <c r="AZ213">
        <v>3</v>
      </c>
      <c r="BA213">
        <v>3</v>
      </c>
      <c r="BB213">
        <v>3</v>
      </c>
      <c r="BC213">
        <v>3</v>
      </c>
      <c r="BD213">
        <v>3</v>
      </c>
      <c r="BE213">
        <v>3</v>
      </c>
      <c r="BF213">
        <v>3</v>
      </c>
      <c r="BG213">
        <v>3</v>
      </c>
      <c r="BH213">
        <v>3</v>
      </c>
      <c r="BI213">
        <v>3</v>
      </c>
      <c r="BJ213">
        <v>3</v>
      </c>
      <c r="BK213">
        <v>3</v>
      </c>
      <c r="BL213">
        <v>3</v>
      </c>
      <c r="BM213">
        <v>3</v>
      </c>
      <c r="BN213">
        <v>3</v>
      </c>
      <c r="BO213">
        <v>3</v>
      </c>
      <c r="BP213">
        <v>3</v>
      </c>
      <c r="BQ213">
        <v>3</v>
      </c>
      <c r="BR213">
        <v>3</v>
      </c>
      <c r="BS213">
        <v>3</v>
      </c>
      <c r="BT213">
        <v>3</v>
      </c>
      <c r="BU213">
        <v>3</v>
      </c>
      <c r="BV213">
        <v>3</v>
      </c>
      <c r="BW213">
        <v>3</v>
      </c>
      <c r="BX213">
        <v>3</v>
      </c>
      <c r="BY213">
        <v>3</v>
      </c>
      <c r="BZ213">
        <v>3</v>
      </c>
      <c r="CA213">
        <v>3</v>
      </c>
      <c r="CB213">
        <v>3</v>
      </c>
      <c r="CC213">
        <v>3</v>
      </c>
      <c r="CD213">
        <v>3</v>
      </c>
      <c r="CE213">
        <v>3</v>
      </c>
      <c r="CF213">
        <v>3</v>
      </c>
      <c r="CG213">
        <v>3</v>
      </c>
      <c r="CH213">
        <v>3</v>
      </c>
      <c r="CI213">
        <v>3</v>
      </c>
      <c r="CJ213">
        <v>3</v>
      </c>
      <c r="CK213">
        <v>3</v>
      </c>
      <c r="CL213">
        <v>3</v>
      </c>
      <c r="CM213">
        <v>3</v>
      </c>
      <c r="CN213">
        <v>3</v>
      </c>
      <c r="CO213">
        <v>3</v>
      </c>
      <c r="CP213">
        <v>3</v>
      </c>
      <c r="CQ213">
        <v>3</v>
      </c>
      <c r="CR213">
        <v>3</v>
      </c>
      <c r="CS213">
        <v>3</v>
      </c>
      <c r="CT213">
        <v>1</v>
      </c>
      <c r="CU213">
        <v>3</v>
      </c>
      <c r="CV213">
        <v>3</v>
      </c>
      <c r="CW213">
        <v>3</v>
      </c>
      <c r="CX213">
        <v>3</v>
      </c>
      <c r="CY213">
        <v>3</v>
      </c>
    </row>
    <row r="214" spans="1:103" x14ac:dyDescent="0.3">
      <c r="A214">
        <v>1079</v>
      </c>
      <c r="B214" t="s">
        <v>2075</v>
      </c>
      <c r="D214" t="s">
        <v>1895</v>
      </c>
      <c r="E214" t="s">
        <v>1780</v>
      </c>
      <c r="F214" t="s">
        <v>1886</v>
      </c>
      <c r="G214" t="s">
        <v>2006</v>
      </c>
      <c r="H214" t="s">
        <v>2076</v>
      </c>
      <c r="I214" t="s">
        <v>1889</v>
      </c>
      <c r="J214" t="s">
        <v>1886</v>
      </c>
      <c r="K214" t="s">
        <v>1887</v>
      </c>
      <c r="L214" t="s">
        <v>1932</v>
      </c>
      <c r="M214" t="s">
        <v>2077</v>
      </c>
      <c r="N214" t="s">
        <v>2078</v>
      </c>
      <c r="O214" t="s">
        <v>1921</v>
      </c>
      <c r="P214" t="s">
        <v>1895</v>
      </c>
      <c r="Q214" t="s">
        <v>1897</v>
      </c>
      <c r="R214" t="s">
        <v>1895</v>
      </c>
      <c r="S214" t="s">
        <v>1896</v>
      </c>
      <c r="U214" t="s">
        <v>1889</v>
      </c>
      <c r="V214" t="s">
        <v>1895</v>
      </c>
      <c r="X214" t="s">
        <v>1898</v>
      </c>
      <c r="Y214" t="s">
        <v>1895</v>
      </c>
      <c r="Z214" t="s">
        <v>1926</v>
      </c>
      <c r="AA214" t="s">
        <v>1844</v>
      </c>
      <c r="AB214" t="s">
        <v>1904</v>
      </c>
      <c r="AC214" t="s">
        <v>2079</v>
      </c>
      <c r="AD214" t="s">
        <v>1889</v>
      </c>
      <c r="AE214" t="s">
        <v>1895</v>
      </c>
      <c r="AF214" t="s">
        <v>1921</v>
      </c>
      <c r="AG214" t="s">
        <v>1895</v>
      </c>
      <c r="AH214" t="s">
        <v>1895</v>
      </c>
      <c r="AI214" t="s">
        <v>1919</v>
      </c>
      <c r="AJ214" t="s">
        <v>1904</v>
      </c>
      <c r="AK214" t="s">
        <v>2080</v>
      </c>
      <c r="AL214" t="s">
        <v>1906</v>
      </c>
      <c r="AM214" t="s">
        <v>1886</v>
      </c>
      <c r="AN214" t="s">
        <v>1994</v>
      </c>
      <c r="AP214" t="s">
        <v>1917</v>
      </c>
      <c r="AQ214" t="s">
        <v>1886</v>
      </c>
      <c r="AR214" t="s">
        <v>1910</v>
      </c>
      <c r="AS214" t="s">
        <v>1889</v>
      </c>
      <c r="AT214" t="s">
        <v>1895</v>
      </c>
      <c r="AU214" t="s">
        <v>1895</v>
      </c>
      <c r="AV214" t="s">
        <v>1854</v>
      </c>
      <c r="AW214" t="s">
        <v>2081</v>
      </c>
      <c r="AX214" t="s">
        <v>2082</v>
      </c>
      <c r="AY214" t="s">
        <v>2083</v>
      </c>
      <c r="AZ214" t="s">
        <v>1895</v>
      </c>
      <c r="BA214" t="s">
        <v>1889</v>
      </c>
      <c r="BB214" t="s">
        <v>1904</v>
      </c>
      <c r="BC214" t="s">
        <v>1910</v>
      </c>
      <c r="BD214" t="s">
        <v>1907</v>
      </c>
      <c r="BE214" t="s">
        <v>1900</v>
      </c>
      <c r="BF214" t="s">
        <v>1898</v>
      </c>
      <c r="BG214" t="s">
        <v>1886</v>
      </c>
      <c r="BH214" t="s">
        <v>2084</v>
      </c>
      <c r="BI214" t="s">
        <v>1919</v>
      </c>
      <c r="BJ214" t="s">
        <v>1920</v>
      </c>
      <c r="BK214" t="s">
        <v>1889</v>
      </c>
      <c r="BL214" t="s">
        <v>1921</v>
      </c>
      <c r="BM214" t="s">
        <v>1914</v>
      </c>
      <c r="BN214" t="s">
        <v>1895</v>
      </c>
      <c r="BO214" t="s">
        <v>1884</v>
      </c>
      <c r="BP214" t="s">
        <v>1895</v>
      </c>
      <c r="BQ214" t="s">
        <v>2085</v>
      </c>
      <c r="BR214" t="s">
        <v>2007</v>
      </c>
      <c r="BS214" t="s">
        <v>1895</v>
      </c>
      <c r="BT214" t="s">
        <v>1897</v>
      </c>
      <c r="BU214" t="s">
        <v>1914</v>
      </c>
      <c r="BV214" t="s">
        <v>1938</v>
      </c>
      <c r="BW214" t="s">
        <v>1886</v>
      </c>
      <c r="BX214" t="s">
        <v>1921</v>
      </c>
      <c r="BY214" t="s">
        <v>1889</v>
      </c>
      <c r="BZ214" t="s">
        <v>1886</v>
      </c>
      <c r="CA214" t="s">
        <v>1886</v>
      </c>
      <c r="CB214" t="s">
        <v>2086</v>
      </c>
      <c r="CC214" t="s">
        <v>1930</v>
      </c>
      <c r="CD214" t="s">
        <v>1894</v>
      </c>
      <c r="CE214" t="s">
        <v>1886</v>
      </c>
      <c r="CF214" t="s">
        <v>1919</v>
      </c>
      <c r="CG214" t="s">
        <v>1932</v>
      </c>
      <c r="CH214" t="s">
        <v>1852</v>
      </c>
      <c r="CI214" t="s">
        <v>2087</v>
      </c>
      <c r="CJ214" t="s">
        <v>1938</v>
      </c>
      <c r="CK214" t="s">
        <v>1895</v>
      </c>
      <c r="CL214" t="s">
        <v>1934</v>
      </c>
      <c r="CM214" t="s">
        <v>2088</v>
      </c>
      <c r="CN214" t="s">
        <v>1936</v>
      </c>
      <c r="CO214" t="s">
        <v>1898</v>
      </c>
      <c r="CP214" t="s">
        <v>2089</v>
      </c>
      <c r="CQ214" t="s">
        <v>1902</v>
      </c>
      <c r="CR214" t="s">
        <v>1911</v>
      </c>
      <c r="CS214" t="s">
        <v>1895</v>
      </c>
      <c r="CT214" t="s">
        <v>2090</v>
      </c>
      <c r="CU214" t="s">
        <v>1904</v>
      </c>
      <c r="CV214" t="s">
        <v>1895</v>
      </c>
      <c r="CW214" t="s">
        <v>1940</v>
      </c>
      <c r="CX214" t="s">
        <v>1898</v>
      </c>
      <c r="CY214" t="s">
        <v>1895</v>
      </c>
    </row>
    <row r="215" spans="1:103" x14ac:dyDescent="0.3">
      <c r="A215">
        <v>9000</v>
      </c>
      <c r="B215" t="s">
        <v>674</v>
      </c>
      <c r="C215" t="s">
        <v>300</v>
      </c>
      <c r="D215">
        <v>3327381177.0799999</v>
      </c>
      <c r="E215">
        <v>947257675.03999996</v>
      </c>
      <c r="F215">
        <v>392992410.13</v>
      </c>
      <c r="G215">
        <v>900200739.40999997</v>
      </c>
      <c r="H215">
        <v>801867196.75999999</v>
      </c>
      <c r="I215">
        <v>725418573.80999994</v>
      </c>
      <c r="J215">
        <v>1473930016.3699999</v>
      </c>
      <c r="K215">
        <v>592499632.03999996</v>
      </c>
      <c r="L215">
        <v>1313912655.72</v>
      </c>
      <c r="M215">
        <v>9273211792.4069996</v>
      </c>
      <c r="N215">
        <v>6971158512.21</v>
      </c>
      <c r="O215">
        <v>1879792832.1300001</v>
      </c>
      <c r="P215">
        <v>6834498904.8000002</v>
      </c>
      <c r="Q215">
        <v>1466054736.4200001</v>
      </c>
      <c r="R215">
        <v>518714662.16000003</v>
      </c>
      <c r="S215">
        <v>2112478352.9300001</v>
      </c>
      <c r="T215">
        <v>5167</v>
      </c>
      <c r="U215">
        <v>3559943336.8099999</v>
      </c>
      <c r="V215">
        <v>3425133111.1199999</v>
      </c>
      <c r="W215">
        <v>5170</v>
      </c>
      <c r="X215">
        <v>532617485.62</v>
      </c>
      <c r="Y215">
        <v>463627944.72000003</v>
      </c>
      <c r="Z215">
        <v>2913777640.3899999</v>
      </c>
      <c r="AA215">
        <v>1872522237.96</v>
      </c>
      <c r="AB215">
        <v>2500386857.1599998</v>
      </c>
      <c r="AC215">
        <v>6987711158.21</v>
      </c>
      <c r="AD215">
        <v>2423054051.71</v>
      </c>
      <c r="AE215">
        <v>4354938581.1599998</v>
      </c>
      <c r="AF215">
        <v>3748900585.98</v>
      </c>
      <c r="AG215">
        <v>1493681343.3800001</v>
      </c>
      <c r="AH215">
        <v>1663375393.02</v>
      </c>
      <c r="AI215">
        <v>11528121829.02</v>
      </c>
      <c r="AJ215">
        <v>1318641957.3</v>
      </c>
      <c r="AK215">
        <v>9690508761.9799995</v>
      </c>
      <c r="AL215">
        <v>2439580777.1100001</v>
      </c>
      <c r="AM215">
        <v>5560031628.1999998</v>
      </c>
      <c r="AN215">
        <v>306175052.76999998</v>
      </c>
      <c r="AO215">
        <v>5188</v>
      </c>
      <c r="AP215">
        <v>1487164114.8299999</v>
      </c>
      <c r="AQ215">
        <v>676854602.59000003</v>
      </c>
      <c r="AR215">
        <v>11300132948.379999</v>
      </c>
      <c r="AS215">
        <v>1396030132.8399999</v>
      </c>
      <c r="AT215">
        <v>5835988001.3000002</v>
      </c>
      <c r="AU215">
        <v>1831813207.72</v>
      </c>
      <c r="AV215">
        <v>3143301583.4200001</v>
      </c>
      <c r="AW215">
        <v>600870577.80999994</v>
      </c>
      <c r="AX215">
        <v>1859007714.28</v>
      </c>
      <c r="AY215">
        <v>370662726.25</v>
      </c>
      <c r="AZ215">
        <v>6014184277</v>
      </c>
      <c r="BA215">
        <v>1605076223.3900001</v>
      </c>
      <c r="BB215">
        <v>8610180777.8799992</v>
      </c>
      <c r="BC215">
        <v>528465791.12</v>
      </c>
      <c r="BD215">
        <v>1430106458.47</v>
      </c>
      <c r="BE215">
        <v>1224453227.4400001</v>
      </c>
      <c r="BF215">
        <v>3638268089.9299998</v>
      </c>
      <c r="BG215">
        <v>1229338322.54</v>
      </c>
      <c r="BH215">
        <v>539496124.5</v>
      </c>
      <c r="BI215">
        <v>760512012.54999995</v>
      </c>
      <c r="BJ215">
        <v>949344652.25</v>
      </c>
      <c r="BK215">
        <v>31830128093.150002</v>
      </c>
      <c r="BL215">
        <v>420509764.42000002</v>
      </c>
      <c r="BM215">
        <v>1435927173.25</v>
      </c>
      <c r="BN215">
        <v>3550963608.71</v>
      </c>
      <c r="BO215">
        <v>1965983099.3399999</v>
      </c>
      <c r="BP215">
        <v>9213467937.1100006</v>
      </c>
      <c r="BQ215">
        <v>856408827.85000002</v>
      </c>
      <c r="BR215">
        <v>4818310017.6350002</v>
      </c>
      <c r="BS215">
        <v>4468815712.9868002</v>
      </c>
      <c r="BT215">
        <v>455171846.83999997</v>
      </c>
      <c r="BU215">
        <v>1430914997.3299999</v>
      </c>
      <c r="BV215">
        <v>2400196819.4025002</v>
      </c>
      <c r="BW215">
        <v>375376595.17000002</v>
      </c>
      <c r="BX215">
        <v>1372267018.8924999</v>
      </c>
      <c r="BY215">
        <v>3641875877.5799999</v>
      </c>
      <c r="BZ215">
        <v>629931692.57000005</v>
      </c>
      <c r="CA215">
        <v>2892308312.6100001</v>
      </c>
      <c r="CB215">
        <v>1242877440.6500001</v>
      </c>
      <c r="CC215">
        <v>2649322448.48</v>
      </c>
      <c r="CD215">
        <v>2322862822.4699998</v>
      </c>
      <c r="CE215">
        <v>3261729172.4400001</v>
      </c>
      <c r="CF215">
        <v>1589777837.55</v>
      </c>
      <c r="CG215">
        <v>2083908092.48</v>
      </c>
      <c r="CH215">
        <v>884671967.08000004</v>
      </c>
      <c r="CI215">
        <v>1612307318.53</v>
      </c>
      <c r="CJ215">
        <v>1140681902.0699999</v>
      </c>
      <c r="CK215">
        <v>1834109912.99</v>
      </c>
      <c r="CL215">
        <v>581522238.17999995</v>
      </c>
      <c r="CM215" s="913">
        <f>1179565075.57+9607921+5629523+2804306+1354015+1-1+2</f>
        <v>1198960842.5699999</v>
      </c>
      <c r="CN215">
        <v>204486223.36000001</v>
      </c>
      <c r="CO215">
        <v>12691251096.41</v>
      </c>
      <c r="CP215">
        <v>956561375.86000001</v>
      </c>
      <c r="CQ215">
        <v>31254486332.310001</v>
      </c>
      <c r="CR215">
        <v>847116939.64999998</v>
      </c>
      <c r="CS215">
        <v>524908802.18000001</v>
      </c>
      <c r="CT215">
        <v>2104040219.55</v>
      </c>
      <c r="CU215">
        <v>3352635006.1700001</v>
      </c>
      <c r="CV215">
        <v>1501595207.29</v>
      </c>
      <c r="CW215">
        <v>1871069182.1199999</v>
      </c>
      <c r="CX215">
        <v>842486444.97000003</v>
      </c>
      <c r="CY215">
        <v>466349127.10000002</v>
      </c>
    </row>
    <row r="216" spans="1:103" x14ac:dyDescent="0.3">
      <c r="A216">
        <v>9001</v>
      </c>
      <c r="B216" t="s">
        <v>675</v>
      </c>
      <c r="C216" t="s">
        <v>676</v>
      </c>
      <c r="D216">
        <v>334955470</v>
      </c>
      <c r="E216">
        <v>79155325</v>
      </c>
      <c r="F216">
        <v>43218630</v>
      </c>
      <c r="G216">
        <v>67885128</v>
      </c>
      <c r="H216">
        <v>95798367</v>
      </c>
      <c r="I216">
        <v>100572956</v>
      </c>
      <c r="J216">
        <v>104161244</v>
      </c>
      <c r="K216">
        <v>51570654</v>
      </c>
      <c r="L216">
        <v>140824047</v>
      </c>
      <c r="M216">
        <v>537021501</v>
      </c>
      <c r="N216">
        <v>673010414</v>
      </c>
      <c r="O216">
        <v>182038340</v>
      </c>
      <c r="P216">
        <v>756070211</v>
      </c>
      <c r="Q216">
        <v>131845541</v>
      </c>
      <c r="R216">
        <v>50100910</v>
      </c>
      <c r="S216">
        <v>216507797</v>
      </c>
      <c r="T216">
        <v>0</v>
      </c>
      <c r="U216">
        <v>514727008</v>
      </c>
      <c r="V216">
        <v>364317784</v>
      </c>
      <c r="W216">
        <v>0</v>
      </c>
      <c r="X216">
        <v>57946196</v>
      </c>
      <c r="Y216">
        <v>47010827</v>
      </c>
      <c r="Z216">
        <v>348215907</v>
      </c>
      <c r="AA216">
        <v>223256160</v>
      </c>
      <c r="AB216">
        <v>223364787</v>
      </c>
      <c r="AC216">
        <v>696824950</v>
      </c>
      <c r="AD216">
        <v>290485940</v>
      </c>
      <c r="AE216">
        <v>509561369</v>
      </c>
      <c r="AF216">
        <v>396562594</v>
      </c>
      <c r="AG216">
        <v>99258992</v>
      </c>
      <c r="AH216">
        <v>145751348</v>
      </c>
      <c r="AI216">
        <v>1204728926</v>
      </c>
      <c r="AJ216">
        <v>101243952</v>
      </c>
      <c r="AK216">
        <v>1108224799</v>
      </c>
      <c r="AL216">
        <v>199721961</v>
      </c>
      <c r="AM216">
        <v>559492002</v>
      </c>
      <c r="AN216">
        <v>24740579</v>
      </c>
      <c r="AO216">
        <v>0</v>
      </c>
      <c r="AP216">
        <v>156282100</v>
      </c>
      <c r="AQ216">
        <v>49073817</v>
      </c>
      <c r="AR216">
        <v>967797982</v>
      </c>
      <c r="AS216">
        <v>106217644</v>
      </c>
      <c r="AT216">
        <v>373610750</v>
      </c>
      <c r="AU216">
        <v>222113305</v>
      </c>
      <c r="AV216">
        <v>335010673</v>
      </c>
      <c r="AW216">
        <v>67789385</v>
      </c>
      <c r="AX216">
        <v>181447277</v>
      </c>
      <c r="AY216">
        <v>39870603</v>
      </c>
      <c r="AZ216">
        <v>786390928</v>
      </c>
      <c r="BA216">
        <v>216639713</v>
      </c>
      <c r="BB216">
        <v>487091845</v>
      </c>
      <c r="BC216">
        <v>72195369</v>
      </c>
      <c r="BD216">
        <v>136929712</v>
      </c>
      <c r="BE216">
        <v>108682693</v>
      </c>
      <c r="BF216">
        <v>326888905</v>
      </c>
      <c r="BG216">
        <v>134302916</v>
      </c>
      <c r="BH216">
        <v>45673912</v>
      </c>
      <c r="BI216">
        <v>85698097</v>
      </c>
      <c r="BJ216">
        <v>103634719</v>
      </c>
      <c r="BK216">
        <v>3575315821</v>
      </c>
      <c r="BL216">
        <v>44815486</v>
      </c>
      <c r="BM216">
        <v>177097140</v>
      </c>
      <c r="BN216">
        <v>331552935</v>
      </c>
      <c r="BO216">
        <v>230793202</v>
      </c>
      <c r="BP216">
        <v>1114512427</v>
      </c>
      <c r="BQ216">
        <v>81211195</v>
      </c>
      <c r="BR216">
        <v>470611057</v>
      </c>
      <c r="BS216">
        <v>430181227</v>
      </c>
      <c r="BT216">
        <v>31186430</v>
      </c>
      <c r="BU216">
        <v>112240255</v>
      </c>
      <c r="BV216">
        <v>171903961</v>
      </c>
      <c r="BW216">
        <v>28010336</v>
      </c>
      <c r="BX216">
        <v>150565178</v>
      </c>
      <c r="BY216">
        <v>457557663</v>
      </c>
      <c r="BZ216">
        <v>76351376</v>
      </c>
      <c r="CA216">
        <v>341151736</v>
      </c>
      <c r="CB216">
        <v>81788528</v>
      </c>
      <c r="CC216">
        <v>200421620</v>
      </c>
      <c r="CD216">
        <v>207864590</v>
      </c>
      <c r="CE216">
        <v>321301149</v>
      </c>
      <c r="CF216">
        <v>196984198</v>
      </c>
      <c r="CG216">
        <v>236554377</v>
      </c>
      <c r="CH216">
        <v>82180246</v>
      </c>
      <c r="CI216">
        <v>140540719</v>
      </c>
      <c r="CJ216">
        <v>120790456</v>
      </c>
      <c r="CK216">
        <v>207851040</v>
      </c>
      <c r="CL216">
        <v>99945687</v>
      </c>
      <c r="CM216">
        <v>135872980</v>
      </c>
      <c r="CN216">
        <v>10784276</v>
      </c>
      <c r="CO216">
        <v>841760492</v>
      </c>
      <c r="CP216">
        <v>96468905</v>
      </c>
      <c r="CQ216">
        <v>2870819064</v>
      </c>
      <c r="CR216">
        <v>59756423</v>
      </c>
      <c r="CS216">
        <v>71561470</v>
      </c>
      <c r="CT216">
        <v>322420746</v>
      </c>
      <c r="CU216">
        <v>479699013</v>
      </c>
      <c r="CV216">
        <v>155596518</v>
      </c>
      <c r="CW216">
        <v>161623315</v>
      </c>
      <c r="CX216">
        <v>103941908</v>
      </c>
      <c r="CY216">
        <v>46073895</v>
      </c>
    </row>
    <row r="217" spans="1:103" x14ac:dyDescent="0.3">
      <c r="A217">
        <v>9002</v>
      </c>
      <c r="B217" t="s">
        <v>677</v>
      </c>
      <c r="C217" t="s">
        <v>678</v>
      </c>
      <c r="D217">
        <v>70381750</v>
      </c>
      <c r="E217">
        <v>11632842</v>
      </c>
      <c r="F217">
        <v>4552854</v>
      </c>
      <c r="G217">
        <v>2051650</v>
      </c>
      <c r="H217">
        <v>3365558</v>
      </c>
      <c r="I217">
        <v>2449296</v>
      </c>
      <c r="J217">
        <v>7783950</v>
      </c>
      <c r="K217">
        <v>4287302</v>
      </c>
      <c r="L217">
        <v>7128470</v>
      </c>
      <c r="M217">
        <v>41343621</v>
      </c>
      <c r="N217">
        <v>124254036</v>
      </c>
      <c r="O217">
        <v>16111535</v>
      </c>
      <c r="P217">
        <v>206221526</v>
      </c>
      <c r="Q217">
        <v>32778551</v>
      </c>
      <c r="R217">
        <v>1161095</v>
      </c>
      <c r="S217">
        <v>6154510</v>
      </c>
      <c r="T217">
        <v>0</v>
      </c>
      <c r="U217">
        <v>44795085</v>
      </c>
      <c r="V217">
        <v>31436366</v>
      </c>
      <c r="W217">
        <v>0</v>
      </c>
      <c r="X217">
        <v>2452618</v>
      </c>
      <c r="Y217">
        <v>6075122</v>
      </c>
      <c r="Z217">
        <v>83486995</v>
      </c>
      <c r="AA217">
        <v>13224017</v>
      </c>
      <c r="AB217">
        <v>22681233</v>
      </c>
      <c r="AC217">
        <v>84148328</v>
      </c>
      <c r="AD217">
        <v>9334918</v>
      </c>
      <c r="AE217">
        <v>66502727</v>
      </c>
      <c r="AF217">
        <v>21823484</v>
      </c>
      <c r="AG217">
        <v>17081728</v>
      </c>
      <c r="AH217">
        <v>9740168</v>
      </c>
      <c r="AI217">
        <v>163355850</v>
      </c>
      <c r="AJ217">
        <v>12061463</v>
      </c>
      <c r="AK217">
        <v>166329957</v>
      </c>
      <c r="AL217">
        <v>16344867</v>
      </c>
      <c r="AM217">
        <v>101673897</v>
      </c>
      <c r="AN217">
        <v>4432046</v>
      </c>
      <c r="AO217">
        <v>0</v>
      </c>
      <c r="AP217">
        <v>13867406</v>
      </c>
      <c r="AQ217">
        <v>2801952</v>
      </c>
      <c r="AR217">
        <v>216946409</v>
      </c>
      <c r="AS217">
        <v>8724739</v>
      </c>
      <c r="AT217">
        <v>60798052</v>
      </c>
      <c r="AU217">
        <v>22076887</v>
      </c>
      <c r="AV217">
        <v>52089220</v>
      </c>
      <c r="AW217">
        <v>4154875</v>
      </c>
      <c r="AX217">
        <v>38450976</v>
      </c>
      <c r="AY217">
        <v>3726394</v>
      </c>
      <c r="AZ217">
        <v>63661714</v>
      </c>
      <c r="BA217">
        <v>12500369</v>
      </c>
      <c r="BB217">
        <v>89286632</v>
      </c>
      <c r="BC217">
        <v>1390935</v>
      </c>
      <c r="BD217">
        <v>19384331</v>
      </c>
      <c r="BE217">
        <v>16651795</v>
      </c>
      <c r="BF217">
        <v>36573910</v>
      </c>
      <c r="BG217">
        <v>11903552</v>
      </c>
      <c r="BH217">
        <v>3412705</v>
      </c>
      <c r="BI217">
        <v>5637452</v>
      </c>
      <c r="BJ217">
        <v>12195485</v>
      </c>
      <c r="BK217">
        <v>596941607</v>
      </c>
      <c r="BL217">
        <v>10308606</v>
      </c>
      <c r="BM217">
        <v>9661196</v>
      </c>
      <c r="BN217">
        <v>41066864</v>
      </c>
      <c r="BO217">
        <v>27177644</v>
      </c>
      <c r="BP217">
        <v>105280566</v>
      </c>
      <c r="BQ217">
        <v>13225859</v>
      </c>
      <c r="BR217">
        <v>74007695</v>
      </c>
      <c r="BS217">
        <v>68589986</v>
      </c>
      <c r="BT217">
        <v>1686042</v>
      </c>
      <c r="BU217">
        <v>7791821</v>
      </c>
      <c r="BV217">
        <v>26685406</v>
      </c>
      <c r="BW217">
        <v>166275</v>
      </c>
      <c r="BX217">
        <v>20933808</v>
      </c>
      <c r="BY217">
        <v>55227441</v>
      </c>
      <c r="BZ217">
        <v>11908572</v>
      </c>
      <c r="CA217">
        <v>44373555</v>
      </c>
      <c r="CB217">
        <v>9159800</v>
      </c>
      <c r="CC217">
        <v>5301354</v>
      </c>
      <c r="CD217">
        <v>32710191</v>
      </c>
      <c r="CE217">
        <v>43016981</v>
      </c>
      <c r="CF217">
        <v>13233575</v>
      </c>
      <c r="CG217">
        <v>15163408</v>
      </c>
      <c r="CH217">
        <v>9896909</v>
      </c>
      <c r="CI217">
        <v>23295643</v>
      </c>
      <c r="CJ217">
        <v>24436254</v>
      </c>
      <c r="CK217">
        <v>24023217</v>
      </c>
      <c r="CL217">
        <v>8885941</v>
      </c>
      <c r="CM217">
        <v>7399090</v>
      </c>
      <c r="CN217">
        <v>1005149</v>
      </c>
      <c r="CO217">
        <v>96286833</v>
      </c>
      <c r="CP217">
        <v>11092785</v>
      </c>
      <c r="CQ217">
        <v>564617321</v>
      </c>
      <c r="CR217">
        <v>2795992</v>
      </c>
      <c r="CS217">
        <v>5943593</v>
      </c>
      <c r="CT217">
        <v>19392129</v>
      </c>
      <c r="CU217">
        <v>60549957</v>
      </c>
      <c r="CV217">
        <v>17865128</v>
      </c>
      <c r="CW217">
        <v>15348350</v>
      </c>
      <c r="CX217">
        <v>7461043</v>
      </c>
      <c r="CY217">
        <v>10694283</v>
      </c>
    </row>
    <row r="218" spans="1:103" x14ac:dyDescent="0.3">
      <c r="A218">
        <v>9003</v>
      </c>
      <c r="B218" t="s">
        <v>679</v>
      </c>
      <c r="C218" t="s">
        <v>680</v>
      </c>
      <c r="D218">
        <v>375082327</v>
      </c>
      <c r="E218">
        <v>51930246</v>
      </c>
      <c r="F218">
        <v>24724608</v>
      </c>
      <c r="G218">
        <v>20940411</v>
      </c>
      <c r="H218">
        <v>33983209</v>
      </c>
      <c r="I218">
        <v>26224787</v>
      </c>
      <c r="J218">
        <v>38630114</v>
      </c>
      <c r="K218">
        <v>49933720</v>
      </c>
      <c r="L218">
        <v>76819465</v>
      </c>
      <c r="M218">
        <v>419857510</v>
      </c>
      <c r="N218">
        <v>710897219</v>
      </c>
      <c r="O218">
        <v>99106097</v>
      </c>
      <c r="P218">
        <v>639242704</v>
      </c>
      <c r="Q218">
        <v>88180567</v>
      </c>
      <c r="R218">
        <v>17732345</v>
      </c>
      <c r="S218">
        <v>81089949</v>
      </c>
      <c r="T218">
        <v>0</v>
      </c>
      <c r="U218">
        <v>299855799</v>
      </c>
      <c r="V218">
        <v>281002569</v>
      </c>
      <c r="W218">
        <v>0</v>
      </c>
      <c r="X218">
        <v>23002780</v>
      </c>
      <c r="Y218">
        <v>21672470</v>
      </c>
      <c r="Z218">
        <v>185061809</v>
      </c>
      <c r="AA218">
        <v>155757130</v>
      </c>
      <c r="AB218">
        <v>87810405</v>
      </c>
      <c r="AC218">
        <v>414393461</v>
      </c>
      <c r="AD218">
        <v>83856166</v>
      </c>
      <c r="AE218">
        <v>365415583</v>
      </c>
      <c r="AF218">
        <v>169854595</v>
      </c>
      <c r="AG218">
        <v>96521161</v>
      </c>
      <c r="AH218">
        <v>108505475</v>
      </c>
      <c r="AI218">
        <v>1156243545</v>
      </c>
      <c r="AJ218">
        <v>59489426</v>
      </c>
      <c r="AK218">
        <v>1080321356</v>
      </c>
      <c r="AL218">
        <v>154243467</v>
      </c>
      <c r="AM218">
        <v>428766392</v>
      </c>
      <c r="AN218">
        <v>17879177</v>
      </c>
      <c r="AO218">
        <v>0</v>
      </c>
      <c r="AP218">
        <v>122521556</v>
      </c>
      <c r="AQ218">
        <v>30839490</v>
      </c>
      <c r="AR218">
        <v>1191991473</v>
      </c>
      <c r="AS218">
        <v>58065030</v>
      </c>
      <c r="AT218">
        <v>320956175</v>
      </c>
      <c r="AU218">
        <v>140802077</v>
      </c>
      <c r="AV218">
        <v>297994570</v>
      </c>
      <c r="AW218">
        <v>35133125</v>
      </c>
      <c r="AX218">
        <v>104682010</v>
      </c>
      <c r="AY218">
        <v>13167332</v>
      </c>
      <c r="AZ218">
        <v>313773610</v>
      </c>
      <c r="BA218">
        <v>128101528</v>
      </c>
      <c r="BB218">
        <v>602547643</v>
      </c>
      <c r="BC218">
        <v>19693528</v>
      </c>
      <c r="BD218">
        <v>139298641</v>
      </c>
      <c r="BE218">
        <v>74541123</v>
      </c>
      <c r="BF218">
        <v>212352769</v>
      </c>
      <c r="BG218">
        <v>129693034</v>
      </c>
      <c r="BH218">
        <v>16115839</v>
      </c>
      <c r="BI218">
        <v>46977985</v>
      </c>
      <c r="BJ218">
        <v>55652197</v>
      </c>
      <c r="BK218">
        <v>3183318238</v>
      </c>
      <c r="BL218">
        <v>26588768</v>
      </c>
      <c r="BM218">
        <v>88678697</v>
      </c>
      <c r="BN218">
        <v>348975973</v>
      </c>
      <c r="BO218">
        <v>180704110</v>
      </c>
      <c r="BP218">
        <v>1074219224</v>
      </c>
      <c r="BQ218">
        <v>56471366</v>
      </c>
      <c r="BR218">
        <v>373748905</v>
      </c>
      <c r="BS218">
        <v>575659348</v>
      </c>
      <c r="BT218">
        <v>14471603</v>
      </c>
      <c r="BU218">
        <v>64708760</v>
      </c>
      <c r="BV218">
        <v>140119823</v>
      </c>
      <c r="BW218">
        <v>12641783</v>
      </c>
      <c r="BX218">
        <v>58743907</v>
      </c>
      <c r="BY218">
        <v>331408809</v>
      </c>
      <c r="BZ218">
        <v>33562430</v>
      </c>
      <c r="CA218">
        <v>251544974</v>
      </c>
      <c r="CB218">
        <v>47319698</v>
      </c>
      <c r="CC218">
        <v>176043956</v>
      </c>
      <c r="CD218">
        <v>193674640</v>
      </c>
      <c r="CE218">
        <v>155921496</v>
      </c>
      <c r="CF218">
        <v>95449563</v>
      </c>
      <c r="CG218">
        <v>153220243</v>
      </c>
      <c r="CH218">
        <v>106327862</v>
      </c>
      <c r="CI218">
        <v>75310350</v>
      </c>
      <c r="CJ218">
        <v>70574986</v>
      </c>
      <c r="CK218">
        <v>147768203</v>
      </c>
      <c r="CL218">
        <v>29982132</v>
      </c>
      <c r="CM218">
        <v>27219263</v>
      </c>
      <c r="CN218">
        <v>8536057</v>
      </c>
      <c r="CO218">
        <v>838499636</v>
      </c>
      <c r="CP218">
        <v>69099879</v>
      </c>
      <c r="CQ218">
        <v>4218924715</v>
      </c>
      <c r="CR218">
        <v>16395093</v>
      </c>
      <c r="CS218">
        <v>46332690</v>
      </c>
      <c r="CT218">
        <v>92949777</v>
      </c>
      <c r="CU218">
        <v>286337170</v>
      </c>
      <c r="CV218">
        <v>112664232</v>
      </c>
      <c r="CW218">
        <v>144712826</v>
      </c>
      <c r="CX218">
        <v>39577990</v>
      </c>
      <c r="CY218">
        <v>33997315</v>
      </c>
    </row>
    <row r="219" spans="1:103" x14ac:dyDescent="0.3">
      <c r="A219">
        <v>9004</v>
      </c>
      <c r="B219" t="s">
        <v>681</v>
      </c>
      <c r="C219" t="s">
        <v>682</v>
      </c>
      <c r="D219" t="s">
        <v>300</v>
      </c>
      <c r="E219" t="s">
        <v>683</v>
      </c>
      <c r="F219" t="s">
        <v>300</v>
      </c>
      <c r="G219" t="s">
        <v>683</v>
      </c>
      <c r="H219" t="s">
        <v>300</v>
      </c>
      <c r="I219" t="s">
        <v>300</v>
      </c>
      <c r="J219" t="s">
        <v>683</v>
      </c>
      <c r="K219" t="s">
        <v>683</v>
      </c>
      <c r="L219" t="s">
        <v>683</v>
      </c>
      <c r="M219" t="s">
        <v>683</v>
      </c>
      <c r="N219" t="s">
        <v>300</v>
      </c>
      <c r="O219" t="s">
        <v>683</v>
      </c>
      <c r="P219" t="s">
        <v>300</v>
      </c>
      <c r="Q219" t="s">
        <v>683</v>
      </c>
      <c r="R219" t="s">
        <v>683</v>
      </c>
      <c r="S219" t="s">
        <v>683</v>
      </c>
      <c r="T219" t="s">
        <v>300</v>
      </c>
      <c r="U219" t="s">
        <v>300</v>
      </c>
      <c r="V219" t="s">
        <v>683</v>
      </c>
      <c r="W219" t="s">
        <v>300</v>
      </c>
      <c r="X219" t="s">
        <v>683</v>
      </c>
      <c r="Y219" t="s">
        <v>683</v>
      </c>
      <c r="Z219" t="s">
        <v>300</v>
      </c>
      <c r="AA219" t="s">
        <v>683</v>
      </c>
      <c r="AB219" t="s">
        <v>683</v>
      </c>
      <c r="AC219" t="s">
        <v>683</v>
      </c>
      <c r="AD219" t="s">
        <v>683</v>
      </c>
      <c r="AE219" t="s">
        <v>683</v>
      </c>
      <c r="AF219" t="s">
        <v>683</v>
      </c>
      <c r="AG219" t="s">
        <v>683</v>
      </c>
      <c r="AH219" t="s">
        <v>683</v>
      </c>
      <c r="AI219" t="s">
        <v>683</v>
      </c>
      <c r="AJ219" t="s">
        <v>683</v>
      </c>
      <c r="AK219" t="s">
        <v>300</v>
      </c>
      <c r="AL219" t="s">
        <v>683</v>
      </c>
      <c r="AM219" t="s">
        <v>300</v>
      </c>
      <c r="AN219" t="s">
        <v>683</v>
      </c>
      <c r="AO219" t="s">
        <v>300</v>
      </c>
      <c r="AP219" t="s">
        <v>300</v>
      </c>
      <c r="AQ219" t="s">
        <v>683</v>
      </c>
      <c r="AR219" t="s">
        <v>300</v>
      </c>
      <c r="AS219" t="s">
        <v>683</v>
      </c>
      <c r="AT219" t="s">
        <v>683</v>
      </c>
      <c r="AU219" t="s">
        <v>300</v>
      </c>
      <c r="AV219" t="s">
        <v>683</v>
      </c>
      <c r="AW219" t="s">
        <v>683</v>
      </c>
      <c r="AX219" t="s">
        <v>683</v>
      </c>
      <c r="AY219" t="s">
        <v>683</v>
      </c>
      <c r="AZ219" t="s">
        <v>300</v>
      </c>
      <c r="BA219" t="s">
        <v>300</v>
      </c>
      <c r="BB219" t="s">
        <v>683</v>
      </c>
      <c r="BC219" t="s">
        <v>683</v>
      </c>
      <c r="BD219" t="s">
        <v>300</v>
      </c>
      <c r="BE219" t="s">
        <v>300</v>
      </c>
      <c r="BF219" t="s">
        <v>683</v>
      </c>
      <c r="BG219" t="s">
        <v>300</v>
      </c>
      <c r="BH219" t="s">
        <v>300</v>
      </c>
      <c r="BI219" t="s">
        <v>683</v>
      </c>
      <c r="BJ219" t="s">
        <v>683</v>
      </c>
      <c r="BK219" t="s">
        <v>300</v>
      </c>
      <c r="BL219" t="s">
        <v>300</v>
      </c>
      <c r="BM219" t="s">
        <v>683</v>
      </c>
      <c r="BN219" t="s">
        <v>683</v>
      </c>
      <c r="BO219" t="s">
        <v>683</v>
      </c>
      <c r="BP219" t="s">
        <v>300</v>
      </c>
      <c r="BQ219" t="s">
        <v>683</v>
      </c>
      <c r="BR219" t="s">
        <v>300</v>
      </c>
      <c r="BS219" t="s">
        <v>300</v>
      </c>
      <c r="BT219" t="s">
        <v>683</v>
      </c>
      <c r="BU219" t="s">
        <v>683</v>
      </c>
      <c r="BV219" t="s">
        <v>683</v>
      </c>
      <c r="BW219" t="s">
        <v>683</v>
      </c>
      <c r="BX219" t="s">
        <v>300</v>
      </c>
      <c r="BY219" t="s">
        <v>300</v>
      </c>
      <c r="BZ219" t="s">
        <v>300</v>
      </c>
      <c r="CA219" t="s">
        <v>300</v>
      </c>
      <c r="CB219" t="s">
        <v>683</v>
      </c>
      <c r="CC219" t="s">
        <v>683</v>
      </c>
      <c r="CD219" t="s">
        <v>683</v>
      </c>
      <c r="CE219" t="s">
        <v>683</v>
      </c>
      <c r="CF219" t="s">
        <v>300</v>
      </c>
      <c r="CG219" t="s">
        <v>683</v>
      </c>
      <c r="CH219" t="s">
        <v>683</v>
      </c>
      <c r="CI219" t="s">
        <v>683</v>
      </c>
      <c r="CJ219" t="s">
        <v>683</v>
      </c>
      <c r="CK219" t="s">
        <v>683</v>
      </c>
      <c r="CL219" t="s">
        <v>300</v>
      </c>
      <c r="CM219" t="s">
        <v>300</v>
      </c>
      <c r="CN219" t="s">
        <v>683</v>
      </c>
      <c r="CO219" t="s">
        <v>683</v>
      </c>
      <c r="CP219" t="s">
        <v>683</v>
      </c>
      <c r="CQ219" t="s">
        <v>300</v>
      </c>
      <c r="CR219" t="s">
        <v>683</v>
      </c>
      <c r="CS219" t="s">
        <v>683</v>
      </c>
      <c r="CT219" t="s">
        <v>300</v>
      </c>
      <c r="CU219" t="s">
        <v>683</v>
      </c>
      <c r="CV219" t="s">
        <v>300</v>
      </c>
      <c r="CW219" t="s">
        <v>683</v>
      </c>
      <c r="CX219" t="s">
        <v>683</v>
      </c>
      <c r="CY219" t="s">
        <v>300</v>
      </c>
    </row>
    <row r="220" spans="1:103" x14ac:dyDescent="0.3">
      <c r="A220">
        <v>9005</v>
      </c>
      <c r="B220" t="s">
        <v>684</v>
      </c>
      <c r="C220" t="s">
        <v>685</v>
      </c>
      <c r="D220">
        <v>75963461</v>
      </c>
      <c r="E220">
        <v>20678730</v>
      </c>
      <c r="F220">
        <v>11602430</v>
      </c>
      <c r="G220">
        <v>26040576</v>
      </c>
      <c r="H220">
        <v>17500736</v>
      </c>
      <c r="I220">
        <v>31947674</v>
      </c>
      <c r="J220">
        <v>33492558</v>
      </c>
      <c r="K220">
        <v>2365867</v>
      </c>
      <c r="L220">
        <v>38831144</v>
      </c>
      <c r="M220">
        <v>134772522</v>
      </c>
      <c r="N220">
        <v>91722114</v>
      </c>
      <c r="O220">
        <v>34131991</v>
      </c>
      <c r="P220">
        <v>165630827</v>
      </c>
      <c r="Q220">
        <v>18637927</v>
      </c>
      <c r="R220">
        <v>19250347</v>
      </c>
      <c r="S220">
        <v>91394515</v>
      </c>
      <c r="T220">
        <v>0</v>
      </c>
      <c r="U220">
        <v>115392674</v>
      </c>
      <c r="V220">
        <v>57879674</v>
      </c>
      <c r="W220">
        <v>0</v>
      </c>
      <c r="X220">
        <v>14495698</v>
      </c>
      <c r="Y220">
        <v>10064670</v>
      </c>
      <c r="Z220">
        <v>50939202</v>
      </c>
      <c r="AA220">
        <v>16595785</v>
      </c>
      <c r="AB220">
        <v>65173178</v>
      </c>
      <c r="AC220">
        <v>290323727</v>
      </c>
      <c r="AD220">
        <v>35437982</v>
      </c>
      <c r="AE220">
        <v>94630282</v>
      </c>
      <c r="AF220">
        <v>140873282</v>
      </c>
      <c r="AG220">
        <v>15461121</v>
      </c>
      <c r="AH220">
        <v>39075095</v>
      </c>
      <c r="AI220">
        <v>296924073</v>
      </c>
      <c r="AJ220">
        <v>21586748</v>
      </c>
      <c r="AK220">
        <v>174375632</v>
      </c>
      <c r="AL220">
        <v>58538315</v>
      </c>
      <c r="AM220">
        <v>107429337</v>
      </c>
      <c r="AN220">
        <v>6193034</v>
      </c>
      <c r="AO220">
        <v>0</v>
      </c>
      <c r="AP220">
        <v>42926368</v>
      </c>
      <c r="AQ220">
        <v>15645672</v>
      </c>
      <c r="AR220">
        <v>242075504</v>
      </c>
      <c r="AS220">
        <v>49997789</v>
      </c>
      <c r="AT220">
        <v>103449151</v>
      </c>
      <c r="AU220">
        <v>44791683</v>
      </c>
      <c r="AV220">
        <v>80663050</v>
      </c>
      <c r="AW220">
        <v>10550650</v>
      </c>
      <c r="AX220">
        <v>50864120</v>
      </c>
      <c r="AY220">
        <v>4731547</v>
      </c>
      <c r="AZ220">
        <v>139703729</v>
      </c>
      <c r="BA220">
        <v>43561889</v>
      </c>
      <c r="BB220">
        <v>212203235</v>
      </c>
      <c r="BC220">
        <v>11704231</v>
      </c>
      <c r="BD220">
        <v>29566514</v>
      </c>
      <c r="BE220">
        <v>42026142</v>
      </c>
      <c r="BF220">
        <v>59916539</v>
      </c>
      <c r="BG220">
        <v>50382669</v>
      </c>
      <c r="BH220">
        <v>19256058</v>
      </c>
      <c r="BI220">
        <v>25906690</v>
      </c>
      <c r="BJ220">
        <v>17598523</v>
      </c>
      <c r="BK220">
        <v>742200860</v>
      </c>
      <c r="BL220">
        <v>10934523</v>
      </c>
      <c r="BM220">
        <v>39038058</v>
      </c>
      <c r="BN220">
        <v>52151416</v>
      </c>
      <c r="BO220">
        <v>42199367</v>
      </c>
      <c r="BP220">
        <v>444435724</v>
      </c>
      <c r="BQ220">
        <v>25714824</v>
      </c>
      <c r="BR220">
        <v>162677167</v>
      </c>
      <c r="BS220">
        <v>58901029</v>
      </c>
      <c r="BT220">
        <v>11996778</v>
      </c>
      <c r="BU220">
        <v>45179976</v>
      </c>
      <c r="BV220">
        <v>66800793</v>
      </c>
      <c r="BW220">
        <v>8502732</v>
      </c>
      <c r="BX220">
        <v>34127335</v>
      </c>
      <c r="BY220">
        <v>75504258</v>
      </c>
      <c r="BZ220">
        <v>11539765</v>
      </c>
      <c r="CA220">
        <v>56230117</v>
      </c>
      <c r="CB220">
        <v>19100532</v>
      </c>
      <c r="CC220">
        <v>66809628</v>
      </c>
      <c r="CD220">
        <v>61858173</v>
      </c>
      <c r="CE220">
        <v>109131519</v>
      </c>
      <c r="CF220">
        <v>58590468</v>
      </c>
      <c r="CG220">
        <v>37577156</v>
      </c>
      <c r="CH220">
        <v>11108322</v>
      </c>
      <c r="CI220">
        <v>48999269</v>
      </c>
      <c r="CJ220">
        <v>21990643</v>
      </c>
      <c r="CK220">
        <v>53780485</v>
      </c>
      <c r="CL220">
        <v>9113539</v>
      </c>
      <c r="CM220">
        <v>30747032</v>
      </c>
      <c r="CN220">
        <v>1995689</v>
      </c>
      <c r="CO220">
        <v>138414463</v>
      </c>
      <c r="CP220">
        <v>23879106</v>
      </c>
      <c r="CQ220">
        <v>648985277</v>
      </c>
      <c r="CR220">
        <v>26612995</v>
      </c>
      <c r="CS220">
        <v>11917105</v>
      </c>
      <c r="CT220">
        <v>49643503</v>
      </c>
      <c r="CU220">
        <v>56136334</v>
      </c>
      <c r="CV220">
        <v>40135244</v>
      </c>
      <c r="CW220">
        <v>48336908</v>
      </c>
      <c r="CX220">
        <v>18586819</v>
      </c>
      <c r="CY220">
        <v>6868699</v>
      </c>
    </row>
    <row r="221" spans="1:103" x14ac:dyDescent="0.3">
      <c r="A221">
        <v>9006</v>
      </c>
      <c r="B221" t="s">
        <v>686</v>
      </c>
      <c r="C221" t="s">
        <v>687</v>
      </c>
      <c r="D221">
        <v>198839571</v>
      </c>
      <c r="E221">
        <v>49715897</v>
      </c>
      <c r="F221">
        <v>18192839</v>
      </c>
      <c r="G221">
        <v>39494129</v>
      </c>
      <c r="H221">
        <v>44069232</v>
      </c>
      <c r="I221">
        <v>34189345</v>
      </c>
      <c r="J221">
        <v>71929917</v>
      </c>
      <c r="K221">
        <v>27254909</v>
      </c>
      <c r="L221">
        <v>52867909</v>
      </c>
      <c r="M221">
        <v>274041616</v>
      </c>
      <c r="N221">
        <v>391722437</v>
      </c>
      <c r="O221">
        <v>117874811</v>
      </c>
      <c r="P221">
        <v>358859887</v>
      </c>
      <c r="Q221">
        <v>90590621</v>
      </c>
      <c r="R221">
        <v>14243966</v>
      </c>
      <c r="S221">
        <v>112632585</v>
      </c>
      <c r="T221">
        <v>0</v>
      </c>
      <c r="U221">
        <v>221145109</v>
      </c>
      <c r="V221">
        <v>166117098</v>
      </c>
      <c r="W221">
        <v>0</v>
      </c>
      <c r="X221">
        <v>21578129</v>
      </c>
      <c r="Y221">
        <v>23975460</v>
      </c>
      <c r="Z221">
        <v>143906103</v>
      </c>
      <c r="AA221">
        <v>72403172</v>
      </c>
      <c r="AB221">
        <v>145913361</v>
      </c>
      <c r="AC221">
        <v>403754262</v>
      </c>
      <c r="AD221">
        <v>64976442</v>
      </c>
      <c r="AE221">
        <v>125824586</v>
      </c>
      <c r="AF221">
        <v>182043552</v>
      </c>
      <c r="AG221">
        <v>76819742</v>
      </c>
      <c r="AH221">
        <v>64957198</v>
      </c>
      <c r="AI221">
        <v>641913369</v>
      </c>
      <c r="AJ221">
        <v>71360255</v>
      </c>
      <c r="AK221">
        <v>522074562</v>
      </c>
      <c r="AL221">
        <v>107662845</v>
      </c>
      <c r="AM221">
        <v>306623428</v>
      </c>
      <c r="AN221">
        <v>16947348</v>
      </c>
      <c r="AO221">
        <v>0</v>
      </c>
      <c r="AP221">
        <v>88431738</v>
      </c>
      <c r="AQ221">
        <v>24532517</v>
      </c>
      <c r="AR221">
        <v>727166796</v>
      </c>
      <c r="AS221">
        <v>71290437</v>
      </c>
      <c r="AT221">
        <v>161175700</v>
      </c>
      <c r="AU221">
        <v>96279776</v>
      </c>
      <c r="AV221">
        <v>184103728</v>
      </c>
      <c r="AW221">
        <v>28759635</v>
      </c>
      <c r="AX221">
        <v>63250681</v>
      </c>
      <c r="AY221">
        <v>16728034</v>
      </c>
      <c r="AZ221">
        <v>246311784</v>
      </c>
      <c r="BA221">
        <v>89155190</v>
      </c>
      <c r="BB221">
        <v>310745272</v>
      </c>
      <c r="BC221">
        <v>18276362</v>
      </c>
      <c r="BD221">
        <v>85557323</v>
      </c>
      <c r="BE221">
        <v>65983790</v>
      </c>
      <c r="BF221">
        <v>142875137</v>
      </c>
      <c r="BG221">
        <v>60518004</v>
      </c>
      <c r="BH221">
        <v>33124090</v>
      </c>
      <c r="BI221">
        <v>32170008</v>
      </c>
      <c r="BJ221">
        <v>55913450</v>
      </c>
      <c r="BK221">
        <v>1568944663</v>
      </c>
      <c r="BL221">
        <v>21885689</v>
      </c>
      <c r="BM221">
        <v>35742043</v>
      </c>
      <c r="BN221">
        <v>146293523</v>
      </c>
      <c r="BO221">
        <v>114871836</v>
      </c>
      <c r="BP221">
        <v>374694964</v>
      </c>
      <c r="BQ221">
        <v>36967053</v>
      </c>
      <c r="BR221">
        <v>250292897</v>
      </c>
      <c r="BS221">
        <v>270415524</v>
      </c>
      <c r="BT221">
        <v>24268028</v>
      </c>
      <c r="BU221">
        <v>57969341</v>
      </c>
      <c r="BV221">
        <v>95888807</v>
      </c>
      <c r="BW221">
        <v>19350121</v>
      </c>
      <c r="BX221">
        <v>68179221</v>
      </c>
      <c r="BY221">
        <v>172876658</v>
      </c>
      <c r="BZ221">
        <v>33801281</v>
      </c>
      <c r="CA221">
        <v>164087271</v>
      </c>
      <c r="CB221">
        <v>59202699</v>
      </c>
      <c r="CC221">
        <v>152944861</v>
      </c>
      <c r="CD221">
        <v>116791549</v>
      </c>
      <c r="CE221">
        <v>160127658</v>
      </c>
      <c r="CF221">
        <v>74355714</v>
      </c>
      <c r="CG221">
        <v>86508860</v>
      </c>
      <c r="CH221">
        <v>54119267</v>
      </c>
      <c r="CI221">
        <v>77583793</v>
      </c>
      <c r="CJ221">
        <v>62924178</v>
      </c>
      <c r="CK221">
        <v>101335685</v>
      </c>
      <c r="CL221">
        <v>28302735</v>
      </c>
      <c r="CM221">
        <v>69859073</v>
      </c>
      <c r="CN221">
        <v>7683911</v>
      </c>
      <c r="CO221">
        <v>356372498</v>
      </c>
      <c r="CP221">
        <v>54172840</v>
      </c>
      <c r="CQ221">
        <v>1712857502</v>
      </c>
      <c r="CR221">
        <v>34840777</v>
      </c>
      <c r="CS221">
        <v>15284439</v>
      </c>
      <c r="CT221">
        <v>81308532</v>
      </c>
      <c r="CU221">
        <v>157755011</v>
      </c>
      <c r="CV221">
        <v>93457111</v>
      </c>
      <c r="CW221">
        <v>123135316</v>
      </c>
      <c r="CX221">
        <v>48994632</v>
      </c>
      <c r="CY221">
        <v>33839210</v>
      </c>
    </row>
    <row r="222" spans="1:103" x14ac:dyDescent="0.3">
      <c r="A222">
        <v>9007</v>
      </c>
      <c r="B222" t="s">
        <v>1237</v>
      </c>
      <c r="C222" t="s">
        <v>688</v>
      </c>
      <c r="D222">
        <v>0.38200000000000001</v>
      </c>
      <c r="E222">
        <v>0.41589999999999999</v>
      </c>
      <c r="F222">
        <v>0.63770000000000004</v>
      </c>
      <c r="G222">
        <v>0.65939999999999999</v>
      </c>
      <c r="H222">
        <v>0.39710000000000001</v>
      </c>
      <c r="I222">
        <v>0.93440000000000001</v>
      </c>
      <c r="J222">
        <v>0.46560000000000001</v>
      </c>
      <c r="K222">
        <v>8.6800000000000002E-2</v>
      </c>
      <c r="L222">
        <v>0.73450000000000004</v>
      </c>
      <c r="M222">
        <v>0.49180000000000001</v>
      </c>
      <c r="N222">
        <v>0.23419999999999999</v>
      </c>
      <c r="O222">
        <v>0.28960000000000002</v>
      </c>
      <c r="P222">
        <v>0.46150000000000002</v>
      </c>
      <c r="Q222">
        <v>0.20569999999999999</v>
      </c>
      <c r="R222">
        <v>1.3514999999999999</v>
      </c>
      <c r="S222">
        <v>0.81140000000000001</v>
      </c>
      <c r="T222">
        <v>0</v>
      </c>
      <c r="U222">
        <v>0.52180000000000004</v>
      </c>
      <c r="V222">
        <v>0.34839999999999999</v>
      </c>
      <c r="W222">
        <v>0</v>
      </c>
      <c r="X222">
        <v>0.67179999999999995</v>
      </c>
      <c r="Y222">
        <v>0.41980000000000001</v>
      </c>
      <c r="Z222">
        <v>0.35399999999999998</v>
      </c>
      <c r="AA222">
        <v>0.22919999999999999</v>
      </c>
      <c r="AB222">
        <v>0.44669999999999999</v>
      </c>
      <c r="AC222">
        <v>0.71909999999999996</v>
      </c>
      <c r="AD222">
        <v>0.5454</v>
      </c>
      <c r="AE222">
        <v>0.75209999999999999</v>
      </c>
      <c r="AF222">
        <v>0.77380000000000004</v>
      </c>
      <c r="AG222">
        <v>0.20130000000000001</v>
      </c>
      <c r="AH222">
        <v>0.60160000000000002</v>
      </c>
      <c r="AI222">
        <v>0.46260000000000001</v>
      </c>
      <c r="AJ222">
        <v>0.30249999999999999</v>
      </c>
      <c r="AK222">
        <v>0.33400000000000002</v>
      </c>
      <c r="AL222">
        <v>0.54369999999999996</v>
      </c>
      <c r="AM222">
        <v>0.35039999999999999</v>
      </c>
      <c r="AN222">
        <v>0.3654</v>
      </c>
      <c r="AO222">
        <v>0</v>
      </c>
      <c r="AP222">
        <v>0.4854</v>
      </c>
      <c r="AQ222">
        <v>0.63780000000000003</v>
      </c>
      <c r="AR222">
        <v>0.33289999999999997</v>
      </c>
      <c r="AS222">
        <v>0.70130000000000003</v>
      </c>
      <c r="AT222">
        <v>0.64180000000000004</v>
      </c>
      <c r="AU222">
        <v>0.4652</v>
      </c>
      <c r="AV222">
        <v>0.43809999999999999</v>
      </c>
      <c r="AW222">
        <v>0.3669</v>
      </c>
      <c r="AX222">
        <v>0.80420000000000003</v>
      </c>
      <c r="AY222">
        <v>0.28289999999999998</v>
      </c>
      <c r="AZ222">
        <v>0.56720000000000004</v>
      </c>
      <c r="BA222">
        <v>0.48859999999999998</v>
      </c>
      <c r="BB222">
        <v>0.68289999999999995</v>
      </c>
      <c r="BC222">
        <v>0.64039999999999997</v>
      </c>
      <c r="BD222">
        <v>0.34560000000000002</v>
      </c>
      <c r="BE222">
        <v>0.63690000000000002</v>
      </c>
      <c r="BF222">
        <v>0.4194</v>
      </c>
      <c r="BG222">
        <v>0.83250000000000002</v>
      </c>
      <c r="BH222">
        <v>0.58130000000000004</v>
      </c>
      <c r="BI222">
        <v>0.80530000000000002</v>
      </c>
      <c r="BJ222">
        <v>0.31469999999999998</v>
      </c>
      <c r="BK222">
        <v>0.47310000000000002</v>
      </c>
      <c r="BL222">
        <v>0.49959999999999999</v>
      </c>
      <c r="BM222">
        <v>1.0922000000000001</v>
      </c>
      <c r="BN222">
        <v>0.35649999999999998</v>
      </c>
      <c r="BO222">
        <v>0.3674</v>
      </c>
      <c r="BP222">
        <v>1.1860999999999999</v>
      </c>
      <c r="BQ222">
        <v>0.6956</v>
      </c>
      <c r="BR222">
        <v>0.64990000000000003</v>
      </c>
      <c r="BS222">
        <v>0.21779999999999999</v>
      </c>
      <c r="BT222">
        <v>0.49430000000000002</v>
      </c>
      <c r="BU222">
        <v>0.77939999999999998</v>
      </c>
      <c r="BV222">
        <v>0.6966</v>
      </c>
      <c r="BW222">
        <v>0.43940000000000001</v>
      </c>
      <c r="BX222">
        <v>0.50060000000000004</v>
      </c>
      <c r="BY222">
        <v>0.43680000000000002</v>
      </c>
      <c r="BZ222">
        <v>0.34139999999999998</v>
      </c>
      <c r="CA222">
        <v>0.3427</v>
      </c>
      <c r="CB222">
        <v>0.3226</v>
      </c>
      <c r="CC222">
        <v>0.43680000000000002</v>
      </c>
      <c r="CD222">
        <v>0.52959999999999996</v>
      </c>
      <c r="CE222">
        <v>0.68149999999999999</v>
      </c>
      <c r="CF222">
        <v>0.78800000000000003</v>
      </c>
      <c r="CG222">
        <v>0.43440000000000001</v>
      </c>
      <c r="CH222">
        <v>0.20530000000000001</v>
      </c>
      <c r="CI222">
        <v>0.63160000000000005</v>
      </c>
      <c r="CJ222">
        <v>0.34949999999999998</v>
      </c>
      <c r="CK222">
        <v>0.53069999999999995</v>
      </c>
      <c r="CL222">
        <v>0.32200000000000001</v>
      </c>
      <c r="CM222">
        <v>0.44009999999999999</v>
      </c>
      <c r="CN222">
        <v>0.25969999999999999</v>
      </c>
      <c r="CO222">
        <v>0.38840000000000002</v>
      </c>
      <c r="CP222">
        <v>0.44080000000000003</v>
      </c>
      <c r="CQ222">
        <v>0.37890000000000001</v>
      </c>
      <c r="CR222">
        <v>0.76380000000000003</v>
      </c>
      <c r="CS222">
        <v>0.77969999999999995</v>
      </c>
      <c r="CT222">
        <v>0.61060000000000003</v>
      </c>
      <c r="CU222">
        <v>0.35580000000000001</v>
      </c>
      <c r="CV222">
        <v>0.42949999999999999</v>
      </c>
      <c r="CW222">
        <v>0.3926</v>
      </c>
      <c r="CX222">
        <v>0.37940000000000002</v>
      </c>
      <c r="CY222">
        <v>0.20300000000000001</v>
      </c>
    </row>
    <row r="223" spans="1:103" x14ac:dyDescent="0.3">
      <c r="A223">
        <v>9008</v>
      </c>
      <c r="B223" t="s">
        <v>689</v>
      </c>
      <c r="C223" t="s">
        <v>300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c r="CU223">
        <v>0</v>
      </c>
      <c r="CV223">
        <v>0</v>
      </c>
      <c r="CW223">
        <v>0</v>
      </c>
      <c r="CX223">
        <v>0</v>
      </c>
      <c r="CY223">
        <v>0</v>
      </c>
    </row>
    <row r="224" spans="1:103" x14ac:dyDescent="0.3">
      <c r="A224">
        <v>9010</v>
      </c>
      <c r="B224" t="s">
        <v>690</v>
      </c>
      <c r="C224" t="s">
        <v>691</v>
      </c>
      <c r="D224">
        <v>0</v>
      </c>
      <c r="E224">
        <v>9.36</v>
      </c>
      <c r="F224">
        <v>0</v>
      </c>
      <c r="G224">
        <v>15.88</v>
      </c>
      <c r="H224">
        <v>0</v>
      </c>
      <c r="I224">
        <v>0</v>
      </c>
      <c r="J224">
        <v>5.08</v>
      </c>
      <c r="K224">
        <v>2.88</v>
      </c>
      <c r="L224">
        <v>29.35</v>
      </c>
      <c r="M224">
        <v>4.8</v>
      </c>
      <c r="N224">
        <v>0</v>
      </c>
      <c r="O224">
        <v>8.64</v>
      </c>
      <c r="P224">
        <v>0</v>
      </c>
      <c r="Q224">
        <v>30.95</v>
      </c>
      <c r="R224">
        <v>14.95</v>
      </c>
      <c r="S224">
        <v>3.39</v>
      </c>
      <c r="T224">
        <v>0</v>
      </c>
      <c r="U224">
        <v>0</v>
      </c>
      <c r="V224">
        <v>49.12</v>
      </c>
      <c r="W224">
        <v>0</v>
      </c>
      <c r="X224">
        <v>94.87</v>
      </c>
      <c r="Y224">
        <v>3.75</v>
      </c>
      <c r="Z224">
        <v>0</v>
      </c>
      <c r="AA224">
        <v>4.59</v>
      </c>
      <c r="AB224">
        <v>9.77</v>
      </c>
      <c r="AC224">
        <v>9.43</v>
      </c>
      <c r="AD224">
        <v>10.74</v>
      </c>
      <c r="AE224">
        <v>3.15</v>
      </c>
      <c r="AF224">
        <v>2.54</v>
      </c>
      <c r="AG224">
        <v>8.77</v>
      </c>
      <c r="AH224">
        <v>14.28</v>
      </c>
      <c r="AI224">
        <v>49.24</v>
      </c>
      <c r="AJ224">
        <v>4.0599999999999996</v>
      </c>
      <c r="AK224">
        <v>0</v>
      </c>
      <c r="AL224">
        <v>7.74</v>
      </c>
      <c r="AM224">
        <v>0</v>
      </c>
      <c r="AN224">
        <v>30.32</v>
      </c>
      <c r="AO224">
        <v>0</v>
      </c>
      <c r="AP224">
        <v>0</v>
      </c>
      <c r="AQ224">
        <v>3.34</v>
      </c>
      <c r="AR224">
        <v>0</v>
      </c>
      <c r="AS224">
        <v>2.88</v>
      </c>
      <c r="AT224">
        <v>13.8</v>
      </c>
      <c r="AU224">
        <v>0</v>
      </c>
      <c r="AV224">
        <v>316.95</v>
      </c>
      <c r="AW224">
        <v>2.82</v>
      </c>
      <c r="AX224">
        <v>3.57</v>
      </c>
      <c r="AY224">
        <v>2.4900000000000002</v>
      </c>
      <c r="AZ224">
        <v>0</v>
      </c>
      <c r="BA224">
        <v>0</v>
      </c>
      <c r="BB224">
        <v>4.47</v>
      </c>
      <c r="BC224">
        <v>18.8</v>
      </c>
      <c r="BD224">
        <v>0</v>
      </c>
      <c r="BE224">
        <v>0</v>
      </c>
      <c r="BF224">
        <v>9.57</v>
      </c>
      <c r="BG224">
        <v>0</v>
      </c>
      <c r="BH224">
        <v>0</v>
      </c>
      <c r="BI224">
        <v>0.15</v>
      </c>
      <c r="BJ224">
        <v>31.74</v>
      </c>
      <c r="BK224">
        <v>0</v>
      </c>
      <c r="BL224">
        <v>0</v>
      </c>
      <c r="BM224">
        <v>9.25</v>
      </c>
      <c r="BN224">
        <v>4.8899999999999997</v>
      </c>
      <c r="BO224">
        <v>2.4</v>
      </c>
      <c r="BP224">
        <v>0</v>
      </c>
      <c r="BQ224">
        <v>3.07</v>
      </c>
      <c r="BR224">
        <v>0</v>
      </c>
      <c r="BS224">
        <v>0</v>
      </c>
      <c r="BT224">
        <v>9.83</v>
      </c>
      <c r="BU224">
        <v>6.9</v>
      </c>
      <c r="BV224">
        <v>3.6</v>
      </c>
      <c r="BW224">
        <v>10.78</v>
      </c>
      <c r="BX224">
        <v>0</v>
      </c>
      <c r="BY224">
        <v>0</v>
      </c>
      <c r="BZ224">
        <v>1.94</v>
      </c>
      <c r="CA224">
        <v>0</v>
      </c>
      <c r="CB224">
        <v>14.7</v>
      </c>
      <c r="CC224">
        <v>6.6</v>
      </c>
      <c r="CD224">
        <v>9.27</v>
      </c>
      <c r="CE224">
        <v>8.16</v>
      </c>
      <c r="CF224">
        <v>0</v>
      </c>
      <c r="CG224">
        <v>8.0299999999999994</v>
      </c>
      <c r="CH224">
        <v>6.02</v>
      </c>
      <c r="CI224">
        <v>2.4300000000000002</v>
      </c>
      <c r="CJ224">
        <v>120.87</v>
      </c>
      <c r="CK224">
        <v>0.28000000000000003</v>
      </c>
      <c r="CL224">
        <v>0</v>
      </c>
      <c r="CM224">
        <v>0</v>
      </c>
      <c r="CN224">
        <v>12.73</v>
      </c>
      <c r="CO224">
        <v>4.46</v>
      </c>
      <c r="CP224">
        <v>4.1900000000000004</v>
      </c>
      <c r="CQ224">
        <v>0</v>
      </c>
      <c r="CR224">
        <v>7.09</v>
      </c>
      <c r="CS224">
        <v>3.17</v>
      </c>
      <c r="CT224">
        <v>0</v>
      </c>
      <c r="CU224">
        <v>1.47</v>
      </c>
      <c r="CV224">
        <v>0</v>
      </c>
      <c r="CW224">
        <v>14.08</v>
      </c>
      <c r="CX224">
        <v>1.81</v>
      </c>
      <c r="CY224">
        <v>0.04</v>
      </c>
    </row>
    <row r="225" spans="1:103" x14ac:dyDescent="0.3">
      <c r="A225">
        <v>9011</v>
      </c>
      <c r="B225" t="s">
        <v>1630</v>
      </c>
      <c r="C225" t="s">
        <v>692</v>
      </c>
      <c r="D225">
        <v>0</v>
      </c>
      <c r="E225">
        <v>674099</v>
      </c>
      <c r="F225">
        <v>0</v>
      </c>
      <c r="G225">
        <v>-1435056</v>
      </c>
      <c r="H225">
        <v>0</v>
      </c>
      <c r="I225">
        <v>0</v>
      </c>
      <c r="J225">
        <v>595724</v>
      </c>
      <c r="K225">
        <v>69058</v>
      </c>
      <c r="L225">
        <v>370209</v>
      </c>
      <c r="M225">
        <v>30517631</v>
      </c>
      <c r="N225">
        <v>0</v>
      </c>
      <c r="O225">
        <v>142249</v>
      </c>
      <c r="P225">
        <v>0</v>
      </c>
      <c r="Q225">
        <v>517010</v>
      </c>
      <c r="R225">
        <v>262738</v>
      </c>
      <c r="S225">
        <v>709</v>
      </c>
      <c r="T225">
        <v>0</v>
      </c>
      <c r="U225">
        <v>0</v>
      </c>
      <c r="V225">
        <v>205245</v>
      </c>
      <c r="W225">
        <v>0</v>
      </c>
      <c r="X225">
        <v>333053</v>
      </c>
      <c r="Y225">
        <v>-9986</v>
      </c>
      <c r="Z225">
        <v>0</v>
      </c>
      <c r="AA225">
        <v>1581325</v>
      </c>
      <c r="AB225">
        <v>171795</v>
      </c>
      <c r="AC225">
        <v>60974</v>
      </c>
      <c r="AD225">
        <v>3698696</v>
      </c>
      <c r="AE225">
        <v>2320281</v>
      </c>
      <c r="AF225">
        <v>-603140</v>
      </c>
      <c r="AG225">
        <v>1064689</v>
      </c>
      <c r="AH225">
        <v>1066697</v>
      </c>
      <c r="AI225">
        <v>6097465</v>
      </c>
      <c r="AJ225">
        <v>498155</v>
      </c>
      <c r="AK225">
        <v>0</v>
      </c>
      <c r="AL225">
        <v>6641511</v>
      </c>
      <c r="AM225">
        <v>0</v>
      </c>
      <c r="AN225">
        <v>158751</v>
      </c>
      <c r="AO225">
        <v>0</v>
      </c>
      <c r="AP225">
        <v>0</v>
      </c>
      <c r="AQ225">
        <v>-693653</v>
      </c>
      <c r="AR225">
        <v>0</v>
      </c>
      <c r="AS225">
        <v>-16710</v>
      </c>
      <c r="AT225">
        <v>15983605</v>
      </c>
      <c r="AU225">
        <v>0</v>
      </c>
      <c r="AV225">
        <v>-7086</v>
      </c>
      <c r="AW225">
        <v>-17287</v>
      </c>
      <c r="AX225">
        <v>-2180403</v>
      </c>
      <c r="AY225">
        <v>236446</v>
      </c>
      <c r="AZ225">
        <v>0</v>
      </c>
      <c r="BA225">
        <v>0</v>
      </c>
      <c r="BB225">
        <v>9689263</v>
      </c>
      <c r="BC225">
        <v>137110</v>
      </c>
      <c r="BD225">
        <v>0</v>
      </c>
      <c r="BE225">
        <v>0</v>
      </c>
      <c r="BF225">
        <v>2138717</v>
      </c>
      <c r="BG225">
        <v>0</v>
      </c>
      <c r="BH225">
        <v>0</v>
      </c>
      <c r="BI225">
        <v>-197410</v>
      </c>
      <c r="BJ225">
        <v>62986</v>
      </c>
      <c r="BK225">
        <v>0</v>
      </c>
      <c r="BL225">
        <v>0</v>
      </c>
      <c r="BM225">
        <v>691388</v>
      </c>
      <c r="BN225">
        <v>4490729</v>
      </c>
      <c r="BO225">
        <v>987769</v>
      </c>
      <c r="BP225">
        <v>0</v>
      </c>
      <c r="BQ225">
        <v>801949</v>
      </c>
      <c r="BR225">
        <v>0</v>
      </c>
      <c r="BS225">
        <v>0</v>
      </c>
      <c r="BT225">
        <v>-108211</v>
      </c>
      <c r="BU225">
        <v>891058</v>
      </c>
      <c r="BV225">
        <v>1267996</v>
      </c>
      <c r="BW225">
        <v>367380</v>
      </c>
      <c r="BX225">
        <v>0</v>
      </c>
      <c r="BY225">
        <v>0</v>
      </c>
      <c r="BZ225">
        <v>-77651</v>
      </c>
      <c r="CA225">
        <v>0</v>
      </c>
      <c r="CB225">
        <v>1489583</v>
      </c>
      <c r="CC225">
        <v>11289019</v>
      </c>
      <c r="CD225">
        <v>-912200</v>
      </c>
      <c r="CE225">
        <v>-139846</v>
      </c>
      <c r="CF225">
        <v>0</v>
      </c>
      <c r="CG225">
        <v>866326</v>
      </c>
      <c r="CH225">
        <v>380384</v>
      </c>
      <c r="CI225">
        <v>525012</v>
      </c>
      <c r="CJ225">
        <v>-25372</v>
      </c>
      <c r="CK225">
        <v>-2015918</v>
      </c>
      <c r="CL225">
        <v>0</v>
      </c>
      <c r="CM225">
        <v>0</v>
      </c>
      <c r="CN225">
        <v>380603</v>
      </c>
      <c r="CO225">
        <v>21165798</v>
      </c>
      <c r="CP225">
        <v>118996</v>
      </c>
      <c r="CQ225">
        <v>0</v>
      </c>
      <c r="CR225">
        <v>344981</v>
      </c>
      <c r="CS225">
        <v>249131</v>
      </c>
      <c r="CT225">
        <v>0</v>
      </c>
      <c r="CU225">
        <v>-247487</v>
      </c>
      <c r="CV225">
        <v>0</v>
      </c>
      <c r="CW225">
        <v>1143814</v>
      </c>
      <c r="CX225">
        <v>-186864</v>
      </c>
      <c r="CY225">
        <v>-38161</v>
      </c>
    </row>
    <row r="226" spans="1:103" x14ac:dyDescent="0.3">
      <c r="A226">
        <v>9012</v>
      </c>
      <c r="B226" t="s">
        <v>1631</v>
      </c>
      <c r="C226" t="s">
        <v>692</v>
      </c>
      <c r="D226">
        <v>0</v>
      </c>
      <c r="E226">
        <v>2.4529000000000001</v>
      </c>
      <c r="F226">
        <v>0</v>
      </c>
      <c r="G226">
        <v>0.92149999999999999</v>
      </c>
      <c r="H226">
        <v>0</v>
      </c>
      <c r="I226">
        <v>0</v>
      </c>
      <c r="J226">
        <v>1.5347</v>
      </c>
      <c r="K226">
        <v>0.70569999999999999</v>
      </c>
      <c r="L226">
        <v>1.1741999999999999</v>
      </c>
      <c r="M226">
        <v>2.0356000000000001</v>
      </c>
      <c r="N226">
        <v>0</v>
      </c>
      <c r="O226">
        <v>0.43140000000000001</v>
      </c>
      <c r="P226">
        <v>0</v>
      </c>
      <c r="Q226">
        <v>1.8373999999999999</v>
      </c>
      <c r="R226">
        <v>2.0897000000000001</v>
      </c>
      <c r="S226">
        <v>2.5129999999999999</v>
      </c>
      <c r="T226">
        <v>0</v>
      </c>
      <c r="U226">
        <v>0</v>
      </c>
      <c r="V226">
        <v>3.1328999999999998</v>
      </c>
      <c r="W226">
        <v>0</v>
      </c>
      <c r="X226">
        <v>2.3862000000000001</v>
      </c>
      <c r="Y226">
        <v>0.44469999999999998</v>
      </c>
      <c r="Z226">
        <v>0</v>
      </c>
      <c r="AA226">
        <v>1.5157</v>
      </c>
      <c r="AB226">
        <v>3.077</v>
      </c>
      <c r="AC226">
        <v>2.3647999999999998</v>
      </c>
      <c r="AD226">
        <v>2.8068</v>
      </c>
      <c r="AE226">
        <v>0.1978</v>
      </c>
      <c r="AF226">
        <v>1.0862000000000001</v>
      </c>
      <c r="AG226">
        <v>1.4497</v>
      </c>
      <c r="AH226">
        <v>4.1222000000000003</v>
      </c>
      <c r="AI226">
        <v>5.4137000000000004</v>
      </c>
      <c r="AJ226">
        <v>0.46870000000000001</v>
      </c>
      <c r="AK226">
        <v>0</v>
      </c>
      <c r="AL226">
        <v>2.415</v>
      </c>
      <c r="AM226">
        <v>0</v>
      </c>
      <c r="AN226">
        <v>2.4620000000000002</v>
      </c>
      <c r="AO226">
        <v>0</v>
      </c>
      <c r="AP226">
        <v>0</v>
      </c>
      <c r="AQ226">
        <v>0.6</v>
      </c>
      <c r="AR226">
        <v>0</v>
      </c>
      <c r="AS226">
        <v>0.75570000000000004</v>
      </c>
      <c r="AT226">
        <v>2.7172999999999998</v>
      </c>
      <c r="AU226">
        <v>0</v>
      </c>
      <c r="AV226">
        <v>14.148999999999999</v>
      </c>
      <c r="AW226">
        <v>2.7103000000000002</v>
      </c>
      <c r="AX226">
        <v>0.53410000000000002</v>
      </c>
      <c r="AY226">
        <v>0.37669999999999998</v>
      </c>
      <c r="AZ226">
        <v>0</v>
      </c>
      <c r="BA226">
        <v>0</v>
      </c>
      <c r="BB226">
        <v>1.2559</v>
      </c>
      <c r="BC226">
        <v>3.0724999999999998</v>
      </c>
      <c r="BD226">
        <v>0</v>
      </c>
      <c r="BE226">
        <v>0</v>
      </c>
      <c r="BF226">
        <v>2.4737</v>
      </c>
      <c r="BG226">
        <v>0</v>
      </c>
      <c r="BH226">
        <v>0</v>
      </c>
      <c r="BI226">
        <v>1.12E-2</v>
      </c>
      <c r="BJ226">
        <v>2.0714000000000001</v>
      </c>
      <c r="BK226">
        <v>0</v>
      </c>
      <c r="BL226">
        <v>0</v>
      </c>
      <c r="BM226">
        <v>2.2498999999999998</v>
      </c>
      <c r="BN226">
        <v>1.5769</v>
      </c>
      <c r="BO226">
        <v>0.63180000000000003</v>
      </c>
      <c r="BP226">
        <v>0</v>
      </c>
      <c r="BQ226">
        <v>0.56279999999999997</v>
      </c>
      <c r="BR226">
        <v>0</v>
      </c>
      <c r="BS226">
        <v>0</v>
      </c>
      <c r="BT226">
        <v>1.0363</v>
      </c>
      <c r="BU226">
        <v>1.3157000000000001</v>
      </c>
      <c r="BV226">
        <v>1.1933</v>
      </c>
      <c r="BW226">
        <v>0.7288</v>
      </c>
      <c r="BX226">
        <v>0</v>
      </c>
      <c r="BY226">
        <v>0</v>
      </c>
      <c r="BZ226">
        <v>2.8452999999999999</v>
      </c>
      <c r="CA226">
        <v>0</v>
      </c>
      <c r="CB226">
        <v>2.4565999999999999</v>
      </c>
      <c r="CC226">
        <v>1.4787999999999999</v>
      </c>
      <c r="CD226">
        <v>1.5732999999999999</v>
      </c>
      <c r="CE226">
        <v>1.742</v>
      </c>
      <c r="CF226">
        <v>0</v>
      </c>
      <c r="CG226">
        <v>3.0508000000000002</v>
      </c>
      <c r="CH226">
        <v>2.5101</v>
      </c>
      <c r="CI226">
        <v>0.4209</v>
      </c>
      <c r="CJ226">
        <v>2.4487000000000001</v>
      </c>
      <c r="CK226">
        <v>0.22140000000000001</v>
      </c>
      <c r="CL226">
        <v>0</v>
      </c>
      <c r="CM226">
        <v>0</v>
      </c>
      <c r="CN226">
        <v>1.6848000000000001</v>
      </c>
      <c r="CO226">
        <v>2.5078</v>
      </c>
      <c r="CP226">
        <v>0.94359999999999999</v>
      </c>
      <c r="CQ226">
        <v>0</v>
      </c>
      <c r="CR226">
        <v>2.2955000000000001</v>
      </c>
      <c r="CS226">
        <v>1.4384999999999999</v>
      </c>
      <c r="CT226">
        <v>0</v>
      </c>
      <c r="CU226">
        <v>0.75160000000000005</v>
      </c>
      <c r="CV226">
        <v>0</v>
      </c>
      <c r="CW226">
        <v>2.5990000000000002</v>
      </c>
      <c r="CX226">
        <v>0.69410000000000005</v>
      </c>
      <c r="CY226">
        <v>0</v>
      </c>
    </row>
    <row r="227" spans="1:103" x14ac:dyDescent="0.3">
      <c r="A227">
        <v>9013</v>
      </c>
      <c r="B227" t="s">
        <v>693</v>
      </c>
      <c r="C227" t="s">
        <v>694</v>
      </c>
      <c r="D227">
        <v>0</v>
      </c>
      <c r="E227">
        <v>9.36</v>
      </c>
      <c r="F227">
        <v>0</v>
      </c>
      <c r="G227">
        <v>15.88</v>
      </c>
      <c r="H227">
        <v>0</v>
      </c>
      <c r="I227">
        <v>0</v>
      </c>
      <c r="J227">
        <v>5.08</v>
      </c>
      <c r="K227">
        <v>2.88</v>
      </c>
      <c r="L227">
        <v>29.35</v>
      </c>
      <c r="M227">
        <v>4.8</v>
      </c>
      <c r="N227">
        <v>0</v>
      </c>
      <c r="O227">
        <v>8.64</v>
      </c>
      <c r="P227">
        <v>0</v>
      </c>
      <c r="Q227">
        <v>30.95</v>
      </c>
      <c r="R227">
        <v>14.95</v>
      </c>
      <c r="S227">
        <v>3.39</v>
      </c>
      <c r="T227">
        <v>0</v>
      </c>
      <c r="U227">
        <v>0</v>
      </c>
      <c r="V227">
        <v>49.12</v>
      </c>
      <c r="W227">
        <v>0</v>
      </c>
      <c r="X227">
        <v>94.87</v>
      </c>
      <c r="Y227">
        <v>3.75</v>
      </c>
      <c r="Z227">
        <v>0</v>
      </c>
      <c r="AA227">
        <v>4.59</v>
      </c>
      <c r="AB227">
        <v>9.77</v>
      </c>
      <c r="AC227">
        <v>9.43</v>
      </c>
      <c r="AD227">
        <v>10.74</v>
      </c>
      <c r="AE227">
        <v>3.15</v>
      </c>
      <c r="AF227">
        <v>2.54</v>
      </c>
      <c r="AG227">
        <v>8.77</v>
      </c>
      <c r="AH227">
        <v>14.28</v>
      </c>
      <c r="AI227">
        <v>49.24</v>
      </c>
      <c r="AJ227">
        <v>4.0599999999999996</v>
      </c>
      <c r="AK227">
        <v>0</v>
      </c>
      <c r="AL227">
        <v>7.74</v>
      </c>
      <c r="AM227">
        <v>0</v>
      </c>
      <c r="AN227">
        <v>30.32</v>
      </c>
      <c r="AO227">
        <v>0</v>
      </c>
      <c r="AP227">
        <v>0</v>
      </c>
      <c r="AQ227">
        <v>3.34</v>
      </c>
      <c r="AR227">
        <v>0</v>
      </c>
      <c r="AS227">
        <v>2.88</v>
      </c>
      <c r="AT227">
        <v>13.8</v>
      </c>
      <c r="AU227">
        <v>0</v>
      </c>
      <c r="AV227">
        <v>316.95</v>
      </c>
      <c r="AW227">
        <v>2.82</v>
      </c>
      <c r="AX227">
        <v>3.57</v>
      </c>
      <c r="AY227">
        <v>2.4900000000000002</v>
      </c>
      <c r="AZ227">
        <v>0</v>
      </c>
      <c r="BA227">
        <v>0</v>
      </c>
      <c r="BB227">
        <v>4.47</v>
      </c>
      <c r="BC227">
        <v>18.8</v>
      </c>
      <c r="BD227">
        <v>0</v>
      </c>
      <c r="BE227">
        <v>0</v>
      </c>
      <c r="BF227">
        <v>9.57</v>
      </c>
      <c r="BG227">
        <v>0</v>
      </c>
      <c r="BH227">
        <v>0</v>
      </c>
      <c r="BI227">
        <v>0.15</v>
      </c>
      <c r="BJ227">
        <v>31.74</v>
      </c>
      <c r="BK227">
        <v>0</v>
      </c>
      <c r="BL227">
        <v>0</v>
      </c>
      <c r="BM227">
        <v>9.25</v>
      </c>
      <c r="BN227">
        <v>4.8899999999999997</v>
      </c>
      <c r="BO227">
        <v>2.4</v>
      </c>
      <c r="BP227">
        <v>0</v>
      </c>
      <c r="BQ227">
        <v>3.07</v>
      </c>
      <c r="BR227">
        <v>0</v>
      </c>
      <c r="BS227">
        <v>0</v>
      </c>
      <c r="BT227">
        <v>9.83</v>
      </c>
      <c r="BU227">
        <v>6.9</v>
      </c>
      <c r="BV227">
        <v>3.6</v>
      </c>
      <c r="BW227">
        <v>10.78</v>
      </c>
      <c r="BX227">
        <v>0</v>
      </c>
      <c r="BY227">
        <v>0</v>
      </c>
      <c r="BZ227">
        <v>1.94</v>
      </c>
      <c r="CA227">
        <v>0</v>
      </c>
      <c r="CB227">
        <v>14.7</v>
      </c>
      <c r="CC227">
        <v>6.6</v>
      </c>
      <c r="CD227">
        <v>9.27</v>
      </c>
      <c r="CE227">
        <v>8.16</v>
      </c>
      <c r="CF227">
        <v>0</v>
      </c>
      <c r="CG227">
        <v>8.0299999999999994</v>
      </c>
      <c r="CH227">
        <v>6.02</v>
      </c>
      <c r="CI227">
        <v>2.4300000000000002</v>
      </c>
      <c r="CJ227">
        <v>120.87</v>
      </c>
      <c r="CK227">
        <v>0.28000000000000003</v>
      </c>
      <c r="CL227">
        <v>0</v>
      </c>
      <c r="CM227">
        <v>0</v>
      </c>
      <c r="CN227">
        <v>12.73</v>
      </c>
      <c r="CO227">
        <v>4.46</v>
      </c>
      <c r="CP227">
        <v>4.1900000000000004</v>
      </c>
      <c r="CQ227">
        <v>0</v>
      </c>
      <c r="CR227">
        <v>7.09</v>
      </c>
      <c r="CS227">
        <v>3.17</v>
      </c>
      <c r="CT227">
        <v>0</v>
      </c>
      <c r="CU227">
        <v>1.47</v>
      </c>
      <c r="CV227">
        <v>0</v>
      </c>
      <c r="CW227">
        <v>14.08</v>
      </c>
      <c r="CX227">
        <v>1.81</v>
      </c>
      <c r="CY227">
        <v>0.04</v>
      </c>
    </row>
    <row r="228" spans="1:103" x14ac:dyDescent="0.3">
      <c r="A228">
        <v>9014</v>
      </c>
      <c r="B228" t="s">
        <v>695</v>
      </c>
      <c r="C228" t="s">
        <v>696</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row>
    <row r="229" spans="1:103" x14ac:dyDescent="0.3">
      <c r="A229">
        <v>9015</v>
      </c>
      <c r="B229" t="s">
        <v>1632</v>
      </c>
      <c r="C229" t="s">
        <v>300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BX229">
        <v>0</v>
      </c>
      <c r="BY229">
        <v>0</v>
      </c>
      <c r="BZ229">
        <v>0</v>
      </c>
      <c r="CA229">
        <v>0</v>
      </c>
      <c r="CB229">
        <v>0</v>
      </c>
      <c r="CC229">
        <v>0</v>
      </c>
      <c r="CD229">
        <v>0</v>
      </c>
      <c r="CE229">
        <v>0</v>
      </c>
      <c r="CF229">
        <v>0</v>
      </c>
      <c r="CG229">
        <v>0</v>
      </c>
      <c r="CH229">
        <v>0</v>
      </c>
      <c r="CI229">
        <v>0</v>
      </c>
      <c r="CJ229">
        <v>0</v>
      </c>
      <c r="CK229">
        <v>0</v>
      </c>
      <c r="CL229">
        <v>0</v>
      </c>
      <c r="CM229">
        <v>0</v>
      </c>
      <c r="CN229">
        <v>0</v>
      </c>
      <c r="CO229">
        <v>0</v>
      </c>
      <c r="CP229">
        <v>0</v>
      </c>
      <c r="CQ229">
        <v>0</v>
      </c>
      <c r="CR229">
        <v>0</v>
      </c>
      <c r="CS229">
        <v>0</v>
      </c>
      <c r="CT229">
        <v>0</v>
      </c>
      <c r="CU229">
        <v>0</v>
      </c>
      <c r="CV229">
        <v>0</v>
      </c>
      <c r="CW229">
        <v>0</v>
      </c>
      <c r="CX229">
        <v>0</v>
      </c>
      <c r="CY229">
        <v>0</v>
      </c>
    </row>
    <row r="230" spans="1:103" x14ac:dyDescent="0.3">
      <c r="A230">
        <v>9016</v>
      </c>
      <c r="B230" t="s">
        <v>1633</v>
      </c>
      <c r="C230" t="s">
        <v>300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0</v>
      </c>
      <c r="CO230">
        <v>0</v>
      </c>
      <c r="CP230">
        <v>0</v>
      </c>
      <c r="CQ230">
        <v>0</v>
      </c>
      <c r="CR230">
        <v>0</v>
      </c>
      <c r="CS230">
        <v>0</v>
      </c>
      <c r="CT230">
        <v>0</v>
      </c>
      <c r="CU230">
        <v>0</v>
      </c>
      <c r="CV230">
        <v>0</v>
      </c>
      <c r="CW230">
        <v>0</v>
      </c>
      <c r="CX230">
        <v>0</v>
      </c>
      <c r="CY230">
        <v>0</v>
      </c>
    </row>
    <row r="231" spans="1:103" x14ac:dyDescent="0.3">
      <c r="A231">
        <v>9017</v>
      </c>
      <c r="B231" t="s">
        <v>697</v>
      </c>
      <c r="C231" t="s">
        <v>698</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0</v>
      </c>
      <c r="CI231">
        <v>0</v>
      </c>
      <c r="CJ231">
        <v>0</v>
      </c>
      <c r="CK231">
        <v>0</v>
      </c>
      <c r="CL231">
        <v>0</v>
      </c>
      <c r="CM231">
        <v>0</v>
      </c>
      <c r="CN231">
        <v>0</v>
      </c>
      <c r="CO231">
        <v>0</v>
      </c>
      <c r="CP231">
        <v>0</v>
      </c>
      <c r="CQ231">
        <v>0</v>
      </c>
      <c r="CR231">
        <v>0</v>
      </c>
      <c r="CS231">
        <v>0</v>
      </c>
      <c r="CT231">
        <v>0</v>
      </c>
      <c r="CU231">
        <v>0</v>
      </c>
      <c r="CV231">
        <v>0</v>
      </c>
      <c r="CW231">
        <v>0</v>
      </c>
      <c r="CX231">
        <v>0</v>
      </c>
      <c r="CY231">
        <v>0</v>
      </c>
    </row>
    <row r="232" spans="1:103" x14ac:dyDescent="0.3">
      <c r="A232" s="703">
        <v>9018</v>
      </c>
      <c r="B232" t="s">
        <v>699</v>
      </c>
      <c r="C232" t="s">
        <v>700</v>
      </c>
      <c r="D232">
        <v>23014167</v>
      </c>
      <c r="E232">
        <v>10594815</v>
      </c>
      <c r="F232">
        <v>4243200</v>
      </c>
      <c r="G232">
        <v>2051650</v>
      </c>
      <c r="H232">
        <v>2825138</v>
      </c>
      <c r="I232">
        <v>2449296</v>
      </c>
      <c r="J232">
        <v>7338761</v>
      </c>
      <c r="K232">
        <v>3583782</v>
      </c>
      <c r="L232">
        <v>6610411</v>
      </c>
      <c r="M232">
        <v>38241069</v>
      </c>
      <c r="N232">
        <v>114596342</v>
      </c>
      <c r="O232">
        <v>13565539</v>
      </c>
      <c r="P232">
        <v>201467403</v>
      </c>
      <c r="Q232">
        <v>8439800</v>
      </c>
      <c r="R232">
        <v>912948</v>
      </c>
      <c r="S232">
        <v>4744863</v>
      </c>
      <c r="T232">
        <v>0</v>
      </c>
      <c r="U232">
        <v>40743039</v>
      </c>
      <c r="V232">
        <v>27749817</v>
      </c>
      <c r="W232">
        <v>0</v>
      </c>
      <c r="X232">
        <v>2181524</v>
      </c>
      <c r="Y232">
        <v>6075122</v>
      </c>
      <c r="Z232">
        <v>83021691</v>
      </c>
      <c r="AA232">
        <v>12917262</v>
      </c>
      <c r="AB232">
        <v>19756513</v>
      </c>
      <c r="AC232">
        <v>75378422</v>
      </c>
      <c r="AD232">
        <v>8743889</v>
      </c>
      <c r="AE232">
        <v>65612159</v>
      </c>
      <c r="AF232">
        <v>18226383</v>
      </c>
      <c r="AG232">
        <v>11340030</v>
      </c>
      <c r="AH232">
        <v>9401782</v>
      </c>
      <c r="AI232">
        <v>103323554</v>
      </c>
      <c r="AJ232">
        <v>11744170</v>
      </c>
      <c r="AK232">
        <v>159770727</v>
      </c>
      <c r="AL232">
        <v>14668167</v>
      </c>
      <c r="AM232">
        <v>95007607</v>
      </c>
      <c r="AN232">
        <v>4233578</v>
      </c>
      <c r="AO232">
        <v>0</v>
      </c>
      <c r="AP232">
        <v>11131583</v>
      </c>
      <c r="AQ232">
        <v>2442052</v>
      </c>
      <c r="AR232">
        <v>212420072</v>
      </c>
      <c r="AS232">
        <v>7846909</v>
      </c>
      <c r="AT232">
        <v>61290148</v>
      </c>
      <c r="AU232">
        <v>14332937</v>
      </c>
      <c r="AV232">
        <v>28221963</v>
      </c>
      <c r="AW232">
        <v>4002396</v>
      </c>
      <c r="AX232">
        <v>37357260</v>
      </c>
      <c r="AY232">
        <v>1750819</v>
      </c>
      <c r="AZ232">
        <v>59220740</v>
      </c>
      <c r="BA232">
        <v>12029115</v>
      </c>
      <c r="BB232">
        <v>44057567</v>
      </c>
      <c r="BC232">
        <v>1390935</v>
      </c>
      <c r="BD232">
        <v>17005304</v>
      </c>
      <c r="BE232">
        <v>16151795</v>
      </c>
      <c r="BF232">
        <v>34669704</v>
      </c>
      <c r="BG232">
        <v>7153619</v>
      </c>
      <c r="BH232">
        <v>4866468</v>
      </c>
      <c r="BI232">
        <v>5437452</v>
      </c>
      <c r="BJ232">
        <v>2215965</v>
      </c>
      <c r="BK232">
        <v>543812028</v>
      </c>
      <c r="BL232">
        <v>10162128</v>
      </c>
      <c r="BM232">
        <v>9524977</v>
      </c>
      <c r="BN232">
        <v>35241131</v>
      </c>
      <c r="BO232">
        <v>12998819</v>
      </c>
      <c r="BP232">
        <v>93287837</v>
      </c>
      <c r="BQ232">
        <v>13225859</v>
      </c>
      <c r="BR232">
        <v>72376114</v>
      </c>
      <c r="BS232">
        <v>65444290</v>
      </c>
      <c r="BT232">
        <v>1536042</v>
      </c>
      <c r="BU232">
        <v>6651405</v>
      </c>
      <c r="BV232">
        <v>26039339</v>
      </c>
      <c r="BW232">
        <v>166275</v>
      </c>
      <c r="BX232">
        <v>20296327</v>
      </c>
      <c r="BY232">
        <v>51436002</v>
      </c>
      <c r="BZ232">
        <v>11321361</v>
      </c>
      <c r="CA232">
        <v>20563108</v>
      </c>
      <c r="CB232">
        <v>9159800</v>
      </c>
      <c r="CC232">
        <v>5327622</v>
      </c>
      <c r="CD232">
        <v>30727071</v>
      </c>
      <c r="CE232">
        <v>41673956</v>
      </c>
      <c r="CF232">
        <v>7053520</v>
      </c>
      <c r="CG232">
        <v>14687008</v>
      </c>
      <c r="CH232">
        <v>4972131</v>
      </c>
      <c r="CI232">
        <v>22012831</v>
      </c>
      <c r="CJ232">
        <v>23071715</v>
      </c>
      <c r="CK232">
        <v>12874070</v>
      </c>
      <c r="CL232">
        <v>8420941</v>
      </c>
      <c r="CM232">
        <v>6131308</v>
      </c>
      <c r="CN232">
        <v>701755</v>
      </c>
      <c r="CO232">
        <v>89396423</v>
      </c>
      <c r="CP232">
        <v>11092785</v>
      </c>
      <c r="CQ232">
        <v>386350115</v>
      </c>
      <c r="CR232">
        <v>2550769</v>
      </c>
      <c r="CS232">
        <v>2362828</v>
      </c>
      <c r="CT232">
        <v>18558837</v>
      </c>
      <c r="CU232">
        <v>57822055</v>
      </c>
      <c r="CV232">
        <v>15902931</v>
      </c>
      <c r="CW232">
        <v>6076725</v>
      </c>
      <c r="CX232">
        <v>7222302</v>
      </c>
      <c r="CY232">
        <v>3147964</v>
      </c>
    </row>
    <row r="233" spans="1:103" s="173" customFormat="1" x14ac:dyDescent="0.3">
      <c r="A233" s="703">
        <v>9019</v>
      </c>
      <c r="B233" s="173" t="s">
        <v>701</v>
      </c>
      <c r="C233" s="173" t="s">
        <v>702</v>
      </c>
      <c r="D233" s="173">
        <v>23014167</v>
      </c>
      <c r="E233" s="173">
        <v>10594815</v>
      </c>
      <c r="F233" s="173">
        <v>4243200</v>
      </c>
      <c r="G233" s="173">
        <v>2051650</v>
      </c>
      <c r="H233" s="173">
        <v>2825138</v>
      </c>
      <c r="I233" s="173">
        <v>2449296</v>
      </c>
      <c r="J233" s="173">
        <v>7338761</v>
      </c>
      <c r="K233" s="173">
        <v>3583782</v>
      </c>
      <c r="L233" s="173">
        <v>6610411</v>
      </c>
      <c r="M233" s="173">
        <v>38241069</v>
      </c>
      <c r="N233" s="173">
        <v>114596342</v>
      </c>
      <c r="O233" s="173">
        <v>13565539</v>
      </c>
      <c r="P233" s="173">
        <v>201467403</v>
      </c>
      <c r="Q233" s="173">
        <v>8439800</v>
      </c>
      <c r="R233" s="173">
        <v>912948</v>
      </c>
      <c r="S233" s="173">
        <v>4744863</v>
      </c>
      <c r="T233" s="173">
        <v>0</v>
      </c>
      <c r="U233" s="173">
        <v>40743039</v>
      </c>
      <c r="V233" s="173">
        <v>27749817</v>
      </c>
      <c r="W233" s="173">
        <v>0</v>
      </c>
      <c r="X233" s="173">
        <v>2181524</v>
      </c>
      <c r="Y233" s="173">
        <v>6075122</v>
      </c>
      <c r="Z233" s="173">
        <v>83021691</v>
      </c>
      <c r="AA233" s="173">
        <v>12917262</v>
      </c>
      <c r="AB233" s="173">
        <v>19756513</v>
      </c>
      <c r="AC233" s="173">
        <v>75378422</v>
      </c>
      <c r="AD233" s="173">
        <v>8743889</v>
      </c>
      <c r="AE233" s="173">
        <v>65612159</v>
      </c>
      <c r="AF233" s="173">
        <v>18226383</v>
      </c>
      <c r="AG233" s="173">
        <v>11340030</v>
      </c>
      <c r="AH233" s="173">
        <v>9401782</v>
      </c>
      <c r="AI233" s="173">
        <v>103323554</v>
      </c>
      <c r="AJ233" s="173">
        <v>11744170</v>
      </c>
      <c r="AK233" s="173">
        <v>159770727</v>
      </c>
      <c r="AL233" s="173">
        <v>14668167</v>
      </c>
      <c r="AM233" s="173">
        <v>95007607</v>
      </c>
      <c r="AN233" s="173">
        <v>4233578</v>
      </c>
      <c r="AO233" s="173">
        <v>0</v>
      </c>
      <c r="AP233" s="173">
        <v>11131583</v>
      </c>
      <c r="AQ233" s="173">
        <v>2442052</v>
      </c>
      <c r="AR233" s="173">
        <v>212420072</v>
      </c>
      <c r="AS233" s="173">
        <v>7846909</v>
      </c>
      <c r="AT233" s="173">
        <v>61290148</v>
      </c>
      <c r="AU233" s="173">
        <v>14332937</v>
      </c>
      <c r="AV233" s="173">
        <v>28221963</v>
      </c>
      <c r="AW233" s="173">
        <v>4002396</v>
      </c>
      <c r="AX233" s="173">
        <v>37357260</v>
      </c>
      <c r="AY233" s="173">
        <v>1750819</v>
      </c>
      <c r="AZ233" s="173">
        <v>59220740</v>
      </c>
      <c r="BA233" s="173">
        <v>12029115</v>
      </c>
      <c r="BB233" s="173">
        <v>44057567</v>
      </c>
      <c r="BC233" s="173">
        <v>1390935</v>
      </c>
      <c r="BD233" s="173">
        <v>17005304</v>
      </c>
      <c r="BE233" s="173">
        <v>16151795</v>
      </c>
      <c r="BF233" s="173">
        <v>34669704</v>
      </c>
      <c r="BG233" s="173">
        <v>7153619</v>
      </c>
      <c r="BH233" s="173">
        <v>4866468</v>
      </c>
      <c r="BI233" s="173">
        <v>5437452</v>
      </c>
      <c r="BJ233" s="173">
        <v>2215965</v>
      </c>
      <c r="BK233" s="173">
        <v>543812028</v>
      </c>
      <c r="BL233" s="173">
        <v>10162128</v>
      </c>
      <c r="BM233" s="173">
        <v>9524977</v>
      </c>
      <c r="BN233" s="173">
        <v>35241131</v>
      </c>
      <c r="BO233" s="173">
        <v>12998819</v>
      </c>
      <c r="BP233" s="173">
        <v>93287837</v>
      </c>
      <c r="BQ233" s="173">
        <v>13225859</v>
      </c>
      <c r="BR233" s="173">
        <v>72376114</v>
      </c>
      <c r="BS233" s="173">
        <v>65444290</v>
      </c>
      <c r="BT233" s="173">
        <v>1536042</v>
      </c>
      <c r="BU233" s="173">
        <v>6651405</v>
      </c>
      <c r="BV233" s="173">
        <v>26039339</v>
      </c>
      <c r="BW233" s="173">
        <v>166275</v>
      </c>
      <c r="BX233" s="173">
        <v>20296327</v>
      </c>
      <c r="BY233" s="173">
        <v>51436002</v>
      </c>
      <c r="BZ233" s="173">
        <v>11321361</v>
      </c>
      <c r="CA233" s="173">
        <v>20563108</v>
      </c>
      <c r="CB233" s="173">
        <v>9159800</v>
      </c>
      <c r="CC233" s="173">
        <v>5327622</v>
      </c>
      <c r="CD233" s="173">
        <v>30727071</v>
      </c>
      <c r="CE233" s="173">
        <v>41673956</v>
      </c>
      <c r="CF233" s="173">
        <v>7053520</v>
      </c>
      <c r="CG233" s="173">
        <v>14687008</v>
      </c>
      <c r="CH233" s="173">
        <v>4972131</v>
      </c>
      <c r="CI233" s="173">
        <v>22012831</v>
      </c>
      <c r="CJ233" s="173">
        <v>23071715</v>
      </c>
      <c r="CK233" s="173">
        <v>12874070</v>
      </c>
      <c r="CL233" s="173">
        <v>8420941</v>
      </c>
      <c r="CM233" s="173">
        <v>6131308</v>
      </c>
      <c r="CN233" s="173">
        <v>701755</v>
      </c>
      <c r="CO233" s="173">
        <v>89396423</v>
      </c>
      <c r="CP233" s="173">
        <v>11092785</v>
      </c>
      <c r="CQ233" s="173">
        <v>386350115</v>
      </c>
      <c r="CR233" s="173">
        <v>2550769</v>
      </c>
      <c r="CS233" s="173">
        <v>2362828</v>
      </c>
      <c r="CT233" s="173">
        <v>18558837</v>
      </c>
      <c r="CU233" s="173">
        <v>57822055</v>
      </c>
      <c r="CV233" s="173">
        <v>15902931</v>
      </c>
      <c r="CW233" s="173">
        <v>6076725</v>
      </c>
      <c r="CX233" s="173">
        <v>7222302</v>
      </c>
      <c r="CY233" s="173">
        <v>3147964</v>
      </c>
    </row>
    <row r="234" spans="1:103" x14ac:dyDescent="0.3">
      <c r="A234" s="914"/>
      <c r="B234" s="913" t="s">
        <v>1721</v>
      </c>
      <c r="C234" s="913"/>
      <c r="D234" s="913" t="e">
        <f t="shared" ref="D234:AI234" si="0">1-((D93+D94+D95+D96)/(D85+D86+D87+D88))</f>
        <v>#DIV/0!</v>
      </c>
      <c r="E234" s="913">
        <f t="shared" si="0"/>
        <v>0.59911100500223713</v>
      </c>
      <c r="F234" s="913" t="e">
        <f t="shared" si="0"/>
        <v>#DIV/0!</v>
      </c>
      <c r="G234" s="913">
        <f t="shared" si="0"/>
        <v>0.32829326790436475</v>
      </c>
      <c r="H234" s="913" t="e">
        <f t="shared" si="0"/>
        <v>#DIV/0!</v>
      </c>
      <c r="I234" s="913" t="e">
        <f t="shared" si="0"/>
        <v>#DIV/0!</v>
      </c>
      <c r="J234" s="913">
        <f t="shared" si="0"/>
        <v>0.61207217503309119</v>
      </c>
      <c r="K234" s="913">
        <f t="shared" si="0"/>
        <v>0.63892984205428438</v>
      </c>
      <c r="L234" s="913">
        <f t="shared" si="0"/>
        <v>0.57912707194831281</v>
      </c>
      <c r="M234" s="913">
        <f t="shared" si="0"/>
        <v>0.68542544860071342</v>
      </c>
      <c r="N234" s="913" t="e">
        <f t="shared" si="0"/>
        <v>#DIV/0!</v>
      </c>
      <c r="O234" s="913">
        <f t="shared" si="0"/>
        <v>0.45182086474769489</v>
      </c>
      <c r="P234" s="913" t="e">
        <f t="shared" si="0"/>
        <v>#DIV/0!</v>
      </c>
      <c r="Q234" s="913">
        <f t="shared" si="0"/>
        <v>0.23650778418041951</v>
      </c>
      <c r="R234" s="913">
        <f t="shared" si="0"/>
        <v>0.69094912945491038</v>
      </c>
      <c r="S234" s="913">
        <f t="shared" si="0"/>
        <v>0.40369747235776765</v>
      </c>
      <c r="T234" s="913" t="e">
        <f t="shared" si="0"/>
        <v>#DIV/0!</v>
      </c>
      <c r="U234" s="913" t="e">
        <f t="shared" si="0"/>
        <v>#DIV/0!</v>
      </c>
      <c r="V234" s="913">
        <f t="shared" si="0"/>
        <v>0.55492341198748252</v>
      </c>
      <c r="W234" s="913" t="e">
        <f t="shared" si="0"/>
        <v>#DIV/0!</v>
      </c>
      <c r="X234" s="913">
        <f t="shared" si="0"/>
        <v>0.19253135938455923</v>
      </c>
      <c r="Y234" s="913">
        <f t="shared" si="0"/>
        <v>0.28041730078852056</v>
      </c>
      <c r="Z234" s="913" t="e">
        <f t="shared" si="0"/>
        <v>#DIV/0!</v>
      </c>
      <c r="AA234" s="913">
        <f t="shared" si="0"/>
        <v>0.17763906976115595</v>
      </c>
      <c r="AB234" s="913">
        <f t="shared" si="0"/>
        <v>0.56287684565649787</v>
      </c>
      <c r="AC234" s="913">
        <f t="shared" si="0"/>
        <v>0.64757866575910117</v>
      </c>
      <c r="AD234" s="913">
        <f t="shared" si="0"/>
        <v>0.43910124489163282</v>
      </c>
      <c r="AE234" s="913">
        <f t="shared" si="0"/>
        <v>0.44984945707515167</v>
      </c>
      <c r="AF234" s="913">
        <f t="shared" si="0"/>
        <v>0.72805960113397683</v>
      </c>
      <c r="AG234" s="913">
        <f t="shared" si="0"/>
        <v>0.58915026430655926</v>
      </c>
      <c r="AH234" s="913">
        <f t="shared" si="0"/>
        <v>0.59764801372621945</v>
      </c>
      <c r="AI234" s="913">
        <f t="shared" si="0"/>
        <v>0.54266123284803014</v>
      </c>
      <c r="AJ234" s="913">
        <f t="shared" ref="AJ234:BO234" si="1">1-((AJ93+AJ94+AJ95+AJ96)/(AJ85+AJ86+AJ87+AJ88))</f>
        <v>0.72330599196362222</v>
      </c>
      <c r="AK234" s="913" t="e">
        <f t="shared" si="1"/>
        <v>#DIV/0!</v>
      </c>
      <c r="AL234" s="913">
        <f t="shared" si="1"/>
        <v>0.50037625898807947</v>
      </c>
      <c r="AM234" s="913" t="e">
        <f t="shared" si="1"/>
        <v>#DIV/0!</v>
      </c>
      <c r="AN234" s="913">
        <f t="shared" si="1"/>
        <v>0.49075230268455139</v>
      </c>
      <c r="AO234" s="913" t="e">
        <f t="shared" si="1"/>
        <v>#DIV/0!</v>
      </c>
      <c r="AP234" s="913" t="e">
        <f t="shared" si="1"/>
        <v>#DIV/0!</v>
      </c>
      <c r="AQ234" s="913">
        <f t="shared" si="1"/>
        <v>0.67592630505768669</v>
      </c>
      <c r="AR234" s="913" t="e">
        <f t="shared" si="1"/>
        <v>#DIV/0!</v>
      </c>
      <c r="AS234" s="913">
        <f t="shared" si="1"/>
        <v>0.39923546559829926</v>
      </c>
      <c r="AT234" s="913">
        <f t="shared" si="1"/>
        <v>0.63551181737243634</v>
      </c>
      <c r="AU234" s="913" t="e">
        <f t="shared" si="1"/>
        <v>#DIV/0!</v>
      </c>
      <c r="AV234" s="913">
        <f t="shared" si="1"/>
        <v>0.36069391287794106</v>
      </c>
      <c r="AW234" s="913">
        <f t="shared" si="1"/>
        <v>0.58894323587955144</v>
      </c>
      <c r="AX234" s="913">
        <f t="shared" si="1"/>
        <v>0.68380530838149223</v>
      </c>
      <c r="AY234" s="913">
        <f t="shared" si="1"/>
        <v>0.46781837597164488</v>
      </c>
      <c r="AZ234" s="913" t="e">
        <f t="shared" si="1"/>
        <v>#DIV/0!</v>
      </c>
      <c r="BA234" s="913" t="e">
        <f t="shared" si="1"/>
        <v>#DIV/0!</v>
      </c>
      <c r="BB234" s="913">
        <f t="shared" si="1"/>
        <v>0.57751497375558736</v>
      </c>
      <c r="BC234" s="913">
        <f t="shared" si="1"/>
        <v>0.65686069376826939</v>
      </c>
      <c r="BD234" s="913" t="e">
        <f t="shared" si="1"/>
        <v>#DIV/0!</v>
      </c>
      <c r="BE234" s="913" t="e">
        <f t="shared" si="1"/>
        <v>#DIV/0!</v>
      </c>
      <c r="BF234" s="913">
        <f t="shared" si="1"/>
        <v>0.57257701453928145</v>
      </c>
      <c r="BG234" s="913" t="e">
        <f t="shared" si="1"/>
        <v>#DIV/0!</v>
      </c>
      <c r="BH234" s="913" t="e">
        <f t="shared" si="1"/>
        <v>#DIV/0!</v>
      </c>
      <c r="BI234" s="913">
        <f t="shared" si="1"/>
        <v>0.68855201159740886</v>
      </c>
      <c r="BJ234" s="913">
        <f t="shared" si="1"/>
        <v>0.79109584358532647</v>
      </c>
      <c r="BK234" s="913" t="e">
        <f t="shared" si="1"/>
        <v>#DIV/0!</v>
      </c>
      <c r="BL234" s="913" t="e">
        <f t="shared" si="1"/>
        <v>#DIV/0!</v>
      </c>
      <c r="BM234" s="913">
        <f t="shared" si="1"/>
        <v>0.47229642369432145</v>
      </c>
      <c r="BN234" s="913">
        <f t="shared" si="1"/>
        <v>0.43041757979656603</v>
      </c>
      <c r="BO234" s="913">
        <f t="shared" si="1"/>
        <v>0.74219134586820346</v>
      </c>
      <c r="BP234" s="913" t="e">
        <f t="shared" ref="BP234:CY234" si="2">1-((BP93+BP94+BP95+BP96)/(BP85+BP86+BP87+BP88))</f>
        <v>#DIV/0!</v>
      </c>
      <c r="BQ234" s="913">
        <f t="shared" si="2"/>
        <v>0.56135899249793486</v>
      </c>
      <c r="BR234" s="913" t="e">
        <f t="shared" si="2"/>
        <v>#DIV/0!</v>
      </c>
      <c r="BS234" s="913" t="e">
        <f t="shared" si="2"/>
        <v>#DIV/0!</v>
      </c>
      <c r="BT234" s="913">
        <f t="shared" si="2"/>
        <v>0.4511985890170338</v>
      </c>
      <c r="BU234" s="913">
        <f t="shared" si="2"/>
        <v>0.45754531477981353</v>
      </c>
      <c r="BV234" s="913">
        <f t="shared" si="2"/>
        <v>0.75204915300554953</v>
      </c>
      <c r="BW234" s="913">
        <f t="shared" si="2"/>
        <v>0.39343284517609423</v>
      </c>
      <c r="BX234" s="913" t="e">
        <f t="shared" si="2"/>
        <v>#DIV/0!</v>
      </c>
      <c r="BY234" s="913" t="e">
        <f t="shared" si="2"/>
        <v>#DIV/0!</v>
      </c>
      <c r="BZ234" s="913">
        <f t="shared" si="2"/>
        <v>0.74314844308826866</v>
      </c>
      <c r="CA234" s="913" t="e">
        <f t="shared" si="2"/>
        <v>#DIV/0!</v>
      </c>
      <c r="CB234" s="913">
        <f t="shared" si="2"/>
        <v>0.39390913638233671</v>
      </c>
      <c r="CC234" s="913">
        <f t="shared" si="2"/>
        <v>0.28294138016085846</v>
      </c>
      <c r="CD234" s="913">
        <f t="shared" si="2"/>
        <v>0.69538364241290285</v>
      </c>
      <c r="CE234" s="913">
        <f t="shared" si="2"/>
        <v>0.90675292596441481</v>
      </c>
      <c r="CF234" s="913" t="e">
        <f t="shared" si="2"/>
        <v>#DIV/0!</v>
      </c>
      <c r="CG234" s="913">
        <f t="shared" si="2"/>
        <v>0.54926818930960164</v>
      </c>
      <c r="CH234" s="913">
        <f t="shared" si="2"/>
        <v>0.48748046025412095</v>
      </c>
      <c r="CI234" s="913">
        <f t="shared" si="2"/>
        <v>0.46948597295132566</v>
      </c>
      <c r="CJ234" s="913">
        <f t="shared" si="2"/>
        <v>0.61681293806465365</v>
      </c>
      <c r="CK234" s="913">
        <f t="shared" si="2"/>
        <v>0.74859847713637362</v>
      </c>
      <c r="CL234" s="913" t="e">
        <f t="shared" si="2"/>
        <v>#DIV/0!</v>
      </c>
      <c r="CM234" s="913" t="e">
        <f t="shared" si="2"/>
        <v>#DIV/0!</v>
      </c>
      <c r="CN234" s="913">
        <f t="shared" si="2"/>
        <v>0.68530801071341618</v>
      </c>
      <c r="CO234" s="913">
        <f t="shared" si="2"/>
        <v>0.51379811170035561</v>
      </c>
      <c r="CP234" s="913">
        <f t="shared" si="2"/>
        <v>0.82647289721268558</v>
      </c>
      <c r="CQ234" s="913" t="e">
        <f t="shared" si="2"/>
        <v>#DIV/0!</v>
      </c>
      <c r="CR234" s="913">
        <f t="shared" si="2"/>
        <v>0.54777863028626861</v>
      </c>
      <c r="CS234" s="913">
        <f t="shared" si="2"/>
        <v>0.48242435861011268</v>
      </c>
      <c r="CT234" s="913" t="e">
        <f t="shared" si="2"/>
        <v>#DIV/0!</v>
      </c>
      <c r="CU234" s="913">
        <f t="shared" si="2"/>
        <v>0.52536595452562551</v>
      </c>
      <c r="CV234" s="913" t="e">
        <f t="shared" si="2"/>
        <v>#DIV/0!</v>
      </c>
      <c r="CW234" s="913">
        <f t="shared" si="2"/>
        <v>0.58511748394790319</v>
      </c>
      <c r="CX234" s="913">
        <f t="shared" si="2"/>
        <v>0.62842766583555987</v>
      </c>
      <c r="CY234" s="913" t="e">
        <f t="shared" si="2"/>
        <v>#DIV/0!</v>
      </c>
    </row>
    <row r="235" spans="1:103" x14ac:dyDescent="0.3">
      <c r="B235" s="173"/>
      <c r="C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c r="AB235" s="173"/>
      <c r="AC235" s="173"/>
      <c r="AD235" s="173"/>
      <c r="AE235" s="173"/>
      <c r="AF235" s="173"/>
      <c r="AG235" s="173"/>
      <c r="AH235" s="173"/>
      <c r="AI235" s="173"/>
      <c r="AJ235" s="173"/>
      <c r="AK235" s="173"/>
      <c r="AL235" s="173"/>
      <c r="AM235" s="173"/>
      <c r="AN235" s="173"/>
      <c r="AO235" s="173"/>
      <c r="AP235" s="173"/>
      <c r="AQ235" s="173"/>
      <c r="AR235" s="173"/>
      <c r="AS235" s="173"/>
      <c r="AT235" s="173"/>
      <c r="AU235" s="173"/>
      <c r="AV235" s="173"/>
      <c r="AW235" s="173"/>
      <c r="AX235" s="173"/>
      <c r="AY235" s="173"/>
      <c r="AZ235" s="173"/>
      <c r="BA235" s="173"/>
      <c r="BB235" s="173"/>
      <c r="BC235" s="173"/>
      <c r="BD235" s="173"/>
      <c r="BE235" s="173"/>
      <c r="BF235" s="173"/>
      <c r="BG235" s="173"/>
      <c r="BH235" s="173"/>
      <c r="BI235" s="173"/>
      <c r="BJ235" s="173"/>
      <c r="BK235" s="173"/>
      <c r="BL235" s="173"/>
      <c r="BM235" s="173"/>
      <c r="BN235" s="173"/>
      <c r="BO235" s="173"/>
      <c r="BP235" s="173"/>
      <c r="BQ235" s="173"/>
      <c r="BR235" s="173"/>
      <c r="BS235" s="173"/>
      <c r="BT235" s="173"/>
      <c r="BU235" s="173"/>
      <c r="BV235" s="173"/>
      <c r="BW235" s="173"/>
      <c r="BX235" s="173"/>
      <c r="BY235" s="173"/>
      <c r="BZ235" s="173"/>
      <c r="CA235" s="173"/>
      <c r="CB235" s="173"/>
      <c r="CC235" s="173"/>
      <c r="CD235" s="173"/>
      <c r="CE235" s="173"/>
      <c r="CF235" s="173"/>
      <c r="CG235" s="173"/>
      <c r="CH235" s="173"/>
      <c r="CI235" s="173"/>
      <c r="CJ235" s="173"/>
      <c r="CK235" s="173"/>
      <c r="CL235" s="173"/>
      <c r="CM235" s="173"/>
      <c r="CN235" s="173"/>
      <c r="CO235" s="173"/>
      <c r="CP235" s="173"/>
      <c r="CQ235" s="173"/>
      <c r="CR235" s="173"/>
      <c r="CS235" s="173"/>
      <c r="CT235" s="173"/>
      <c r="CU235" s="173"/>
      <c r="CV235" s="173"/>
      <c r="CW235" s="173"/>
      <c r="CX235" s="173"/>
      <c r="CY235" s="173"/>
    </row>
    <row r="236" spans="1:103" x14ac:dyDescent="0.3">
      <c r="B236" s="173"/>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c r="AB236" s="173"/>
      <c r="AC236" s="173"/>
      <c r="AD236" s="173"/>
      <c r="AE236" s="173"/>
      <c r="AF236" s="173"/>
      <c r="AG236" s="173"/>
      <c r="AH236" s="173"/>
      <c r="AI236" s="173"/>
      <c r="AJ236" s="173"/>
      <c r="AK236" s="173"/>
      <c r="AL236" s="173"/>
      <c r="AM236" s="173"/>
      <c r="AN236" s="173"/>
      <c r="AO236" s="173"/>
      <c r="AP236" s="173"/>
      <c r="AQ236" s="173"/>
      <c r="AR236" s="173"/>
      <c r="AS236" s="173"/>
      <c r="AT236" s="173"/>
      <c r="AU236" s="173"/>
      <c r="AV236" s="173"/>
      <c r="AW236" s="173"/>
      <c r="AX236" s="173"/>
      <c r="AY236" s="173"/>
      <c r="AZ236" s="173"/>
      <c r="BA236" s="173"/>
      <c r="BB236" s="173"/>
      <c r="BC236" s="173"/>
      <c r="BD236" s="173"/>
      <c r="BE236" s="173"/>
      <c r="BF236" s="173"/>
      <c r="BG236" s="173"/>
      <c r="BH236" s="173"/>
      <c r="BI236" s="173"/>
      <c r="BJ236" s="173"/>
      <c r="BK236" s="173"/>
      <c r="BL236" s="173"/>
      <c r="BM236" s="173"/>
      <c r="BN236" s="173"/>
      <c r="BO236" s="173"/>
      <c r="BP236" s="173"/>
      <c r="BQ236" s="173"/>
      <c r="BR236" s="173"/>
      <c r="BS236" s="173"/>
      <c r="BT236" s="173"/>
      <c r="BU236" s="173"/>
      <c r="BV236" s="173"/>
      <c r="BW236" s="173"/>
      <c r="BX236" s="173"/>
      <c r="BY236" s="173"/>
      <c r="BZ236" s="173"/>
      <c r="CA236" s="173"/>
      <c r="CB236" s="173"/>
      <c r="CC236" s="173"/>
      <c r="CD236" s="173"/>
      <c r="CE236" s="173"/>
      <c r="CF236" s="173"/>
      <c r="CG236" s="173"/>
      <c r="CH236" s="173"/>
      <c r="CI236" s="173"/>
      <c r="CJ236" s="173"/>
      <c r="CK236" s="173"/>
      <c r="CL236" s="173"/>
      <c r="CM236" s="173"/>
      <c r="CN236" s="173"/>
      <c r="CO236" s="173"/>
      <c r="CP236" s="173"/>
      <c r="CQ236" s="173"/>
      <c r="CR236" s="173"/>
      <c r="CS236" s="173"/>
      <c r="CT236" s="173"/>
      <c r="CU236" s="173"/>
      <c r="CV236" s="173"/>
      <c r="CW236" s="173"/>
      <c r="CX236" s="173"/>
      <c r="CY236" s="173"/>
    </row>
    <row r="237" spans="1:103" s="173" customFormat="1" x14ac:dyDescent="0.3">
      <c r="A237" s="703"/>
      <c r="B237" s="173" t="s">
        <v>704</v>
      </c>
    </row>
    <row r="238" spans="1:103" x14ac:dyDescent="0.3">
      <c r="A238" s="791">
        <f>A161</f>
        <v>906</v>
      </c>
      <c r="B238" s="791" t="str">
        <f t="shared" ref="B238:BM238" si="3">B161</f>
        <v>TD-Was a Unmodified Audit Opinion issued?</v>
      </c>
      <c r="C238" s="791"/>
      <c r="D238" s="791">
        <f t="shared" si="3"/>
        <v>1</v>
      </c>
      <c r="E238" s="791">
        <f t="shared" si="3"/>
        <v>1</v>
      </c>
      <c r="F238" s="791">
        <f t="shared" si="3"/>
        <v>1</v>
      </c>
      <c r="G238" s="791">
        <f t="shared" si="3"/>
        <v>1</v>
      </c>
      <c r="H238" s="791">
        <f t="shared" si="3"/>
        <v>1</v>
      </c>
      <c r="I238" s="791">
        <f t="shared" si="3"/>
        <v>1</v>
      </c>
      <c r="J238" s="791">
        <f t="shared" si="3"/>
        <v>1</v>
      </c>
      <c r="K238" s="791">
        <f t="shared" si="3"/>
        <v>1</v>
      </c>
      <c r="L238" s="791">
        <f t="shared" si="3"/>
        <v>1</v>
      </c>
      <c r="M238" s="791">
        <f t="shared" si="3"/>
        <v>1</v>
      </c>
      <c r="N238" s="791">
        <f t="shared" si="3"/>
        <v>1</v>
      </c>
      <c r="O238" s="791">
        <f t="shared" si="3"/>
        <v>1</v>
      </c>
      <c r="P238" s="791">
        <f t="shared" si="3"/>
        <v>1</v>
      </c>
      <c r="Q238" s="791">
        <f t="shared" si="3"/>
        <v>1</v>
      </c>
      <c r="R238" s="791">
        <f t="shared" si="3"/>
        <v>1</v>
      </c>
      <c r="S238" s="791">
        <f t="shared" si="3"/>
        <v>1</v>
      </c>
      <c r="T238" s="791">
        <f t="shared" si="3"/>
        <v>0</v>
      </c>
      <c r="U238" s="791">
        <f t="shared" si="3"/>
        <v>1</v>
      </c>
      <c r="V238" s="791">
        <f t="shared" si="3"/>
        <v>1</v>
      </c>
      <c r="W238" s="791">
        <f t="shared" si="3"/>
        <v>0</v>
      </c>
      <c r="X238" s="791">
        <f t="shared" si="3"/>
        <v>1</v>
      </c>
      <c r="Y238" s="791">
        <f t="shared" si="3"/>
        <v>1</v>
      </c>
      <c r="Z238" s="791">
        <f t="shared" si="3"/>
        <v>1</v>
      </c>
      <c r="AA238" s="791">
        <f t="shared" si="3"/>
        <v>1</v>
      </c>
      <c r="AB238" s="791">
        <f t="shared" si="3"/>
        <v>1</v>
      </c>
      <c r="AC238" s="791">
        <f t="shared" si="3"/>
        <v>1</v>
      </c>
      <c r="AD238" s="791">
        <f t="shared" si="3"/>
        <v>1</v>
      </c>
      <c r="AE238" s="791">
        <f t="shared" si="3"/>
        <v>1</v>
      </c>
      <c r="AF238" s="791">
        <f t="shared" si="3"/>
        <v>1</v>
      </c>
      <c r="AG238" s="791">
        <f t="shared" si="3"/>
        <v>1</v>
      </c>
      <c r="AH238" s="791">
        <f t="shared" si="3"/>
        <v>1</v>
      </c>
      <c r="AI238" s="791">
        <f t="shared" si="3"/>
        <v>1</v>
      </c>
      <c r="AJ238" s="791">
        <f t="shared" si="3"/>
        <v>1</v>
      </c>
      <c r="AK238" s="791">
        <f t="shared" si="3"/>
        <v>1</v>
      </c>
      <c r="AL238" s="791">
        <f t="shared" si="3"/>
        <v>1</v>
      </c>
      <c r="AM238" s="791">
        <f t="shared" si="3"/>
        <v>1</v>
      </c>
      <c r="AN238" s="791">
        <f t="shared" si="3"/>
        <v>1</v>
      </c>
      <c r="AO238" s="791">
        <f t="shared" si="3"/>
        <v>0</v>
      </c>
      <c r="AP238" s="791">
        <f t="shared" si="3"/>
        <v>1</v>
      </c>
      <c r="AQ238" s="791">
        <f t="shared" si="3"/>
        <v>1</v>
      </c>
      <c r="AR238" s="791">
        <f t="shared" si="3"/>
        <v>1</v>
      </c>
      <c r="AS238" s="791">
        <f t="shared" si="3"/>
        <v>1</v>
      </c>
      <c r="AT238" s="791">
        <f t="shared" si="3"/>
        <v>1</v>
      </c>
      <c r="AU238" s="791">
        <f t="shared" si="3"/>
        <v>1</v>
      </c>
      <c r="AV238" s="791">
        <f t="shared" si="3"/>
        <v>1</v>
      </c>
      <c r="AW238" s="791">
        <f t="shared" si="3"/>
        <v>1</v>
      </c>
      <c r="AX238" s="791">
        <f t="shared" si="3"/>
        <v>1</v>
      </c>
      <c r="AY238" s="791">
        <f t="shared" si="3"/>
        <v>1</v>
      </c>
      <c r="AZ238" s="791">
        <f t="shared" si="3"/>
        <v>1</v>
      </c>
      <c r="BA238" s="791">
        <f t="shared" si="3"/>
        <v>1</v>
      </c>
      <c r="BB238" s="791">
        <f t="shared" si="3"/>
        <v>1</v>
      </c>
      <c r="BC238" s="791">
        <f t="shared" si="3"/>
        <v>1</v>
      </c>
      <c r="BD238" s="791">
        <f t="shared" si="3"/>
        <v>1</v>
      </c>
      <c r="BE238" s="791">
        <f t="shared" si="3"/>
        <v>1</v>
      </c>
      <c r="BF238" s="791">
        <f t="shared" si="3"/>
        <v>1</v>
      </c>
      <c r="BG238" s="791">
        <f t="shared" si="3"/>
        <v>1</v>
      </c>
      <c r="BH238" s="791">
        <f t="shared" si="3"/>
        <v>1</v>
      </c>
      <c r="BI238" s="791">
        <f t="shared" si="3"/>
        <v>1</v>
      </c>
      <c r="BJ238" s="791">
        <f t="shared" si="3"/>
        <v>1</v>
      </c>
      <c r="BK238" s="791">
        <f t="shared" si="3"/>
        <v>1</v>
      </c>
      <c r="BL238" s="791">
        <f t="shared" si="3"/>
        <v>1</v>
      </c>
      <c r="BM238" s="791">
        <f t="shared" si="3"/>
        <v>1</v>
      </c>
      <c r="BN238" s="791">
        <f t="shared" ref="BN238:CX238" si="4">BN161</f>
        <v>1</v>
      </c>
      <c r="BO238" s="791">
        <f t="shared" si="4"/>
        <v>1</v>
      </c>
      <c r="BP238" s="791">
        <f t="shared" si="4"/>
        <v>1</v>
      </c>
      <c r="BQ238" s="791">
        <f t="shared" si="4"/>
        <v>1</v>
      </c>
      <c r="BR238" s="791">
        <f t="shared" si="4"/>
        <v>1</v>
      </c>
      <c r="BS238" s="791">
        <f t="shared" si="4"/>
        <v>1</v>
      </c>
      <c r="BT238" s="791">
        <f t="shared" si="4"/>
        <v>1</v>
      </c>
      <c r="BU238" s="791">
        <f t="shared" si="4"/>
        <v>1</v>
      </c>
      <c r="BV238" s="791">
        <f t="shared" si="4"/>
        <v>1</v>
      </c>
      <c r="BW238" s="791">
        <f t="shared" si="4"/>
        <v>1</v>
      </c>
      <c r="BX238" s="791">
        <f t="shared" si="4"/>
        <v>1</v>
      </c>
      <c r="BY238" s="791">
        <f t="shared" si="4"/>
        <v>1</v>
      </c>
      <c r="BZ238" s="791">
        <f t="shared" si="4"/>
        <v>1</v>
      </c>
      <c r="CA238" s="791">
        <f t="shared" si="4"/>
        <v>1</v>
      </c>
      <c r="CB238" s="791">
        <f t="shared" si="4"/>
        <v>1</v>
      </c>
      <c r="CC238" s="791">
        <f t="shared" si="4"/>
        <v>1</v>
      </c>
      <c r="CD238" s="791">
        <f t="shared" si="4"/>
        <v>1</v>
      </c>
      <c r="CE238" s="791">
        <f t="shared" si="4"/>
        <v>1</v>
      </c>
      <c r="CF238" s="791">
        <f t="shared" si="4"/>
        <v>1</v>
      </c>
      <c r="CG238" s="791">
        <f t="shared" si="4"/>
        <v>1</v>
      </c>
      <c r="CH238" s="791">
        <f t="shared" si="4"/>
        <v>1</v>
      </c>
      <c r="CI238" s="791">
        <f t="shared" si="4"/>
        <v>1</v>
      </c>
      <c r="CJ238" s="791">
        <f t="shared" si="4"/>
        <v>1</v>
      </c>
      <c r="CK238" s="791">
        <f t="shared" si="4"/>
        <v>1</v>
      </c>
      <c r="CL238" s="791">
        <f t="shared" si="4"/>
        <v>1</v>
      </c>
      <c r="CM238" s="791">
        <f t="shared" si="4"/>
        <v>1</v>
      </c>
      <c r="CN238" s="791">
        <f t="shared" si="4"/>
        <v>1</v>
      </c>
      <c r="CO238" s="791">
        <f t="shared" si="4"/>
        <v>1</v>
      </c>
      <c r="CP238" s="791">
        <f t="shared" si="4"/>
        <v>1</v>
      </c>
      <c r="CQ238" s="791">
        <f t="shared" si="4"/>
        <v>1</v>
      </c>
      <c r="CR238" s="791">
        <f t="shared" si="4"/>
        <v>1</v>
      </c>
      <c r="CS238" s="791">
        <f t="shared" si="4"/>
        <v>1</v>
      </c>
      <c r="CT238" s="791">
        <f t="shared" si="4"/>
        <v>1</v>
      </c>
      <c r="CU238" s="791">
        <f t="shared" si="4"/>
        <v>1</v>
      </c>
      <c r="CV238" s="791">
        <f t="shared" si="4"/>
        <v>1</v>
      </c>
      <c r="CW238" s="791">
        <f t="shared" si="4"/>
        <v>1</v>
      </c>
      <c r="CX238" s="791">
        <f t="shared" si="4"/>
        <v>1</v>
      </c>
      <c r="CY238" s="791">
        <f t="shared" ref="CY238" si="5">CY161</f>
        <v>1</v>
      </c>
    </row>
    <row r="239" spans="1:103" x14ac:dyDescent="0.3">
      <c r="A239" s="791">
        <f>A162</f>
        <v>907</v>
      </c>
      <c r="B239" s="791" t="str">
        <f t="shared" ref="B239:BM239" si="6">B162</f>
        <v>TD-Was there a finding for lack of segregation of duties at this unit?</v>
      </c>
      <c r="C239" s="791"/>
      <c r="D239" s="791">
        <f t="shared" si="6"/>
        <v>2</v>
      </c>
      <c r="E239" s="791">
        <f t="shared" si="6"/>
        <v>2</v>
      </c>
      <c r="F239" s="791">
        <f t="shared" si="6"/>
        <v>1</v>
      </c>
      <c r="G239" s="791">
        <f t="shared" si="6"/>
        <v>2</v>
      </c>
      <c r="H239" s="791">
        <f t="shared" si="6"/>
        <v>2</v>
      </c>
      <c r="I239" s="791">
        <f t="shared" si="6"/>
        <v>2</v>
      </c>
      <c r="J239" s="791">
        <f t="shared" si="6"/>
        <v>2</v>
      </c>
      <c r="K239" s="791">
        <f t="shared" si="6"/>
        <v>2</v>
      </c>
      <c r="L239" s="791">
        <f t="shared" si="6"/>
        <v>2</v>
      </c>
      <c r="M239" s="791">
        <f t="shared" si="6"/>
        <v>2</v>
      </c>
      <c r="N239" s="791">
        <f t="shared" si="6"/>
        <v>2</v>
      </c>
      <c r="O239" s="791">
        <f t="shared" si="6"/>
        <v>2</v>
      </c>
      <c r="P239" s="791">
        <f t="shared" si="6"/>
        <v>2</v>
      </c>
      <c r="Q239" s="791">
        <f t="shared" si="6"/>
        <v>2</v>
      </c>
      <c r="R239" s="791">
        <f t="shared" si="6"/>
        <v>2</v>
      </c>
      <c r="S239" s="791">
        <f t="shared" si="6"/>
        <v>2</v>
      </c>
      <c r="T239" s="791">
        <f t="shared" si="6"/>
        <v>0</v>
      </c>
      <c r="U239" s="791">
        <f t="shared" si="6"/>
        <v>2</v>
      </c>
      <c r="V239" s="791">
        <f t="shared" si="6"/>
        <v>2</v>
      </c>
      <c r="W239" s="791">
        <f t="shared" si="6"/>
        <v>0</v>
      </c>
      <c r="X239" s="791">
        <f t="shared" si="6"/>
        <v>2</v>
      </c>
      <c r="Y239" s="791">
        <f t="shared" si="6"/>
        <v>2</v>
      </c>
      <c r="Z239" s="791">
        <f t="shared" si="6"/>
        <v>2</v>
      </c>
      <c r="AA239" s="791">
        <f t="shared" si="6"/>
        <v>2</v>
      </c>
      <c r="AB239" s="791">
        <f t="shared" si="6"/>
        <v>2</v>
      </c>
      <c r="AC239" s="791">
        <f t="shared" si="6"/>
        <v>2</v>
      </c>
      <c r="AD239" s="791">
        <f t="shared" si="6"/>
        <v>2</v>
      </c>
      <c r="AE239" s="791">
        <f t="shared" si="6"/>
        <v>2</v>
      </c>
      <c r="AF239" s="791">
        <f t="shared" si="6"/>
        <v>2</v>
      </c>
      <c r="AG239" s="791">
        <f t="shared" si="6"/>
        <v>2</v>
      </c>
      <c r="AH239" s="791">
        <f t="shared" si="6"/>
        <v>2</v>
      </c>
      <c r="AI239" s="791">
        <f t="shared" si="6"/>
        <v>2</v>
      </c>
      <c r="AJ239" s="791">
        <f t="shared" si="6"/>
        <v>2</v>
      </c>
      <c r="AK239" s="791">
        <f t="shared" si="6"/>
        <v>2</v>
      </c>
      <c r="AL239" s="791">
        <f t="shared" si="6"/>
        <v>2</v>
      </c>
      <c r="AM239" s="791">
        <f t="shared" si="6"/>
        <v>2</v>
      </c>
      <c r="AN239" s="791">
        <f t="shared" si="6"/>
        <v>2</v>
      </c>
      <c r="AO239" s="791">
        <f t="shared" si="6"/>
        <v>0</v>
      </c>
      <c r="AP239" s="791">
        <f t="shared" si="6"/>
        <v>2</v>
      </c>
      <c r="AQ239" s="791">
        <f t="shared" si="6"/>
        <v>1</v>
      </c>
      <c r="AR239" s="791">
        <f t="shared" si="6"/>
        <v>2</v>
      </c>
      <c r="AS239" s="791">
        <f t="shared" si="6"/>
        <v>2</v>
      </c>
      <c r="AT239" s="791">
        <f t="shared" si="6"/>
        <v>2</v>
      </c>
      <c r="AU239" s="791">
        <f t="shared" si="6"/>
        <v>2</v>
      </c>
      <c r="AV239" s="791">
        <f t="shared" si="6"/>
        <v>2</v>
      </c>
      <c r="AW239" s="791">
        <f t="shared" si="6"/>
        <v>2</v>
      </c>
      <c r="AX239" s="791">
        <f t="shared" si="6"/>
        <v>2</v>
      </c>
      <c r="AY239" s="791">
        <f t="shared" si="6"/>
        <v>1</v>
      </c>
      <c r="AZ239" s="791">
        <f t="shared" si="6"/>
        <v>2</v>
      </c>
      <c r="BA239" s="791">
        <f t="shared" si="6"/>
        <v>2</v>
      </c>
      <c r="BB239" s="791">
        <f t="shared" si="6"/>
        <v>2</v>
      </c>
      <c r="BC239" s="791">
        <f t="shared" si="6"/>
        <v>2</v>
      </c>
      <c r="BD239" s="791">
        <f t="shared" si="6"/>
        <v>2</v>
      </c>
      <c r="BE239" s="791">
        <f t="shared" si="6"/>
        <v>2</v>
      </c>
      <c r="BF239" s="791">
        <f t="shared" si="6"/>
        <v>2</v>
      </c>
      <c r="BG239" s="791">
        <f t="shared" si="6"/>
        <v>2</v>
      </c>
      <c r="BH239" s="791">
        <f t="shared" si="6"/>
        <v>1</v>
      </c>
      <c r="BI239" s="791">
        <f t="shared" si="6"/>
        <v>2</v>
      </c>
      <c r="BJ239" s="791">
        <f t="shared" si="6"/>
        <v>2</v>
      </c>
      <c r="BK239" s="791">
        <f t="shared" si="6"/>
        <v>2</v>
      </c>
      <c r="BL239" s="791">
        <f t="shared" si="6"/>
        <v>2</v>
      </c>
      <c r="BM239" s="791">
        <f t="shared" si="6"/>
        <v>2</v>
      </c>
      <c r="BN239" s="791">
        <f t="shared" ref="BN239:CX239" si="7">BN162</f>
        <v>2</v>
      </c>
      <c r="BO239" s="791">
        <f t="shared" si="7"/>
        <v>2</v>
      </c>
      <c r="BP239" s="791">
        <f t="shared" si="7"/>
        <v>2</v>
      </c>
      <c r="BQ239" s="791">
        <f t="shared" si="7"/>
        <v>2</v>
      </c>
      <c r="BR239" s="791">
        <f t="shared" si="7"/>
        <v>2</v>
      </c>
      <c r="BS239" s="791">
        <f t="shared" si="7"/>
        <v>2</v>
      </c>
      <c r="BT239" s="791">
        <f t="shared" si="7"/>
        <v>2</v>
      </c>
      <c r="BU239" s="791">
        <f t="shared" si="7"/>
        <v>2</v>
      </c>
      <c r="BV239" s="791">
        <f t="shared" si="7"/>
        <v>2</v>
      </c>
      <c r="BW239" s="791">
        <f t="shared" si="7"/>
        <v>2</v>
      </c>
      <c r="BX239" s="791">
        <f t="shared" si="7"/>
        <v>2</v>
      </c>
      <c r="BY239" s="791">
        <f t="shared" si="7"/>
        <v>2</v>
      </c>
      <c r="BZ239" s="791">
        <f t="shared" si="7"/>
        <v>2</v>
      </c>
      <c r="CA239" s="791">
        <f t="shared" si="7"/>
        <v>2</v>
      </c>
      <c r="CB239" s="791">
        <f t="shared" si="7"/>
        <v>2</v>
      </c>
      <c r="CC239" s="791">
        <f t="shared" si="7"/>
        <v>2</v>
      </c>
      <c r="CD239" s="791">
        <f t="shared" si="7"/>
        <v>2</v>
      </c>
      <c r="CE239" s="791">
        <f t="shared" si="7"/>
        <v>2</v>
      </c>
      <c r="CF239" s="791">
        <f t="shared" si="7"/>
        <v>2</v>
      </c>
      <c r="CG239" s="791">
        <f t="shared" si="7"/>
        <v>2</v>
      </c>
      <c r="CH239" s="791">
        <f t="shared" si="7"/>
        <v>2</v>
      </c>
      <c r="CI239" s="791">
        <f t="shared" si="7"/>
        <v>2</v>
      </c>
      <c r="CJ239" s="791">
        <f t="shared" si="7"/>
        <v>2</v>
      </c>
      <c r="CK239" s="791">
        <f t="shared" si="7"/>
        <v>2</v>
      </c>
      <c r="CL239" s="791">
        <f t="shared" si="7"/>
        <v>2</v>
      </c>
      <c r="CM239" s="791">
        <f t="shared" si="7"/>
        <v>2</v>
      </c>
      <c r="CN239" s="791">
        <f t="shared" si="7"/>
        <v>2</v>
      </c>
      <c r="CO239" s="791">
        <f t="shared" si="7"/>
        <v>2</v>
      </c>
      <c r="CP239" s="791">
        <f t="shared" si="7"/>
        <v>1</v>
      </c>
      <c r="CQ239" s="791">
        <f t="shared" si="7"/>
        <v>2</v>
      </c>
      <c r="CR239" s="791">
        <f t="shared" si="7"/>
        <v>2</v>
      </c>
      <c r="CS239" s="791">
        <f t="shared" si="7"/>
        <v>2</v>
      </c>
      <c r="CT239" s="791">
        <f t="shared" si="7"/>
        <v>2</v>
      </c>
      <c r="CU239" s="791">
        <f t="shared" si="7"/>
        <v>2</v>
      </c>
      <c r="CV239" s="791">
        <f t="shared" si="7"/>
        <v>2</v>
      </c>
      <c r="CW239" s="791">
        <f t="shared" si="7"/>
        <v>2</v>
      </c>
      <c r="CX239" s="791">
        <f t="shared" si="7"/>
        <v>2</v>
      </c>
      <c r="CY239" s="791">
        <f t="shared" ref="CY239" si="8">CY162</f>
        <v>2</v>
      </c>
    </row>
    <row r="240" spans="1:103" s="173" customFormat="1" x14ac:dyDescent="0.3">
      <c r="A240" s="148">
        <f>A195</f>
        <v>1055</v>
      </c>
      <c r="B240" s="173" t="str">
        <f t="shared" ref="B240:BM240" si="9">B195</f>
        <v>Did your audit disclose as a finding bank reconciliations or subsidiary ledger reconciliations not performed timely? (Yes or No)</v>
      </c>
      <c r="D240" s="173">
        <f t="shared" si="9"/>
        <v>2</v>
      </c>
      <c r="E240" s="173">
        <f t="shared" si="9"/>
        <v>2</v>
      </c>
      <c r="F240" s="173">
        <f t="shared" si="9"/>
        <v>1</v>
      </c>
      <c r="G240" s="173">
        <f t="shared" si="9"/>
        <v>1</v>
      </c>
      <c r="H240" s="173">
        <f t="shared" si="9"/>
        <v>2</v>
      </c>
      <c r="I240" s="173">
        <f t="shared" si="9"/>
        <v>2</v>
      </c>
      <c r="J240" s="173">
        <f t="shared" si="9"/>
        <v>2</v>
      </c>
      <c r="K240" s="173">
        <f t="shared" si="9"/>
        <v>2</v>
      </c>
      <c r="L240" s="173">
        <f t="shared" si="9"/>
        <v>2</v>
      </c>
      <c r="M240" s="173">
        <f t="shared" si="9"/>
        <v>2</v>
      </c>
      <c r="N240" s="173">
        <f t="shared" si="9"/>
        <v>2</v>
      </c>
      <c r="O240" s="173">
        <f t="shared" si="9"/>
        <v>2</v>
      </c>
      <c r="P240" s="173">
        <f t="shared" si="9"/>
        <v>2</v>
      </c>
      <c r="Q240" s="173">
        <f t="shared" si="9"/>
        <v>2</v>
      </c>
      <c r="R240" s="173">
        <f t="shared" si="9"/>
        <v>2</v>
      </c>
      <c r="S240" s="173">
        <f t="shared" si="9"/>
        <v>2</v>
      </c>
      <c r="T240" s="173">
        <f t="shared" si="9"/>
        <v>0</v>
      </c>
      <c r="U240" s="173">
        <f t="shared" si="9"/>
        <v>2</v>
      </c>
      <c r="V240" s="173">
        <f t="shared" si="9"/>
        <v>2</v>
      </c>
      <c r="W240" s="173">
        <f t="shared" si="9"/>
        <v>0</v>
      </c>
      <c r="X240" s="173">
        <f t="shared" si="9"/>
        <v>2</v>
      </c>
      <c r="Y240" s="173">
        <f t="shared" si="9"/>
        <v>2</v>
      </c>
      <c r="Z240" s="173">
        <f t="shared" si="9"/>
        <v>2</v>
      </c>
      <c r="AA240" s="173">
        <f t="shared" si="9"/>
        <v>2</v>
      </c>
      <c r="AB240" s="173">
        <f t="shared" si="9"/>
        <v>2</v>
      </c>
      <c r="AC240" s="173">
        <f t="shared" si="9"/>
        <v>2</v>
      </c>
      <c r="AD240" s="173">
        <f t="shared" si="9"/>
        <v>2</v>
      </c>
      <c r="AE240" s="173">
        <f t="shared" si="9"/>
        <v>2</v>
      </c>
      <c r="AF240" s="173">
        <f t="shared" si="9"/>
        <v>2</v>
      </c>
      <c r="AG240" s="173">
        <f t="shared" si="9"/>
        <v>2</v>
      </c>
      <c r="AH240" s="173">
        <f t="shared" si="9"/>
        <v>2</v>
      </c>
      <c r="AI240" s="173">
        <f t="shared" si="9"/>
        <v>2</v>
      </c>
      <c r="AJ240" s="173">
        <f t="shared" si="9"/>
        <v>2</v>
      </c>
      <c r="AK240" s="173">
        <f t="shared" si="9"/>
        <v>2</v>
      </c>
      <c r="AL240" s="173">
        <f t="shared" si="9"/>
        <v>2</v>
      </c>
      <c r="AM240" s="173">
        <f t="shared" si="9"/>
        <v>2</v>
      </c>
      <c r="AN240" s="173">
        <f t="shared" si="9"/>
        <v>2</v>
      </c>
      <c r="AO240" s="173">
        <f t="shared" si="9"/>
        <v>0</v>
      </c>
      <c r="AP240" s="173">
        <f t="shared" si="9"/>
        <v>2</v>
      </c>
      <c r="AQ240" s="173">
        <f t="shared" si="9"/>
        <v>2</v>
      </c>
      <c r="AR240" s="173">
        <f t="shared" si="9"/>
        <v>2</v>
      </c>
      <c r="AS240" s="173">
        <f t="shared" si="9"/>
        <v>2</v>
      </c>
      <c r="AT240" s="173">
        <f t="shared" si="9"/>
        <v>2</v>
      </c>
      <c r="AU240" s="173">
        <f t="shared" si="9"/>
        <v>2</v>
      </c>
      <c r="AV240" s="173">
        <f t="shared" si="9"/>
        <v>2</v>
      </c>
      <c r="AW240" s="173">
        <f t="shared" si="9"/>
        <v>1</v>
      </c>
      <c r="AX240" s="173">
        <f t="shared" si="9"/>
        <v>1</v>
      </c>
      <c r="AY240" s="173">
        <f t="shared" si="9"/>
        <v>1</v>
      </c>
      <c r="AZ240" s="173">
        <f t="shared" si="9"/>
        <v>2</v>
      </c>
      <c r="BA240" s="173">
        <f t="shared" si="9"/>
        <v>2</v>
      </c>
      <c r="BB240" s="173">
        <f t="shared" si="9"/>
        <v>2</v>
      </c>
      <c r="BC240" s="173">
        <f t="shared" si="9"/>
        <v>2</v>
      </c>
      <c r="BD240" s="173">
        <f t="shared" si="9"/>
        <v>2</v>
      </c>
      <c r="BE240" s="173">
        <f t="shared" si="9"/>
        <v>2</v>
      </c>
      <c r="BF240" s="173">
        <f t="shared" si="9"/>
        <v>2</v>
      </c>
      <c r="BG240" s="173">
        <f t="shared" si="9"/>
        <v>2</v>
      </c>
      <c r="BH240" s="173">
        <f t="shared" si="9"/>
        <v>2</v>
      </c>
      <c r="BI240" s="173">
        <f t="shared" si="9"/>
        <v>2</v>
      </c>
      <c r="BJ240" s="173">
        <f t="shared" si="9"/>
        <v>2</v>
      </c>
      <c r="BK240" s="173">
        <f t="shared" si="9"/>
        <v>2</v>
      </c>
      <c r="BL240" s="173">
        <f t="shared" si="9"/>
        <v>2</v>
      </c>
      <c r="BM240" s="173">
        <f t="shared" si="9"/>
        <v>2</v>
      </c>
      <c r="BN240" s="173">
        <f t="shared" ref="BN240:CX240" si="10">BN195</f>
        <v>2</v>
      </c>
      <c r="BO240" s="173">
        <f t="shared" si="10"/>
        <v>2</v>
      </c>
      <c r="BP240" s="173">
        <f t="shared" si="10"/>
        <v>2</v>
      </c>
      <c r="BQ240" s="173">
        <f t="shared" si="10"/>
        <v>1</v>
      </c>
      <c r="BR240" s="173">
        <f t="shared" si="10"/>
        <v>2</v>
      </c>
      <c r="BS240" s="173">
        <f t="shared" si="10"/>
        <v>2</v>
      </c>
      <c r="BT240" s="173">
        <f t="shared" si="10"/>
        <v>2</v>
      </c>
      <c r="BU240" s="173">
        <f t="shared" si="10"/>
        <v>2</v>
      </c>
      <c r="BV240" s="173">
        <f t="shared" si="10"/>
        <v>1</v>
      </c>
      <c r="BW240" s="173">
        <f t="shared" si="10"/>
        <v>2</v>
      </c>
      <c r="BX240" s="173">
        <f t="shared" si="10"/>
        <v>2</v>
      </c>
      <c r="BY240" s="173">
        <f t="shared" si="10"/>
        <v>2</v>
      </c>
      <c r="BZ240" s="173">
        <f t="shared" si="10"/>
        <v>2</v>
      </c>
      <c r="CA240" s="173">
        <f t="shared" si="10"/>
        <v>2</v>
      </c>
      <c r="CB240" s="173">
        <f t="shared" si="10"/>
        <v>1</v>
      </c>
      <c r="CC240" s="173">
        <f t="shared" si="10"/>
        <v>2</v>
      </c>
      <c r="CD240" s="173">
        <f t="shared" si="10"/>
        <v>2</v>
      </c>
      <c r="CE240" s="173">
        <f t="shared" si="10"/>
        <v>2</v>
      </c>
      <c r="CF240" s="173">
        <f t="shared" si="10"/>
        <v>2</v>
      </c>
      <c r="CG240" s="173">
        <f t="shared" si="10"/>
        <v>2</v>
      </c>
      <c r="CH240" s="173">
        <f t="shared" si="10"/>
        <v>2</v>
      </c>
      <c r="CI240" s="173">
        <f t="shared" si="10"/>
        <v>2</v>
      </c>
      <c r="CJ240" s="173">
        <f t="shared" si="10"/>
        <v>1</v>
      </c>
      <c r="CK240" s="173">
        <f t="shared" si="10"/>
        <v>2</v>
      </c>
      <c r="CL240" s="173">
        <f t="shared" si="10"/>
        <v>2</v>
      </c>
      <c r="CM240" s="173">
        <f t="shared" si="10"/>
        <v>1</v>
      </c>
      <c r="CN240" s="173">
        <f t="shared" si="10"/>
        <v>2</v>
      </c>
      <c r="CO240" s="173">
        <f t="shared" si="10"/>
        <v>2</v>
      </c>
      <c r="CP240" s="173">
        <f t="shared" si="10"/>
        <v>1</v>
      </c>
      <c r="CQ240" s="173">
        <f t="shared" si="10"/>
        <v>2</v>
      </c>
      <c r="CR240" s="173">
        <f t="shared" si="10"/>
        <v>2</v>
      </c>
      <c r="CS240" s="173">
        <f t="shared" si="10"/>
        <v>2</v>
      </c>
      <c r="CT240" s="173">
        <f t="shared" si="10"/>
        <v>1</v>
      </c>
      <c r="CU240" s="173">
        <f t="shared" si="10"/>
        <v>2</v>
      </c>
      <c r="CV240" s="173">
        <f t="shared" si="10"/>
        <v>2</v>
      </c>
      <c r="CW240" s="173">
        <f t="shared" si="10"/>
        <v>2</v>
      </c>
      <c r="CX240" s="173">
        <f t="shared" si="10"/>
        <v>2</v>
      </c>
      <c r="CY240" s="173">
        <f t="shared" ref="CY240" si="11">CY195</f>
        <v>2</v>
      </c>
    </row>
    <row r="241" spans="1:103" s="173" customFormat="1" x14ac:dyDescent="0.3">
      <c r="A241" s="148">
        <f>A196</f>
        <v>1056</v>
      </c>
      <c r="B241" s="173" t="str">
        <f t="shared" ref="B241:BM241" si="12">B196</f>
        <v>Did your audit disclose as a finding that the unitGÇÖs records were not completed by the agreed upon time? (Yes or No)</v>
      </c>
      <c r="D241" s="173">
        <f t="shared" si="12"/>
        <v>2</v>
      </c>
      <c r="E241" s="173">
        <f t="shared" si="12"/>
        <v>2</v>
      </c>
      <c r="F241" s="173">
        <f t="shared" si="12"/>
        <v>2</v>
      </c>
      <c r="G241" s="173">
        <f t="shared" si="12"/>
        <v>2</v>
      </c>
      <c r="H241" s="173">
        <f t="shared" si="12"/>
        <v>2</v>
      </c>
      <c r="I241" s="173">
        <f t="shared" si="12"/>
        <v>2</v>
      </c>
      <c r="J241" s="173">
        <f t="shared" si="12"/>
        <v>2</v>
      </c>
      <c r="K241" s="173">
        <f t="shared" si="12"/>
        <v>2</v>
      </c>
      <c r="L241" s="173">
        <f t="shared" si="12"/>
        <v>2</v>
      </c>
      <c r="M241" s="173">
        <f t="shared" si="12"/>
        <v>2</v>
      </c>
      <c r="N241" s="173">
        <f t="shared" si="12"/>
        <v>2</v>
      </c>
      <c r="O241" s="173">
        <f t="shared" si="12"/>
        <v>2</v>
      </c>
      <c r="P241" s="173">
        <f t="shared" si="12"/>
        <v>2</v>
      </c>
      <c r="Q241" s="173">
        <f t="shared" si="12"/>
        <v>2</v>
      </c>
      <c r="R241" s="173">
        <f t="shared" si="12"/>
        <v>2</v>
      </c>
      <c r="S241" s="173">
        <f t="shared" si="12"/>
        <v>2</v>
      </c>
      <c r="T241" s="173">
        <f t="shared" si="12"/>
        <v>0</v>
      </c>
      <c r="U241" s="173">
        <f t="shared" si="12"/>
        <v>2</v>
      </c>
      <c r="V241" s="173">
        <f t="shared" si="12"/>
        <v>2</v>
      </c>
      <c r="W241" s="173">
        <f t="shared" si="12"/>
        <v>0</v>
      </c>
      <c r="X241" s="173">
        <f t="shared" si="12"/>
        <v>2</v>
      </c>
      <c r="Y241" s="173">
        <f t="shared" si="12"/>
        <v>2</v>
      </c>
      <c r="Z241" s="173">
        <f t="shared" si="12"/>
        <v>2</v>
      </c>
      <c r="AA241" s="173">
        <f t="shared" si="12"/>
        <v>2</v>
      </c>
      <c r="AB241" s="173">
        <f t="shared" si="12"/>
        <v>2</v>
      </c>
      <c r="AC241" s="173">
        <f t="shared" si="12"/>
        <v>2</v>
      </c>
      <c r="AD241" s="173">
        <f t="shared" si="12"/>
        <v>2</v>
      </c>
      <c r="AE241" s="173">
        <f t="shared" si="12"/>
        <v>2</v>
      </c>
      <c r="AF241" s="173">
        <f t="shared" si="12"/>
        <v>2</v>
      </c>
      <c r="AG241" s="173">
        <f t="shared" si="12"/>
        <v>2</v>
      </c>
      <c r="AH241" s="173">
        <f t="shared" si="12"/>
        <v>2</v>
      </c>
      <c r="AI241" s="173">
        <f t="shared" si="12"/>
        <v>2</v>
      </c>
      <c r="AJ241" s="173">
        <f t="shared" si="12"/>
        <v>2</v>
      </c>
      <c r="AK241" s="173">
        <f t="shared" si="12"/>
        <v>2</v>
      </c>
      <c r="AL241" s="173">
        <f t="shared" si="12"/>
        <v>2</v>
      </c>
      <c r="AM241" s="173">
        <f t="shared" si="12"/>
        <v>2</v>
      </c>
      <c r="AN241" s="173">
        <f t="shared" si="12"/>
        <v>2</v>
      </c>
      <c r="AO241" s="173">
        <f t="shared" si="12"/>
        <v>0</v>
      </c>
      <c r="AP241" s="173">
        <f t="shared" si="12"/>
        <v>2</v>
      </c>
      <c r="AQ241" s="173">
        <f t="shared" si="12"/>
        <v>2</v>
      </c>
      <c r="AR241" s="173">
        <f t="shared" si="12"/>
        <v>2</v>
      </c>
      <c r="AS241" s="173">
        <f t="shared" si="12"/>
        <v>2</v>
      </c>
      <c r="AT241" s="173">
        <f t="shared" si="12"/>
        <v>2</v>
      </c>
      <c r="AU241" s="173">
        <f t="shared" si="12"/>
        <v>2</v>
      </c>
      <c r="AV241" s="173">
        <f t="shared" si="12"/>
        <v>2</v>
      </c>
      <c r="AW241" s="173">
        <f t="shared" si="12"/>
        <v>1</v>
      </c>
      <c r="AX241" s="173">
        <f t="shared" si="12"/>
        <v>1</v>
      </c>
      <c r="AY241" s="173">
        <f t="shared" si="12"/>
        <v>2</v>
      </c>
      <c r="AZ241" s="173">
        <f t="shared" si="12"/>
        <v>2</v>
      </c>
      <c r="BA241" s="173">
        <f t="shared" si="12"/>
        <v>2</v>
      </c>
      <c r="BB241" s="173">
        <f t="shared" si="12"/>
        <v>2</v>
      </c>
      <c r="BC241" s="173">
        <f t="shared" si="12"/>
        <v>2</v>
      </c>
      <c r="BD241" s="173">
        <f t="shared" si="12"/>
        <v>2</v>
      </c>
      <c r="BE241" s="173">
        <f t="shared" si="12"/>
        <v>2</v>
      </c>
      <c r="BF241" s="173">
        <f t="shared" si="12"/>
        <v>2</v>
      </c>
      <c r="BG241" s="173">
        <f t="shared" si="12"/>
        <v>2</v>
      </c>
      <c r="BH241" s="173">
        <f t="shared" si="12"/>
        <v>2</v>
      </c>
      <c r="BI241" s="173">
        <f t="shared" si="12"/>
        <v>2</v>
      </c>
      <c r="BJ241" s="173">
        <f t="shared" si="12"/>
        <v>2</v>
      </c>
      <c r="BK241" s="173">
        <f t="shared" si="12"/>
        <v>2</v>
      </c>
      <c r="BL241" s="173">
        <f t="shared" si="12"/>
        <v>2</v>
      </c>
      <c r="BM241" s="173">
        <f t="shared" si="12"/>
        <v>2</v>
      </c>
      <c r="BN241" s="173">
        <f t="shared" ref="BN241:CX241" si="13">BN196</f>
        <v>2</v>
      </c>
      <c r="BO241" s="173">
        <f t="shared" si="13"/>
        <v>2</v>
      </c>
      <c r="BP241" s="173">
        <f t="shared" si="13"/>
        <v>2</v>
      </c>
      <c r="BQ241" s="173">
        <f t="shared" si="13"/>
        <v>1</v>
      </c>
      <c r="BR241" s="173">
        <f t="shared" si="13"/>
        <v>2</v>
      </c>
      <c r="BS241" s="173">
        <f t="shared" si="13"/>
        <v>2</v>
      </c>
      <c r="BT241" s="173">
        <f t="shared" si="13"/>
        <v>2</v>
      </c>
      <c r="BU241" s="173">
        <f t="shared" si="13"/>
        <v>2</v>
      </c>
      <c r="BV241" s="173">
        <f t="shared" si="13"/>
        <v>1</v>
      </c>
      <c r="BW241" s="173">
        <f t="shared" si="13"/>
        <v>2</v>
      </c>
      <c r="BX241" s="173">
        <f t="shared" si="13"/>
        <v>2</v>
      </c>
      <c r="BY241" s="173">
        <f t="shared" si="13"/>
        <v>2</v>
      </c>
      <c r="BZ241" s="173">
        <f t="shared" si="13"/>
        <v>2</v>
      </c>
      <c r="CA241" s="173">
        <f t="shared" si="13"/>
        <v>2</v>
      </c>
      <c r="CB241" s="173">
        <f t="shared" si="13"/>
        <v>2</v>
      </c>
      <c r="CC241" s="173">
        <f t="shared" si="13"/>
        <v>2</v>
      </c>
      <c r="CD241" s="173">
        <f t="shared" si="13"/>
        <v>2</v>
      </c>
      <c r="CE241" s="173">
        <f t="shared" si="13"/>
        <v>2</v>
      </c>
      <c r="CF241" s="173">
        <f t="shared" si="13"/>
        <v>2</v>
      </c>
      <c r="CG241" s="173">
        <f t="shared" si="13"/>
        <v>2</v>
      </c>
      <c r="CH241" s="173">
        <f t="shared" si="13"/>
        <v>1</v>
      </c>
      <c r="CI241" s="173">
        <f t="shared" si="13"/>
        <v>2</v>
      </c>
      <c r="CJ241" s="173">
        <f t="shared" si="13"/>
        <v>2</v>
      </c>
      <c r="CK241" s="173">
        <f t="shared" si="13"/>
        <v>2</v>
      </c>
      <c r="CL241" s="173">
        <f t="shared" si="13"/>
        <v>2</v>
      </c>
      <c r="CM241" s="173">
        <f t="shared" si="13"/>
        <v>1</v>
      </c>
      <c r="CN241" s="173">
        <f t="shared" si="13"/>
        <v>2</v>
      </c>
      <c r="CO241" s="173">
        <f t="shared" si="13"/>
        <v>2</v>
      </c>
      <c r="CP241" s="173">
        <f t="shared" si="13"/>
        <v>1</v>
      </c>
      <c r="CQ241" s="173">
        <f t="shared" si="13"/>
        <v>2</v>
      </c>
      <c r="CR241" s="173">
        <f t="shared" si="13"/>
        <v>2</v>
      </c>
      <c r="CS241" s="173">
        <f t="shared" si="13"/>
        <v>2</v>
      </c>
      <c r="CT241" s="173">
        <f t="shared" si="13"/>
        <v>1</v>
      </c>
      <c r="CU241" s="173">
        <f t="shared" si="13"/>
        <v>2</v>
      </c>
      <c r="CV241" s="173">
        <f t="shared" si="13"/>
        <v>2</v>
      </c>
      <c r="CW241" s="173">
        <f t="shared" si="13"/>
        <v>2</v>
      </c>
      <c r="CX241" s="173">
        <f t="shared" si="13"/>
        <v>2</v>
      </c>
      <c r="CY241" s="173">
        <f t="shared" ref="CY241" si="14">CY196</f>
        <v>2</v>
      </c>
    </row>
    <row r="242" spans="1:103" s="173" customFormat="1" x14ac:dyDescent="0.3">
      <c r="A242" s="148">
        <f>A197</f>
        <v>1057</v>
      </c>
      <c r="B242" s="173" t="str">
        <f t="shared" ref="B242:BM242" si="15">B197</f>
        <v>Did your audit disclose any budget violations at the adopted ordinance level? (Yes or No)</v>
      </c>
      <c r="D242" s="173">
        <f t="shared" si="15"/>
        <v>2</v>
      </c>
      <c r="E242" s="173">
        <f t="shared" si="15"/>
        <v>2</v>
      </c>
      <c r="F242" s="173">
        <f t="shared" si="15"/>
        <v>2</v>
      </c>
      <c r="G242" s="173">
        <f t="shared" si="15"/>
        <v>1</v>
      </c>
      <c r="H242" s="173">
        <f t="shared" si="15"/>
        <v>2</v>
      </c>
      <c r="I242" s="173">
        <f t="shared" si="15"/>
        <v>2</v>
      </c>
      <c r="J242" s="173">
        <f t="shared" si="15"/>
        <v>1</v>
      </c>
      <c r="K242" s="173">
        <f t="shared" si="15"/>
        <v>1</v>
      </c>
      <c r="L242" s="173">
        <f t="shared" si="15"/>
        <v>2</v>
      </c>
      <c r="M242" s="173">
        <f t="shared" si="15"/>
        <v>2</v>
      </c>
      <c r="N242" s="173">
        <f t="shared" si="15"/>
        <v>1</v>
      </c>
      <c r="O242" s="173">
        <f t="shared" si="15"/>
        <v>2</v>
      </c>
      <c r="P242" s="173">
        <f t="shared" si="15"/>
        <v>2</v>
      </c>
      <c r="Q242" s="173">
        <f t="shared" si="15"/>
        <v>2</v>
      </c>
      <c r="R242" s="173">
        <f t="shared" si="15"/>
        <v>2</v>
      </c>
      <c r="S242" s="173">
        <f t="shared" si="15"/>
        <v>2</v>
      </c>
      <c r="T242" s="173">
        <f t="shared" si="15"/>
        <v>0</v>
      </c>
      <c r="U242" s="173">
        <f t="shared" si="15"/>
        <v>1</v>
      </c>
      <c r="V242" s="173">
        <f t="shared" si="15"/>
        <v>2</v>
      </c>
      <c r="W242" s="173">
        <f t="shared" si="15"/>
        <v>0</v>
      </c>
      <c r="X242" s="173">
        <f t="shared" si="15"/>
        <v>2</v>
      </c>
      <c r="Y242" s="173">
        <f t="shared" si="15"/>
        <v>1</v>
      </c>
      <c r="Z242" s="173">
        <f t="shared" si="15"/>
        <v>1</v>
      </c>
      <c r="AA242" s="173">
        <f t="shared" si="15"/>
        <v>2</v>
      </c>
      <c r="AB242" s="173">
        <f t="shared" si="15"/>
        <v>2</v>
      </c>
      <c r="AC242" s="173">
        <f t="shared" si="15"/>
        <v>2</v>
      </c>
      <c r="AD242" s="173">
        <f t="shared" si="15"/>
        <v>2</v>
      </c>
      <c r="AE242" s="173">
        <f t="shared" si="15"/>
        <v>2</v>
      </c>
      <c r="AF242" s="173">
        <f t="shared" si="15"/>
        <v>1</v>
      </c>
      <c r="AG242" s="173">
        <f t="shared" si="15"/>
        <v>2</v>
      </c>
      <c r="AH242" s="173">
        <f t="shared" si="15"/>
        <v>2</v>
      </c>
      <c r="AI242" s="173">
        <f t="shared" si="15"/>
        <v>2</v>
      </c>
      <c r="AJ242" s="173">
        <f t="shared" si="15"/>
        <v>1</v>
      </c>
      <c r="AK242" s="173">
        <f t="shared" si="15"/>
        <v>2</v>
      </c>
      <c r="AL242" s="173">
        <f t="shared" si="15"/>
        <v>2</v>
      </c>
      <c r="AM242" s="173">
        <f t="shared" si="15"/>
        <v>2</v>
      </c>
      <c r="AN242" s="173">
        <f t="shared" si="15"/>
        <v>1</v>
      </c>
      <c r="AO242" s="173">
        <f t="shared" si="15"/>
        <v>0</v>
      </c>
      <c r="AP242" s="173">
        <f t="shared" si="15"/>
        <v>1</v>
      </c>
      <c r="AQ242" s="173">
        <f t="shared" si="15"/>
        <v>1</v>
      </c>
      <c r="AR242" s="173">
        <f t="shared" si="15"/>
        <v>2</v>
      </c>
      <c r="AS242" s="173">
        <f t="shared" si="15"/>
        <v>2</v>
      </c>
      <c r="AT242" s="173">
        <f t="shared" si="15"/>
        <v>2</v>
      </c>
      <c r="AU242" s="173">
        <f t="shared" si="15"/>
        <v>1</v>
      </c>
      <c r="AV242" s="173">
        <f t="shared" si="15"/>
        <v>2</v>
      </c>
      <c r="AW242" s="173">
        <f t="shared" si="15"/>
        <v>1</v>
      </c>
      <c r="AX242" s="173">
        <f t="shared" si="15"/>
        <v>2</v>
      </c>
      <c r="AY242" s="173">
        <f t="shared" si="15"/>
        <v>1</v>
      </c>
      <c r="AZ242" s="173">
        <f t="shared" si="15"/>
        <v>2</v>
      </c>
      <c r="BA242" s="173">
        <f t="shared" si="15"/>
        <v>2</v>
      </c>
      <c r="BB242" s="173">
        <f t="shared" si="15"/>
        <v>1</v>
      </c>
      <c r="BC242" s="173">
        <f t="shared" si="15"/>
        <v>2</v>
      </c>
      <c r="BD242" s="173">
        <f t="shared" si="15"/>
        <v>2</v>
      </c>
      <c r="BE242" s="173">
        <f t="shared" si="15"/>
        <v>2</v>
      </c>
      <c r="BF242" s="173">
        <f t="shared" si="15"/>
        <v>2</v>
      </c>
      <c r="BG242" s="173">
        <f t="shared" si="15"/>
        <v>2</v>
      </c>
      <c r="BH242" s="173">
        <f t="shared" si="15"/>
        <v>1</v>
      </c>
      <c r="BI242" s="173">
        <f t="shared" si="15"/>
        <v>2</v>
      </c>
      <c r="BJ242" s="173">
        <f t="shared" si="15"/>
        <v>2</v>
      </c>
      <c r="BK242" s="173">
        <f t="shared" si="15"/>
        <v>2</v>
      </c>
      <c r="BL242" s="173">
        <f t="shared" si="15"/>
        <v>2</v>
      </c>
      <c r="BM242" s="173">
        <f t="shared" si="15"/>
        <v>1</v>
      </c>
      <c r="BN242" s="173">
        <f t="shared" ref="BN242:CX242" si="16">BN197</f>
        <v>2</v>
      </c>
      <c r="BO242" s="173">
        <f t="shared" si="16"/>
        <v>1</v>
      </c>
      <c r="BP242" s="173">
        <f t="shared" si="16"/>
        <v>2</v>
      </c>
      <c r="BQ242" s="173">
        <f t="shared" si="16"/>
        <v>1</v>
      </c>
      <c r="BR242" s="173">
        <f t="shared" si="16"/>
        <v>2</v>
      </c>
      <c r="BS242" s="173">
        <f t="shared" si="16"/>
        <v>2</v>
      </c>
      <c r="BT242" s="173">
        <f t="shared" si="16"/>
        <v>2</v>
      </c>
      <c r="BU242" s="173">
        <f t="shared" si="16"/>
        <v>2</v>
      </c>
      <c r="BV242" s="173">
        <f t="shared" si="16"/>
        <v>1</v>
      </c>
      <c r="BW242" s="173">
        <f t="shared" si="16"/>
        <v>2</v>
      </c>
      <c r="BX242" s="173">
        <f t="shared" si="16"/>
        <v>2</v>
      </c>
      <c r="BY242" s="173">
        <f t="shared" si="16"/>
        <v>1</v>
      </c>
      <c r="BZ242" s="173">
        <f t="shared" si="16"/>
        <v>2</v>
      </c>
      <c r="CA242" s="173">
        <f t="shared" si="16"/>
        <v>2</v>
      </c>
      <c r="CB242" s="173">
        <f t="shared" si="16"/>
        <v>1</v>
      </c>
      <c r="CC242" s="173">
        <f t="shared" si="16"/>
        <v>2</v>
      </c>
      <c r="CD242" s="173">
        <f t="shared" si="16"/>
        <v>1</v>
      </c>
      <c r="CE242" s="173">
        <f t="shared" si="16"/>
        <v>2</v>
      </c>
      <c r="CF242" s="173">
        <f t="shared" si="16"/>
        <v>2</v>
      </c>
      <c r="CG242" s="173">
        <f t="shared" si="16"/>
        <v>2</v>
      </c>
      <c r="CH242" s="173">
        <f t="shared" si="16"/>
        <v>1</v>
      </c>
      <c r="CI242" s="173">
        <f t="shared" si="16"/>
        <v>2</v>
      </c>
      <c r="CJ242" s="173">
        <f t="shared" si="16"/>
        <v>1</v>
      </c>
      <c r="CK242" s="173">
        <f t="shared" si="16"/>
        <v>2</v>
      </c>
      <c r="CL242" s="173">
        <f t="shared" si="16"/>
        <v>2</v>
      </c>
      <c r="CM242" s="173">
        <f t="shared" si="16"/>
        <v>1</v>
      </c>
      <c r="CN242" s="173">
        <f t="shared" si="16"/>
        <v>2</v>
      </c>
      <c r="CO242" s="173">
        <f t="shared" si="16"/>
        <v>2</v>
      </c>
      <c r="CP242" s="173">
        <f t="shared" si="16"/>
        <v>1</v>
      </c>
      <c r="CQ242" s="173">
        <f t="shared" si="16"/>
        <v>1</v>
      </c>
      <c r="CR242" s="173">
        <f t="shared" si="16"/>
        <v>1</v>
      </c>
      <c r="CS242" s="173">
        <f t="shared" si="16"/>
        <v>2</v>
      </c>
      <c r="CT242" s="173">
        <f t="shared" si="16"/>
        <v>2</v>
      </c>
      <c r="CU242" s="173">
        <f t="shared" si="16"/>
        <v>2</v>
      </c>
      <c r="CV242" s="173">
        <f t="shared" si="16"/>
        <v>2</v>
      </c>
      <c r="CW242" s="173">
        <f t="shared" si="16"/>
        <v>2</v>
      </c>
      <c r="CX242" s="173">
        <f t="shared" si="16"/>
        <v>2</v>
      </c>
      <c r="CY242" s="173">
        <f t="shared" ref="CY242" si="17">CY197</f>
        <v>2</v>
      </c>
    </row>
    <row r="243" spans="1:103" s="173" customFormat="1" x14ac:dyDescent="0.3">
      <c r="A243" s="148">
        <f>A198</f>
        <v>1058</v>
      </c>
      <c r="B243" s="173" t="str">
        <f t="shared" ref="B243:BM243" si="18">B198</f>
        <v>Did your audit disclose as a finding any statutory violations? (not including budget violations) (Yes or No)</v>
      </c>
      <c r="D243" s="173">
        <f t="shared" si="18"/>
        <v>2</v>
      </c>
      <c r="E243" s="173">
        <f t="shared" si="18"/>
        <v>2</v>
      </c>
      <c r="F243" s="173">
        <f t="shared" si="18"/>
        <v>2</v>
      </c>
      <c r="G243" s="173">
        <f t="shared" si="18"/>
        <v>2</v>
      </c>
      <c r="H243" s="173">
        <f t="shared" si="18"/>
        <v>2</v>
      </c>
      <c r="I243" s="173">
        <f t="shared" si="18"/>
        <v>2</v>
      </c>
      <c r="J243" s="173">
        <f t="shared" si="18"/>
        <v>2</v>
      </c>
      <c r="K243" s="173">
        <f t="shared" si="18"/>
        <v>1</v>
      </c>
      <c r="L243" s="173">
        <f t="shared" si="18"/>
        <v>2</v>
      </c>
      <c r="M243" s="173">
        <f t="shared" si="18"/>
        <v>2</v>
      </c>
      <c r="N243" s="173">
        <f t="shared" si="18"/>
        <v>2</v>
      </c>
      <c r="O243" s="173">
        <f t="shared" si="18"/>
        <v>2</v>
      </c>
      <c r="P243" s="173">
        <f t="shared" si="18"/>
        <v>2</v>
      </c>
      <c r="Q243" s="173">
        <f t="shared" si="18"/>
        <v>2</v>
      </c>
      <c r="R243" s="173">
        <f t="shared" si="18"/>
        <v>2</v>
      </c>
      <c r="S243" s="173">
        <f t="shared" si="18"/>
        <v>2</v>
      </c>
      <c r="T243" s="173">
        <f t="shared" si="18"/>
        <v>0</v>
      </c>
      <c r="U243" s="173">
        <f t="shared" si="18"/>
        <v>2</v>
      </c>
      <c r="V243" s="173">
        <f t="shared" si="18"/>
        <v>2</v>
      </c>
      <c r="W243" s="173">
        <f t="shared" si="18"/>
        <v>0</v>
      </c>
      <c r="X243" s="173">
        <f t="shared" si="18"/>
        <v>2</v>
      </c>
      <c r="Y243" s="173">
        <f t="shared" si="18"/>
        <v>2</v>
      </c>
      <c r="Z243" s="173">
        <f t="shared" si="18"/>
        <v>2</v>
      </c>
      <c r="AA243" s="173">
        <f t="shared" si="18"/>
        <v>1</v>
      </c>
      <c r="AB243" s="173">
        <f t="shared" si="18"/>
        <v>2</v>
      </c>
      <c r="AC243" s="173">
        <f t="shared" si="18"/>
        <v>2</v>
      </c>
      <c r="AD243" s="173">
        <f t="shared" si="18"/>
        <v>2</v>
      </c>
      <c r="AE243" s="173">
        <f t="shared" si="18"/>
        <v>2</v>
      </c>
      <c r="AF243" s="173">
        <f t="shared" si="18"/>
        <v>2</v>
      </c>
      <c r="AG243" s="173">
        <f t="shared" si="18"/>
        <v>2</v>
      </c>
      <c r="AH243" s="173">
        <f t="shared" si="18"/>
        <v>2</v>
      </c>
      <c r="AI243" s="173">
        <f t="shared" si="18"/>
        <v>2</v>
      </c>
      <c r="AJ243" s="173">
        <f t="shared" si="18"/>
        <v>1</v>
      </c>
      <c r="AK243" s="173">
        <f t="shared" si="18"/>
        <v>2</v>
      </c>
      <c r="AL243" s="173">
        <f t="shared" si="18"/>
        <v>2</v>
      </c>
      <c r="AM243" s="173">
        <f t="shared" si="18"/>
        <v>2</v>
      </c>
      <c r="AN243" s="173">
        <f t="shared" si="18"/>
        <v>1</v>
      </c>
      <c r="AO243" s="173">
        <f t="shared" si="18"/>
        <v>0</v>
      </c>
      <c r="AP243" s="173">
        <f t="shared" si="18"/>
        <v>2</v>
      </c>
      <c r="AQ243" s="173">
        <f t="shared" si="18"/>
        <v>2</v>
      </c>
      <c r="AR243" s="173">
        <f t="shared" si="18"/>
        <v>2</v>
      </c>
      <c r="AS243" s="173">
        <f t="shared" si="18"/>
        <v>2</v>
      </c>
      <c r="AT243" s="173">
        <f t="shared" si="18"/>
        <v>2</v>
      </c>
      <c r="AU243" s="173">
        <f t="shared" si="18"/>
        <v>1</v>
      </c>
      <c r="AV243" s="173">
        <f t="shared" si="18"/>
        <v>2</v>
      </c>
      <c r="AW243" s="173">
        <f t="shared" si="18"/>
        <v>2</v>
      </c>
      <c r="AX243" s="173">
        <f t="shared" si="18"/>
        <v>1</v>
      </c>
      <c r="AY243" s="173">
        <f t="shared" si="18"/>
        <v>2</v>
      </c>
      <c r="AZ243" s="173">
        <f t="shared" si="18"/>
        <v>2</v>
      </c>
      <c r="BA243" s="173">
        <f t="shared" si="18"/>
        <v>2</v>
      </c>
      <c r="BB243" s="173">
        <f t="shared" si="18"/>
        <v>2</v>
      </c>
      <c r="BC243" s="173">
        <f t="shared" si="18"/>
        <v>2</v>
      </c>
      <c r="BD243" s="173">
        <f t="shared" si="18"/>
        <v>2</v>
      </c>
      <c r="BE243" s="173">
        <f t="shared" si="18"/>
        <v>2</v>
      </c>
      <c r="BF243" s="173">
        <f t="shared" si="18"/>
        <v>2</v>
      </c>
      <c r="BG243" s="173">
        <f t="shared" si="18"/>
        <v>2</v>
      </c>
      <c r="BH243" s="173">
        <f t="shared" si="18"/>
        <v>2</v>
      </c>
      <c r="BI243" s="173">
        <f t="shared" si="18"/>
        <v>1</v>
      </c>
      <c r="BJ243" s="173">
        <f t="shared" si="18"/>
        <v>2</v>
      </c>
      <c r="BK243" s="173">
        <f t="shared" si="18"/>
        <v>2</v>
      </c>
      <c r="BL243" s="173">
        <f t="shared" si="18"/>
        <v>2</v>
      </c>
      <c r="BM243" s="173">
        <f t="shared" si="18"/>
        <v>2</v>
      </c>
      <c r="BN243" s="173">
        <f t="shared" ref="BN243:CX243" si="19">BN198</f>
        <v>2</v>
      </c>
      <c r="BO243" s="173">
        <f t="shared" si="19"/>
        <v>2</v>
      </c>
      <c r="BP243" s="173">
        <f t="shared" si="19"/>
        <v>2</v>
      </c>
      <c r="BQ243" s="173">
        <f t="shared" si="19"/>
        <v>1</v>
      </c>
      <c r="BR243" s="173">
        <f t="shared" si="19"/>
        <v>2</v>
      </c>
      <c r="BS243" s="173">
        <f t="shared" si="19"/>
        <v>2</v>
      </c>
      <c r="BT243" s="173">
        <f t="shared" si="19"/>
        <v>2</v>
      </c>
      <c r="BU243" s="173">
        <f t="shared" si="19"/>
        <v>2</v>
      </c>
      <c r="BV243" s="173">
        <f t="shared" si="19"/>
        <v>1</v>
      </c>
      <c r="BW243" s="173">
        <f t="shared" si="19"/>
        <v>2</v>
      </c>
      <c r="BX243" s="173">
        <f t="shared" si="19"/>
        <v>1</v>
      </c>
      <c r="BY243" s="173">
        <f t="shared" si="19"/>
        <v>2</v>
      </c>
      <c r="BZ243" s="173">
        <f t="shared" si="19"/>
        <v>2</v>
      </c>
      <c r="CA243" s="173">
        <f t="shared" si="19"/>
        <v>2</v>
      </c>
      <c r="CB243" s="173">
        <f t="shared" si="19"/>
        <v>2</v>
      </c>
      <c r="CC243" s="173">
        <f t="shared" si="19"/>
        <v>2</v>
      </c>
      <c r="CD243" s="173">
        <f t="shared" si="19"/>
        <v>2</v>
      </c>
      <c r="CE243" s="173">
        <f t="shared" si="19"/>
        <v>2</v>
      </c>
      <c r="CF243" s="173">
        <f t="shared" si="19"/>
        <v>2</v>
      </c>
      <c r="CG243" s="173">
        <f t="shared" si="19"/>
        <v>2</v>
      </c>
      <c r="CH243" s="173">
        <f t="shared" si="19"/>
        <v>2</v>
      </c>
      <c r="CI243" s="173">
        <f t="shared" si="19"/>
        <v>2</v>
      </c>
      <c r="CJ243" s="173">
        <f t="shared" si="19"/>
        <v>1</v>
      </c>
      <c r="CK243" s="173">
        <f t="shared" si="19"/>
        <v>2</v>
      </c>
      <c r="CL243" s="173">
        <f t="shared" si="19"/>
        <v>1</v>
      </c>
      <c r="CM243" s="173">
        <f t="shared" si="19"/>
        <v>1</v>
      </c>
      <c r="CN243" s="173">
        <f t="shared" si="19"/>
        <v>2</v>
      </c>
      <c r="CO243" s="173">
        <f t="shared" si="19"/>
        <v>2</v>
      </c>
      <c r="CP243" s="173">
        <f t="shared" si="19"/>
        <v>2</v>
      </c>
      <c r="CQ243" s="173">
        <f t="shared" si="19"/>
        <v>2</v>
      </c>
      <c r="CR243" s="173">
        <f t="shared" si="19"/>
        <v>1</v>
      </c>
      <c r="CS243" s="173">
        <f t="shared" si="19"/>
        <v>2</v>
      </c>
      <c r="CT243" s="173">
        <f t="shared" si="19"/>
        <v>1</v>
      </c>
      <c r="CU243" s="173">
        <f t="shared" si="19"/>
        <v>2</v>
      </c>
      <c r="CV243" s="173">
        <f t="shared" si="19"/>
        <v>2</v>
      </c>
      <c r="CW243" s="173">
        <f t="shared" si="19"/>
        <v>2</v>
      </c>
      <c r="CX243" s="173">
        <f t="shared" si="19"/>
        <v>2</v>
      </c>
      <c r="CY243" s="173">
        <f t="shared" ref="CY243" si="20">CY198</f>
        <v>2</v>
      </c>
    </row>
    <row r="244" spans="1:103" s="173" customFormat="1" x14ac:dyDescent="0.3">
      <c r="A244" s="148">
        <f>A199</f>
        <v>1059</v>
      </c>
      <c r="B244" s="173" t="str">
        <f t="shared" ref="B244:BM244" si="21">B199</f>
        <v>Did the unit have a board-appointed finance officer the entire fiscal year? (Yes or No)?</v>
      </c>
      <c r="D244" s="173">
        <f t="shared" si="21"/>
        <v>1</v>
      </c>
      <c r="E244" s="173">
        <f t="shared" si="21"/>
        <v>1</v>
      </c>
      <c r="F244" s="173">
        <f t="shared" si="21"/>
        <v>1</v>
      </c>
      <c r="G244" s="173">
        <f t="shared" si="21"/>
        <v>1</v>
      </c>
      <c r="H244" s="173">
        <f t="shared" si="21"/>
        <v>1</v>
      </c>
      <c r="I244" s="173">
        <f t="shared" si="21"/>
        <v>1</v>
      </c>
      <c r="J244" s="173">
        <f t="shared" si="21"/>
        <v>1</v>
      </c>
      <c r="K244" s="173">
        <f t="shared" si="21"/>
        <v>1</v>
      </c>
      <c r="L244" s="173">
        <f t="shared" si="21"/>
        <v>1</v>
      </c>
      <c r="M244" s="173">
        <f t="shared" si="21"/>
        <v>1</v>
      </c>
      <c r="N244" s="173">
        <f t="shared" si="21"/>
        <v>1</v>
      </c>
      <c r="O244" s="173">
        <f t="shared" si="21"/>
        <v>1</v>
      </c>
      <c r="P244" s="173">
        <f t="shared" si="21"/>
        <v>1</v>
      </c>
      <c r="Q244" s="173">
        <f t="shared" si="21"/>
        <v>1</v>
      </c>
      <c r="R244" s="173">
        <f t="shared" si="21"/>
        <v>1</v>
      </c>
      <c r="S244" s="173">
        <f t="shared" si="21"/>
        <v>1</v>
      </c>
      <c r="T244" s="173">
        <f t="shared" si="21"/>
        <v>0</v>
      </c>
      <c r="U244" s="173">
        <f t="shared" si="21"/>
        <v>1</v>
      </c>
      <c r="V244" s="173">
        <f t="shared" si="21"/>
        <v>1</v>
      </c>
      <c r="W244" s="173">
        <f t="shared" si="21"/>
        <v>0</v>
      </c>
      <c r="X244" s="173">
        <f t="shared" si="21"/>
        <v>1</v>
      </c>
      <c r="Y244" s="173">
        <f t="shared" si="21"/>
        <v>1</v>
      </c>
      <c r="Z244" s="173">
        <f t="shared" si="21"/>
        <v>1</v>
      </c>
      <c r="AA244" s="173">
        <f t="shared" si="21"/>
        <v>1</v>
      </c>
      <c r="AB244" s="173">
        <f t="shared" si="21"/>
        <v>1</v>
      </c>
      <c r="AC244" s="173">
        <f t="shared" si="21"/>
        <v>1</v>
      </c>
      <c r="AD244" s="173">
        <f t="shared" si="21"/>
        <v>1</v>
      </c>
      <c r="AE244" s="173">
        <f t="shared" si="21"/>
        <v>1</v>
      </c>
      <c r="AF244" s="173">
        <f t="shared" si="21"/>
        <v>1</v>
      </c>
      <c r="AG244" s="173">
        <f t="shared" si="21"/>
        <v>1</v>
      </c>
      <c r="AH244" s="173">
        <f t="shared" si="21"/>
        <v>1</v>
      </c>
      <c r="AI244" s="173">
        <f t="shared" si="21"/>
        <v>1</v>
      </c>
      <c r="AJ244" s="173">
        <f t="shared" si="21"/>
        <v>1</v>
      </c>
      <c r="AK244" s="173">
        <f t="shared" si="21"/>
        <v>1</v>
      </c>
      <c r="AL244" s="173">
        <f t="shared" si="21"/>
        <v>1</v>
      </c>
      <c r="AM244" s="173">
        <f t="shared" si="21"/>
        <v>1</v>
      </c>
      <c r="AN244" s="173">
        <f t="shared" si="21"/>
        <v>1</v>
      </c>
      <c r="AO244" s="173">
        <f t="shared" si="21"/>
        <v>0</v>
      </c>
      <c r="AP244" s="173">
        <f t="shared" si="21"/>
        <v>1</v>
      </c>
      <c r="AQ244" s="173">
        <f t="shared" si="21"/>
        <v>1</v>
      </c>
      <c r="AR244" s="173">
        <f t="shared" si="21"/>
        <v>1</v>
      </c>
      <c r="AS244" s="173">
        <f t="shared" si="21"/>
        <v>1</v>
      </c>
      <c r="AT244" s="173">
        <f t="shared" si="21"/>
        <v>1</v>
      </c>
      <c r="AU244" s="173">
        <f t="shared" si="21"/>
        <v>1</v>
      </c>
      <c r="AV244" s="173">
        <f t="shared" si="21"/>
        <v>1</v>
      </c>
      <c r="AW244" s="173">
        <f t="shared" si="21"/>
        <v>1</v>
      </c>
      <c r="AX244" s="173">
        <f t="shared" si="21"/>
        <v>1</v>
      </c>
      <c r="AY244" s="173">
        <f t="shared" si="21"/>
        <v>1</v>
      </c>
      <c r="AZ244" s="173">
        <f t="shared" si="21"/>
        <v>1</v>
      </c>
      <c r="BA244" s="173">
        <f t="shared" si="21"/>
        <v>1</v>
      </c>
      <c r="BB244" s="173">
        <f t="shared" si="21"/>
        <v>1</v>
      </c>
      <c r="BC244" s="173">
        <f t="shared" si="21"/>
        <v>1</v>
      </c>
      <c r="BD244" s="173">
        <f t="shared" si="21"/>
        <v>1</v>
      </c>
      <c r="BE244" s="173">
        <f t="shared" si="21"/>
        <v>1</v>
      </c>
      <c r="BF244" s="173">
        <f t="shared" si="21"/>
        <v>1</v>
      </c>
      <c r="BG244" s="173">
        <f t="shared" si="21"/>
        <v>1</v>
      </c>
      <c r="BH244" s="173">
        <f t="shared" si="21"/>
        <v>1</v>
      </c>
      <c r="BI244" s="173">
        <f t="shared" si="21"/>
        <v>1</v>
      </c>
      <c r="BJ244" s="173">
        <f t="shared" si="21"/>
        <v>1</v>
      </c>
      <c r="BK244" s="173">
        <f t="shared" si="21"/>
        <v>1</v>
      </c>
      <c r="BL244" s="173">
        <f t="shared" si="21"/>
        <v>1</v>
      </c>
      <c r="BM244" s="173">
        <f t="shared" si="21"/>
        <v>1</v>
      </c>
      <c r="BN244" s="173">
        <f t="shared" ref="BN244:CX244" si="22">BN199</f>
        <v>1</v>
      </c>
      <c r="BO244" s="173">
        <f t="shared" si="22"/>
        <v>1</v>
      </c>
      <c r="BP244" s="173">
        <f t="shared" si="22"/>
        <v>1</v>
      </c>
      <c r="BQ244" s="173">
        <f t="shared" si="22"/>
        <v>1</v>
      </c>
      <c r="BR244" s="173">
        <f t="shared" si="22"/>
        <v>1</v>
      </c>
      <c r="BS244" s="173">
        <f t="shared" si="22"/>
        <v>1</v>
      </c>
      <c r="BT244" s="173">
        <f t="shared" si="22"/>
        <v>1</v>
      </c>
      <c r="BU244" s="173">
        <f t="shared" si="22"/>
        <v>1</v>
      </c>
      <c r="BV244" s="173">
        <f t="shared" si="22"/>
        <v>1</v>
      </c>
      <c r="BW244" s="173">
        <f t="shared" si="22"/>
        <v>1</v>
      </c>
      <c r="BX244" s="173">
        <f t="shared" si="22"/>
        <v>1</v>
      </c>
      <c r="BY244" s="173">
        <f t="shared" si="22"/>
        <v>1</v>
      </c>
      <c r="BZ244" s="173">
        <f t="shared" si="22"/>
        <v>1</v>
      </c>
      <c r="CA244" s="173">
        <f t="shared" si="22"/>
        <v>1</v>
      </c>
      <c r="CB244" s="173">
        <f t="shared" si="22"/>
        <v>1</v>
      </c>
      <c r="CC244" s="173">
        <f t="shared" si="22"/>
        <v>1</v>
      </c>
      <c r="CD244" s="173">
        <f t="shared" si="22"/>
        <v>1</v>
      </c>
      <c r="CE244" s="173">
        <f t="shared" si="22"/>
        <v>1</v>
      </c>
      <c r="CF244" s="173">
        <f t="shared" si="22"/>
        <v>1</v>
      </c>
      <c r="CG244" s="173">
        <f t="shared" si="22"/>
        <v>1</v>
      </c>
      <c r="CH244" s="173">
        <f t="shared" si="22"/>
        <v>1</v>
      </c>
      <c r="CI244" s="173">
        <f t="shared" si="22"/>
        <v>1</v>
      </c>
      <c r="CJ244" s="173">
        <f t="shared" si="22"/>
        <v>1</v>
      </c>
      <c r="CK244" s="173">
        <f t="shared" si="22"/>
        <v>1</v>
      </c>
      <c r="CL244" s="173">
        <f t="shared" si="22"/>
        <v>1</v>
      </c>
      <c r="CM244" s="173">
        <f t="shared" si="22"/>
        <v>1</v>
      </c>
      <c r="CN244" s="173">
        <f t="shared" si="22"/>
        <v>1</v>
      </c>
      <c r="CO244" s="173">
        <f t="shared" si="22"/>
        <v>1</v>
      </c>
      <c r="CP244" s="173">
        <f t="shared" si="22"/>
        <v>1</v>
      </c>
      <c r="CQ244" s="173">
        <f t="shared" si="22"/>
        <v>1</v>
      </c>
      <c r="CR244" s="173">
        <f t="shared" si="22"/>
        <v>1</v>
      </c>
      <c r="CS244" s="173">
        <f t="shared" si="22"/>
        <v>1</v>
      </c>
      <c r="CT244" s="173">
        <f t="shared" si="22"/>
        <v>2</v>
      </c>
      <c r="CU244" s="173">
        <f t="shared" si="22"/>
        <v>1</v>
      </c>
      <c r="CV244" s="173">
        <f t="shared" si="22"/>
        <v>1</v>
      </c>
      <c r="CW244" s="173">
        <f t="shared" si="22"/>
        <v>1</v>
      </c>
      <c r="CX244" s="173">
        <f t="shared" si="22"/>
        <v>1</v>
      </c>
      <c r="CY244" s="173">
        <f t="shared" ref="CY244" si="23">CY199</f>
        <v>1</v>
      </c>
    </row>
    <row r="245" spans="1:103" s="173" customFormat="1" x14ac:dyDescent="0.3">
      <c r="A245" s="148">
        <f>A213</f>
        <v>1078</v>
      </c>
      <c r="B245" s="173" t="str">
        <f t="shared" ref="B245:BM245" si="24">B213</f>
        <v>If the answer to 1059 is "No" then was the unit without a board-appointed interim or permanent finance officer for more than 2 weeks at any time in the fiscal year? (Note:  Please include a noncompliance finding related to GS 159-24, GS 159-25(a)(2) or GS</v>
      </c>
      <c r="D245" s="173">
        <f t="shared" si="24"/>
        <v>3</v>
      </c>
      <c r="E245" s="173">
        <f t="shared" si="24"/>
        <v>3</v>
      </c>
      <c r="F245" s="173">
        <f t="shared" si="24"/>
        <v>3</v>
      </c>
      <c r="G245" s="173">
        <f t="shared" si="24"/>
        <v>3</v>
      </c>
      <c r="H245" s="173">
        <f t="shared" si="24"/>
        <v>3</v>
      </c>
      <c r="I245" s="173">
        <f t="shared" si="24"/>
        <v>3</v>
      </c>
      <c r="J245" s="173">
        <f t="shared" si="24"/>
        <v>3</v>
      </c>
      <c r="K245" s="173">
        <f t="shared" si="24"/>
        <v>3</v>
      </c>
      <c r="L245" s="173">
        <f t="shared" si="24"/>
        <v>3</v>
      </c>
      <c r="M245" s="173">
        <f t="shared" si="24"/>
        <v>3</v>
      </c>
      <c r="N245" s="173">
        <f t="shared" si="24"/>
        <v>3</v>
      </c>
      <c r="O245" s="173">
        <f t="shared" si="24"/>
        <v>3</v>
      </c>
      <c r="P245" s="173">
        <f t="shared" si="24"/>
        <v>3</v>
      </c>
      <c r="Q245" s="173">
        <f t="shared" si="24"/>
        <v>3</v>
      </c>
      <c r="R245" s="173">
        <f t="shared" si="24"/>
        <v>3</v>
      </c>
      <c r="S245" s="173">
        <f t="shared" si="24"/>
        <v>3</v>
      </c>
      <c r="T245" s="173">
        <f t="shared" si="24"/>
        <v>0</v>
      </c>
      <c r="U245" s="173">
        <f t="shared" si="24"/>
        <v>3</v>
      </c>
      <c r="V245" s="173">
        <f t="shared" si="24"/>
        <v>3</v>
      </c>
      <c r="W245" s="173">
        <f t="shared" si="24"/>
        <v>0</v>
      </c>
      <c r="X245" s="173">
        <f t="shared" si="24"/>
        <v>3</v>
      </c>
      <c r="Y245" s="173">
        <f t="shared" si="24"/>
        <v>3</v>
      </c>
      <c r="Z245" s="173">
        <f t="shared" si="24"/>
        <v>2</v>
      </c>
      <c r="AA245" s="173">
        <f t="shared" si="24"/>
        <v>3</v>
      </c>
      <c r="AB245" s="173">
        <f t="shared" si="24"/>
        <v>3</v>
      </c>
      <c r="AC245" s="173">
        <f t="shared" si="24"/>
        <v>3</v>
      </c>
      <c r="AD245" s="173">
        <f t="shared" si="24"/>
        <v>3</v>
      </c>
      <c r="AE245" s="173">
        <f t="shared" si="24"/>
        <v>3</v>
      </c>
      <c r="AF245" s="173">
        <f t="shared" si="24"/>
        <v>3</v>
      </c>
      <c r="AG245" s="173">
        <f t="shared" si="24"/>
        <v>3</v>
      </c>
      <c r="AH245" s="173">
        <f t="shared" si="24"/>
        <v>3</v>
      </c>
      <c r="AI245" s="173">
        <f t="shared" si="24"/>
        <v>3</v>
      </c>
      <c r="AJ245" s="173">
        <f t="shared" si="24"/>
        <v>3</v>
      </c>
      <c r="AK245" s="173">
        <f t="shared" si="24"/>
        <v>3</v>
      </c>
      <c r="AL245" s="173">
        <f t="shared" si="24"/>
        <v>3</v>
      </c>
      <c r="AM245" s="173">
        <f t="shared" si="24"/>
        <v>3</v>
      </c>
      <c r="AN245" s="173">
        <f t="shared" si="24"/>
        <v>3</v>
      </c>
      <c r="AO245" s="173">
        <f t="shared" si="24"/>
        <v>0</v>
      </c>
      <c r="AP245" s="173">
        <f t="shared" si="24"/>
        <v>3</v>
      </c>
      <c r="AQ245" s="173">
        <f t="shared" si="24"/>
        <v>3</v>
      </c>
      <c r="AR245" s="173">
        <f t="shared" si="24"/>
        <v>3</v>
      </c>
      <c r="AS245" s="173">
        <f t="shared" si="24"/>
        <v>3</v>
      </c>
      <c r="AT245" s="173">
        <f t="shared" si="24"/>
        <v>3</v>
      </c>
      <c r="AU245" s="173">
        <f t="shared" si="24"/>
        <v>3</v>
      </c>
      <c r="AV245" s="173">
        <f t="shared" si="24"/>
        <v>3</v>
      </c>
      <c r="AW245" s="173">
        <f t="shared" si="24"/>
        <v>3</v>
      </c>
      <c r="AX245" s="173">
        <f t="shared" si="24"/>
        <v>3</v>
      </c>
      <c r="AY245" s="173">
        <f t="shared" si="24"/>
        <v>3</v>
      </c>
      <c r="AZ245" s="173">
        <f t="shared" si="24"/>
        <v>3</v>
      </c>
      <c r="BA245" s="173">
        <f t="shared" si="24"/>
        <v>3</v>
      </c>
      <c r="BB245" s="173">
        <f t="shared" si="24"/>
        <v>3</v>
      </c>
      <c r="BC245" s="173">
        <f t="shared" si="24"/>
        <v>3</v>
      </c>
      <c r="BD245" s="173">
        <f t="shared" si="24"/>
        <v>3</v>
      </c>
      <c r="BE245" s="173">
        <f t="shared" si="24"/>
        <v>3</v>
      </c>
      <c r="BF245" s="173">
        <f t="shared" si="24"/>
        <v>3</v>
      </c>
      <c r="BG245" s="173">
        <f t="shared" si="24"/>
        <v>3</v>
      </c>
      <c r="BH245" s="173">
        <f t="shared" si="24"/>
        <v>3</v>
      </c>
      <c r="BI245" s="173">
        <f t="shared" si="24"/>
        <v>3</v>
      </c>
      <c r="BJ245" s="173">
        <f t="shared" si="24"/>
        <v>3</v>
      </c>
      <c r="BK245" s="173">
        <f t="shared" si="24"/>
        <v>3</v>
      </c>
      <c r="BL245" s="173">
        <f t="shared" si="24"/>
        <v>3</v>
      </c>
      <c r="BM245" s="173">
        <f t="shared" si="24"/>
        <v>3</v>
      </c>
      <c r="BN245" s="173">
        <f t="shared" ref="BN245:CX245" si="25">BN213</f>
        <v>3</v>
      </c>
      <c r="BO245" s="173">
        <f t="shared" si="25"/>
        <v>3</v>
      </c>
      <c r="BP245" s="173">
        <f t="shared" si="25"/>
        <v>3</v>
      </c>
      <c r="BQ245" s="173">
        <f t="shared" si="25"/>
        <v>3</v>
      </c>
      <c r="BR245" s="173">
        <f t="shared" si="25"/>
        <v>3</v>
      </c>
      <c r="BS245" s="173">
        <f t="shared" si="25"/>
        <v>3</v>
      </c>
      <c r="BT245" s="173">
        <f t="shared" si="25"/>
        <v>3</v>
      </c>
      <c r="BU245" s="173">
        <f t="shared" si="25"/>
        <v>3</v>
      </c>
      <c r="BV245" s="173">
        <f t="shared" si="25"/>
        <v>3</v>
      </c>
      <c r="BW245" s="173">
        <f t="shared" si="25"/>
        <v>3</v>
      </c>
      <c r="BX245" s="173">
        <f t="shared" si="25"/>
        <v>3</v>
      </c>
      <c r="BY245" s="173">
        <f t="shared" si="25"/>
        <v>3</v>
      </c>
      <c r="BZ245" s="173">
        <f t="shared" si="25"/>
        <v>3</v>
      </c>
      <c r="CA245" s="173">
        <f t="shared" si="25"/>
        <v>3</v>
      </c>
      <c r="CB245" s="173">
        <f t="shared" si="25"/>
        <v>3</v>
      </c>
      <c r="CC245" s="173">
        <f t="shared" si="25"/>
        <v>3</v>
      </c>
      <c r="CD245" s="173">
        <f t="shared" si="25"/>
        <v>3</v>
      </c>
      <c r="CE245" s="173">
        <f t="shared" si="25"/>
        <v>3</v>
      </c>
      <c r="CF245" s="173">
        <f t="shared" si="25"/>
        <v>3</v>
      </c>
      <c r="CG245" s="173">
        <f t="shared" si="25"/>
        <v>3</v>
      </c>
      <c r="CH245" s="173">
        <f t="shared" si="25"/>
        <v>3</v>
      </c>
      <c r="CI245" s="173">
        <f t="shared" si="25"/>
        <v>3</v>
      </c>
      <c r="CJ245" s="173">
        <f t="shared" si="25"/>
        <v>3</v>
      </c>
      <c r="CK245" s="173">
        <f t="shared" si="25"/>
        <v>3</v>
      </c>
      <c r="CL245" s="173">
        <f t="shared" si="25"/>
        <v>3</v>
      </c>
      <c r="CM245" s="173">
        <f t="shared" si="25"/>
        <v>3</v>
      </c>
      <c r="CN245" s="173">
        <f t="shared" si="25"/>
        <v>3</v>
      </c>
      <c r="CO245" s="173">
        <f t="shared" si="25"/>
        <v>3</v>
      </c>
      <c r="CP245" s="173">
        <f t="shared" si="25"/>
        <v>3</v>
      </c>
      <c r="CQ245" s="173">
        <f t="shared" si="25"/>
        <v>3</v>
      </c>
      <c r="CR245" s="173">
        <f t="shared" si="25"/>
        <v>3</v>
      </c>
      <c r="CS245" s="173">
        <f t="shared" si="25"/>
        <v>3</v>
      </c>
      <c r="CT245" s="173">
        <f t="shared" si="25"/>
        <v>1</v>
      </c>
      <c r="CU245" s="173">
        <f t="shared" si="25"/>
        <v>3</v>
      </c>
      <c r="CV245" s="173">
        <f t="shared" si="25"/>
        <v>3</v>
      </c>
      <c r="CW245" s="173">
        <f t="shared" si="25"/>
        <v>3</v>
      </c>
      <c r="CX245" s="173">
        <f t="shared" si="25"/>
        <v>3</v>
      </c>
      <c r="CY245" s="173">
        <f t="shared" ref="CY245" si="26">CY213</f>
        <v>3</v>
      </c>
    </row>
    <row r="246" spans="1:103" s="173" customFormat="1" x14ac:dyDescent="0.3">
      <c r="A246" s="148">
        <f>A205</f>
        <v>1067</v>
      </c>
      <c r="B246" s="173" t="str">
        <f t="shared" ref="B246:BM246" si="27">B205</f>
        <v>Was the finance officer or interim finance officer bonded pursuant to G.S. 159-29 which requires that the finance officer give a true accounting and faithful performance bond in an amount not less than the greater of (1) $50,000 or (2) an amount equal to</v>
      </c>
      <c r="D246" s="173">
        <f t="shared" si="27"/>
        <v>1</v>
      </c>
      <c r="E246" s="173">
        <f t="shared" si="27"/>
        <v>1</v>
      </c>
      <c r="F246" s="173">
        <f t="shared" si="27"/>
        <v>1</v>
      </c>
      <c r="G246" s="173">
        <f t="shared" si="27"/>
        <v>1</v>
      </c>
      <c r="H246" s="173">
        <f t="shared" si="27"/>
        <v>1</v>
      </c>
      <c r="I246" s="173">
        <f t="shared" si="27"/>
        <v>1</v>
      </c>
      <c r="J246" s="173">
        <f t="shared" si="27"/>
        <v>1</v>
      </c>
      <c r="K246" s="173">
        <f t="shared" si="27"/>
        <v>2</v>
      </c>
      <c r="L246" s="173">
        <f t="shared" si="27"/>
        <v>1</v>
      </c>
      <c r="M246" s="173">
        <f t="shared" si="27"/>
        <v>1</v>
      </c>
      <c r="N246" s="173">
        <f t="shared" si="27"/>
        <v>1</v>
      </c>
      <c r="O246" s="173">
        <f t="shared" si="27"/>
        <v>1</v>
      </c>
      <c r="P246" s="173">
        <f t="shared" si="27"/>
        <v>1</v>
      </c>
      <c r="Q246" s="173">
        <f t="shared" si="27"/>
        <v>1</v>
      </c>
      <c r="R246" s="173">
        <f t="shared" si="27"/>
        <v>1</v>
      </c>
      <c r="S246" s="173">
        <f t="shared" si="27"/>
        <v>1</v>
      </c>
      <c r="T246" s="173">
        <f t="shared" si="27"/>
        <v>0</v>
      </c>
      <c r="U246" s="173">
        <f t="shared" si="27"/>
        <v>1</v>
      </c>
      <c r="V246" s="173">
        <f t="shared" si="27"/>
        <v>1</v>
      </c>
      <c r="W246" s="173">
        <f t="shared" si="27"/>
        <v>0</v>
      </c>
      <c r="X246" s="173">
        <f t="shared" si="27"/>
        <v>1</v>
      </c>
      <c r="Y246" s="173">
        <f t="shared" si="27"/>
        <v>1</v>
      </c>
      <c r="Z246" s="173">
        <f t="shared" si="27"/>
        <v>1</v>
      </c>
      <c r="AA246" s="173">
        <f t="shared" si="27"/>
        <v>1</v>
      </c>
      <c r="AB246" s="173">
        <f t="shared" si="27"/>
        <v>1</v>
      </c>
      <c r="AC246" s="173">
        <f t="shared" si="27"/>
        <v>1</v>
      </c>
      <c r="AD246" s="173">
        <f t="shared" si="27"/>
        <v>1</v>
      </c>
      <c r="AE246" s="173">
        <f t="shared" si="27"/>
        <v>1</v>
      </c>
      <c r="AF246" s="173">
        <f t="shared" si="27"/>
        <v>1</v>
      </c>
      <c r="AG246" s="173">
        <f t="shared" si="27"/>
        <v>1</v>
      </c>
      <c r="AH246" s="173">
        <f t="shared" si="27"/>
        <v>1</v>
      </c>
      <c r="AI246" s="173">
        <f t="shared" si="27"/>
        <v>1</v>
      </c>
      <c r="AJ246" s="173">
        <f t="shared" si="27"/>
        <v>1</v>
      </c>
      <c r="AK246" s="173">
        <f t="shared" si="27"/>
        <v>1</v>
      </c>
      <c r="AL246" s="173">
        <f t="shared" si="27"/>
        <v>1</v>
      </c>
      <c r="AM246" s="173">
        <f t="shared" si="27"/>
        <v>1</v>
      </c>
      <c r="AN246" s="173">
        <f t="shared" si="27"/>
        <v>1</v>
      </c>
      <c r="AO246" s="173">
        <f t="shared" si="27"/>
        <v>0</v>
      </c>
      <c r="AP246" s="173">
        <f t="shared" si="27"/>
        <v>1</v>
      </c>
      <c r="AQ246" s="173">
        <f t="shared" si="27"/>
        <v>1</v>
      </c>
      <c r="AR246" s="173">
        <f t="shared" si="27"/>
        <v>1</v>
      </c>
      <c r="AS246" s="173">
        <f t="shared" si="27"/>
        <v>1</v>
      </c>
      <c r="AT246" s="173">
        <f t="shared" si="27"/>
        <v>1</v>
      </c>
      <c r="AU246" s="173">
        <f t="shared" si="27"/>
        <v>1</v>
      </c>
      <c r="AV246" s="173">
        <f t="shared" si="27"/>
        <v>1</v>
      </c>
      <c r="AW246" s="173">
        <f t="shared" si="27"/>
        <v>1</v>
      </c>
      <c r="AX246" s="173">
        <f t="shared" si="27"/>
        <v>2</v>
      </c>
      <c r="AY246" s="173">
        <f t="shared" si="27"/>
        <v>1</v>
      </c>
      <c r="AZ246" s="173">
        <f t="shared" si="27"/>
        <v>1</v>
      </c>
      <c r="BA246" s="173">
        <f t="shared" si="27"/>
        <v>1</v>
      </c>
      <c r="BB246" s="173">
        <f t="shared" si="27"/>
        <v>1</v>
      </c>
      <c r="BC246" s="173">
        <f t="shared" si="27"/>
        <v>1</v>
      </c>
      <c r="BD246" s="173">
        <f t="shared" si="27"/>
        <v>1</v>
      </c>
      <c r="BE246" s="173">
        <f t="shared" si="27"/>
        <v>1</v>
      </c>
      <c r="BF246" s="173">
        <f t="shared" si="27"/>
        <v>1</v>
      </c>
      <c r="BG246" s="173">
        <f t="shared" si="27"/>
        <v>1</v>
      </c>
      <c r="BH246" s="173">
        <f t="shared" si="27"/>
        <v>2</v>
      </c>
      <c r="BI246" s="173">
        <f t="shared" si="27"/>
        <v>1</v>
      </c>
      <c r="BJ246" s="173">
        <f t="shared" si="27"/>
        <v>1</v>
      </c>
      <c r="BK246" s="173">
        <f t="shared" si="27"/>
        <v>1</v>
      </c>
      <c r="BL246" s="173">
        <f t="shared" si="27"/>
        <v>1</v>
      </c>
      <c r="BM246" s="173">
        <f t="shared" si="27"/>
        <v>1</v>
      </c>
      <c r="BN246" s="173">
        <f t="shared" ref="BN246:CX246" si="28">BN205</f>
        <v>1</v>
      </c>
      <c r="BO246" s="173">
        <f t="shared" si="28"/>
        <v>1</v>
      </c>
      <c r="BP246" s="173">
        <f t="shared" si="28"/>
        <v>1</v>
      </c>
      <c r="BQ246" s="173">
        <f t="shared" si="28"/>
        <v>2</v>
      </c>
      <c r="BR246" s="173">
        <f t="shared" si="28"/>
        <v>1</v>
      </c>
      <c r="BS246" s="173">
        <f t="shared" si="28"/>
        <v>1</v>
      </c>
      <c r="BT246" s="173">
        <f t="shared" si="28"/>
        <v>1</v>
      </c>
      <c r="BU246" s="173">
        <f t="shared" si="28"/>
        <v>1</v>
      </c>
      <c r="BV246" s="173">
        <f t="shared" si="28"/>
        <v>2</v>
      </c>
      <c r="BW246" s="173">
        <f t="shared" si="28"/>
        <v>1</v>
      </c>
      <c r="BX246" s="173">
        <f t="shared" si="28"/>
        <v>1</v>
      </c>
      <c r="BY246" s="173">
        <f t="shared" si="28"/>
        <v>1</v>
      </c>
      <c r="BZ246" s="173">
        <f t="shared" si="28"/>
        <v>1</v>
      </c>
      <c r="CA246" s="173">
        <f t="shared" si="28"/>
        <v>1</v>
      </c>
      <c r="CB246" s="173">
        <f t="shared" si="28"/>
        <v>1</v>
      </c>
      <c r="CC246" s="173">
        <f t="shared" si="28"/>
        <v>1</v>
      </c>
      <c r="CD246" s="173">
        <f t="shared" si="28"/>
        <v>1</v>
      </c>
      <c r="CE246" s="173">
        <f t="shared" si="28"/>
        <v>1</v>
      </c>
      <c r="CF246" s="173">
        <f t="shared" si="28"/>
        <v>1</v>
      </c>
      <c r="CG246" s="173">
        <f t="shared" si="28"/>
        <v>1</v>
      </c>
      <c r="CH246" s="173">
        <f t="shared" si="28"/>
        <v>1</v>
      </c>
      <c r="CI246" s="173">
        <f t="shared" si="28"/>
        <v>1</v>
      </c>
      <c r="CJ246" s="173">
        <f t="shared" si="28"/>
        <v>1</v>
      </c>
      <c r="CK246" s="173">
        <f t="shared" si="28"/>
        <v>1</v>
      </c>
      <c r="CL246" s="173">
        <f t="shared" si="28"/>
        <v>1</v>
      </c>
      <c r="CM246" s="173">
        <f t="shared" si="28"/>
        <v>1</v>
      </c>
      <c r="CN246" s="173">
        <f t="shared" si="28"/>
        <v>1</v>
      </c>
      <c r="CO246" s="173">
        <f t="shared" si="28"/>
        <v>1</v>
      </c>
      <c r="CP246" s="173">
        <f t="shared" si="28"/>
        <v>1</v>
      </c>
      <c r="CQ246" s="173">
        <f t="shared" si="28"/>
        <v>1</v>
      </c>
      <c r="CR246" s="173">
        <f t="shared" si="28"/>
        <v>2</v>
      </c>
      <c r="CS246" s="173">
        <f t="shared" si="28"/>
        <v>1</v>
      </c>
      <c r="CT246" s="173">
        <f t="shared" si="28"/>
        <v>1</v>
      </c>
      <c r="CU246" s="173">
        <f t="shared" si="28"/>
        <v>1</v>
      </c>
      <c r="CV246" s="173">
        <f t="shared" si="28"/>
        <v>1</v>
      </c>
      <c r="CW246" s="173">
        <f t="shared" si="28"/>
        <v>1</v>
      </c>
      <c r="CX246" s="173">
        <f t="shared" si="28"/>
        <v>1</v>
      </c>
      <c r="CY246" s="173">
        <f t="shared" ref="CY246" si="29">CY205</f>
        <v>1</v>
      </c>
    </row>
    <row r="247" spans="1:103" x14ac:dyDescent="0.3">
      <c r="A247" s="791">
        <f>A167</f>
        <v>951</v>
      </c>
      <c r="B247" s="791" t="str">
        <f t="shared" ref="B247:BM247" si="30">B167</f>
        <v>TD-Is there a finding for lack of technical skills, knowledge and experience (SKE) at this unit?</v>
      </c>
      <c r="C247" s="791"/>
      <c r="D247" s="791">
        <f t="shared" si="30"/>
        <v>2</v>
      </c>
      <c r="E247" s="791">
        <f t="shared" si="30"/>
        <v>2</v>
      </c>
      <c r="F247" s="791">
        <f t="shared" si="30"/>
        <v>2</v>
      </c>
      <c r="G247" s="791">
        <f t="shared" si="30"/>
        <v>2</v>
      </c>
      <c r="H247" s="791">
        <f t="shared" si="30"/>
        <v>2</v>
      </c>
      <c r="I247" s="791">
        <f t="shared" si="30"/>
        <v>2</v>
      </c>
      <c r="J247" s="791">
        <f t="shared" si="30"/>
        <v>2</v>
      </c>
      <c r="K247" s="791">
        <f t="shared" si="30"/>
        <v>2</v>
      </c>
      <c r="L247" s="791">
        <f t="shared" si="30"/>
        <v>2</v>
      </c>
      <c r="M247" s="791">
        <f t="shared" si="30"/>
        <v>2</v>
      </c>
      <c r="N247" s="791">
        <f t="shared" si="30"/>
        <v>2</v>
      </c>
      <c r="O247" s="791">
        <f t="shared" si="30"/>
        <v>2</v>
      </c>
      <c r="P247" s="791">
        <f t="shared" si="30"/>
        <v>2</v>
      </c>
      <c r="Q247" s="791">
        <f t="shared" si="30"/>
        <v>2</v>
      </c>
      <c r="R247" s="791">
        <f t="shared" si="30"/>
        <v>2</v>
      </c>
      <c r="S247" s="791">
        <f t="shared" si="30"/>
        <v>2</v>
      </c>
      <c r="T247" s="791">
        <f t="shared" si="30"/>
        <v>0</v>
      </c>
      <c r="U247" s="791">
        <f t="shared" si="30"/>
        <v>2</v>
      </c>
      <c r="V247" s="791">
        <f t="shared" si="30"/>
        <v>2</v>
      </c>
      <c r="W247" s="791">
        <f t="shared" si="30"/>
        <v>0</v>
      </c>
      <c r="X247" s="791">
        <f t="shared" si="30"/>
        <v>2</v>
      </c>
      <c r="Y247" s="791">
        <f t="shared" si="30"/>
        <v>2</v>
      </c>
      <c r="Z247" s="791">
        <f t="shared" si="30"/>
        <v>2</v>
      </c>
      <c r="AA247" s="791">
        <f t="shared" si="30"/>
        <v>2</v>
      </c>
      <c r="AB247" s="791">
        <f t="shared" si="30"/>
        <v>2</v>
      </c>
      <c r="AC247" s="791">
        <f t="shared" si="30"/>
        <v>2</v>
      </c>
      <c r="AD247" s="791">
        <f t="shared" si="30"/>
        <v>2</v>
      </c>
      <c r="AE247" s="791">
        <f t="shared" si="30"/>
        <v>2</v>
      </c>
      <c r="AF247" s="791">
        <f t="shared" si="30"/>
        <v>2</v>
      </c>
      <c r="AG247" s="791">
        <f t="shared" si="30"/>
        <v>2</v>
      </c>
      <c r="AH247" s="791">
        <f t="shared" si="30"/>
        <v>2</v>
      </c>
      <c r="AI247" s="791">
        <f t="shared" si="30"/>
        <v>2</v>
      </c>
      <c r="AJ247" s="791">
        <f t="shared" si="30"/>
        <v>2</v>
      </c>
      <c r="AK247" s="791">
        <f t="shared" si="30"/>
        <v>2</v>
      </c>
      <c r="AL247" s="791">
        <f t="shared" si="30"/>
        <v>2</v>
      </c>
      <c r="AM247" s="791">
        <f t="shared" si="30"/>
        <v>2</v>
      </c>
      <c r="AN247" s="791">
        <f t="shared" si="30"/>
        <v>2</v>
      </c>
      <c r="AO247" s="791">
        <f t="shared" si="30"/>
        <v>0</v>
      </c>
      <c r="AP247" s="791">
        <f t="shared" si="30"/>
        <v>2</v>
      </c>
      <c r="AQ247" s="791">
        <f t="shared" si="30"/>
        <v>2</v>
      </c>
      <c r="AR247" s="791">
        <f t="shared" si="30"/>
        <v>2</v>
      </c>
      <c r="AS247" s="791">
        <f t="shared" si="30"/>
        <v>2</v>
      </c>
      <c r="AT247" s="791">
        <f t="shared" si="30"/>
        <v>2</v>
      </c>
      <c r="AU247" s="791">
        <f t="shared" si="30"/>
        <v>2</v>
      </c>
      <c r="AV247" s="791">
        <f t="shared" si="30"/>
        <v>2</v>
      </c>
      <c r="AW247" s="791">
        <f t="shared" si="30"/>
        <v>2</v>
      </c>
      <c r="AX247" s="791">
        <f t="shared" si="30"/>
        <v>2</v>
      </c>
      <c r="AY247" s="791">
        <f t="shared" si="30"/>
        <v>2</v>
      </c>
      <c r="AZ247" s="791">
        <f t="shared" si="30"/>
        <v>2</v>
      </c>
      <c r="BA247" s="791">
        <f t="shared" si="30"/>
        <v>2</v>
      </c>
      <c r="BB247" s="791">
        <f t="shared" si="30"/>
        <v>2</v>
      </c>
      <c r="BC247" s="791">
        <f t="shared" si="30"/>
        <v>2</v>
      </c>
      <c r="BD247" s="791">
        <f t="shared" si="30"/>
        <v>2</v>
      </c>
      <c r="BE247" s="791">
        <f t="shared" si="30"/>
        <v>2</v>
      </c>
      <c r="BF247" s="791">
        <f t="shared" si="30"/>
        <v>2</v>
      </c>
      <c r="BG247" s="791">
        <f t="shared" si="30"/>
        <v>2</v>
      </c>
      <c r="BH247" s="791">
        <f t="shared" si="30"/>
        <v>2</v>
      </c>
      <c r="BI247" s="791">
        <f t="shared" si="30"/>
        <v>2</v>
      </c>
      <c r="BJ247" s="791">
        <f t="shared" si="30"/>
        <v>2</v>
      </c>
      <c r="BK247" s="791">
        <f t="shared" si="30"/>
        <v>2</v>
      </c>
      <c r="BL247" s="791">
        <f t="shared" si="30"/>
        <v>2</v>
      </c>
      <c r="BM247" s="791">
        <f t="shared" si="30"/>
        <v>2</v>
      </c>
      <c r="BN247" s="791">
        <f t="shared" ref="BN247:CX247" si="31">BN167</f>
        <v>2</v>
      </c>
      <c r="BO247" s="791">
        <f t="shared" si="31"/>
        <v>2</v>
      </c>
      <c r="BP247" s="791">
        <f t="shared" si="31"/>
        <v>2</v>
      </c>
      <c r="BQ247" s="791">
        <f t="shared" si="31"/>
        <v>2</v>
      </c>
      <c r="BR247" s="791">
        <f t="shared" si="31"/>
        <v>2</v>
      </c>
      <c r="BS247" s="791">
        <f t="shared" si="31"/>
        <v>2</v>
      </c>
      <c r="BT247" s="791">
        <f t="shared" si="31"/>
        <v>2</v>
      </c>
      <c r="BU247" s="791">
        <f t="shared" si="31"/>
        <v>2</v>
      </c>
      <c r="BV247" s="791">
        <f t="shared" si="31"/>
        <v>2</v>
      </c>
      <c r="BW247" s="791">
        <f t="shared" si="31"/>
        <v>2</v>
      </c>
      <c r="BX247" s="791">
        <f t="shared" si="31"/>
        <v>2</v>
      </c>
      <c r="BY247" s="791">
        <f t="shared" si="31"/>
        <v>2</v>
      </c>
      <c r="BZ247" s="791">
        <f t="shared" si="31"/>
        <v>2</v>
      </c>
      <c r="CA247" s="791">
        <f t="shared" si="31"/>
        <v>2</v>
      </c>
      <c r="CB247" s="791">
        <f t="shared" si="31"/>
        <v>2</v>
      </c>
      <c r="CC247" s="791">
        <f t="shared" si="31"/>
        <v>2</v>
      </c>
      <c r="CD247" s="791">
        <f t="shared" si="31"/>
        <v>2</v>
      </c>
      <c r="CE247" s="791">
        <f t="shared" si="31"/>
        <v>2</v>
      </c>
      <c r="CF247" s="791">
        <f t="shared" si="31"/>
        <v>2</v>
      </c>
      <c r="CG247" s="791">
        <f t="shared" si="31"/>
        <v>2</v>
      </c>
      <c r="CH247" s="791">
        <f t="shared" si="31"/>
        <v>2</v>
      </c>
      <c r="CI247" s="791">
        <f t="shared" si="31"/>
        <v>2</v>
      </c>
      <c r="CJ247" s="791">
        <f t="shared" si="31"/>
        <v>2</v>
      </c>
      <c r="CK247" s="791">
        <f t="shared" si="31"/>
        <v>2</v>
      </c>
      <c r="CL247" s="791">
        <f t="shared" si="31"/>
        <v>2</v>
      </c>
      <c r="CM247" s="791">
        <f t="shared" si="31"/>
        <v>2</v>
      </c>
      <c r="CN247" s="791">
        <f t="shared" si="31"/>
        <v>2</v>
      </c>
      <c r="CO247" s="791">
        <f t="shared" si="31"/>
        <v>2</v>
      </c>
      <c r="CP247" s="791">
        <f t="shared" si="31"/>
        <v>2</v>
      </c>
      <c r="CQ247" s="791">
        <f t="shared" si="31"/>
        <v>2</v>
      </c>
      <c r="CR247" s="791">
        <f t="shared" si="31"/>
        <v>1</v>
      </c>
      <c r="CS247" s="791">
        <f t="shared" si="31"/>
        <v>2</v>
      </c>
      <c r="CT247" s="791">
        <f t="shared" si="31"/>
        <v>2</v>
      </c>
      <c r="CU247" s="791">
        <f t="shared" si="31"/>
        <v>2</v>
      </c>
      <c r="CV247" s="791">
        <f t="shared" si="31"/>
        <v>2</v>
      </c>
      <c r="CW247" s="791">
        <f t="shared" si="31"/>
        <v>2</v>
      </c>
      <c r="CX247" s="791">
        <f t="shared" si="31"/>
        <v>2</v>
      </c>
      <c r="CY247" s="791">
        <f t="shared" ref="CY247" si="32">CY167</f>
        <v>2</v>
      </c>
    </row>
    <row r="248" spans="1:103" x14ac:dyDescent="0.3">
      <c r="A248" s="791">
        <f>A169</f>
        <v>953</v>
      </c>
      <c r="B248" s="791" t="str">
        <f t="shared" ref="B248:BM248" si="33">B169</f>
        <v>TD-Is there is a going concern finding noted in the audit report?</v>
      </c>
      <c r="C248" s="791"/>
      <c r="D248" s="791">
        <f t="shared" si="33"/>
        <v>2</v>
      </c>
      <c r="E248" s="791">
        <f t="shared" si="33"/>
        <v>2</v>
      </c>
      <c r="F248" s="791">
        <f t="shared" si="33"/>
        <v>2</v>
      </c>
      <c r="G248" s="791">
        <f t="shared" si="33"/>
        <v>2</v>
      </c>
      <c r="H248" s="791">
        <f t="shared" si="33"/>
        <v>2</v>
      </c>
      <c r="I248" s="791">
        <f t="shared" si="33"/>
        <v>2</v>
      </c>
      <c r="J248" s="791">
        <f t="shared" si="33"/>
        <v>2</v>
      </c>
      <c r="K248" s="791">
        <f t="shared" si="33"/>
        <v>2</v>
      </c>
      <c r="L248" s="791">
        <f t="shared" si="33"/>
        <v>2</v>
      </c>
      <c r="M248" s="791">
        <f t="shared" si="33"/>
        <v>2</v>
      </c>
      <c r="N248" s="791">
        <f t="shared" si="33"/>
        <v>2</v>
      </c>
      <c r="O248" s="791">
        <f t="shared" si="33"/>
        <v>2</v>
      </c>
      <c r="P248" s="791">
        <f t="shared" si="33"/>
        <v>2</v>
      </c>
      <c r="Q248" s="791">
        <f t="shared" si="33"/>
        <v>2</v>
      </c>
      <c r="R248" s="791">
        <f t="shared" si="33"/>
        <v>2</v>
      </c>
      <c r="S248" s="791">
        <f t="shared" si="33"/>
        <v>2</v>
      </c>
      <c r="T248" s="791">
        <f t="shared" si="33"/>
        <v>0</v>
      </c>
      <c r="U248" s="791">
        <f t="shared" si="33"/>
        <v>2</v>
      </c>
      <c r="V248" s="791">
        <f t="shared" si="33"/>
        <v>2</v>
      </c>
      <c r="W248" s="791">
        <f t="shared" si="33"/>
        <v>0</v>
      </c>
      <c r="X248" s="791">
        <f t="shared" si="33"/>
        <v>2</v>
      </c>
      <c r="Y248" s="791">
        <f t="shared" si="33"/>
        <v>2</v>
      </c>
      <c r="Z248" s="791">
        <f t="shared" si="33"/>
        <v>2</v>
      </c>
      <c r="AA248" s="791">
        <f t="shared" si="33"/>
        <v>2</v>
      </c>
      <c r="AB248" s="791">
        <f t="shared" si="33"/>
        <v>2</v>
      </c>
      <c r="AC248" s="791">
        <f t="shared" si="33"/>
        <v>2</v>
      </c>
      <c r="AD248" s="791">
        <f t="shared" si="33"/>
        <v>2</v>
      </c>
      <c r="AE248" s="791">
        <f t="shared" si="33"/>
        <v>2</v>
      </c>
      <c r="AF248" s="791">
        <f t="shared" si="33"/>
        <v>2</v>
      </c>
      <c r="AG248" s="791">
        <f t="shared" si="33"/>
        <v>2</v>
      </c>
      <c r="AH248" s="791">
        <f t="shared" si="33"/>
        <v>2</v>
      </c>
      <c r="AI248" s="791">
        <f t="shared" si="33"/>
        <v>2</v>
      </c>
      <c r="AJ248" s="791">
        <f t="shared" si="33"/>
        <v>2</v>
      </c>
      <c r="AK248" s="791">
        <f t="shared" si="33"/>
        <v>2</v>
      </c>
      <c r="AL248" s="791">
        <f t="shared" si="33"/>
        <v>2</v>
      </c>
      <c r="AM248" s="791">
        <f t="shared" si="33"/>
        <v>2</v>
      </c>
      <c r="AN248" s="791">
        <f t="shared" si="33"/>
        <v>2</v>
      </c>
      <c r="AO248" s="791">
        <f t="shared" si="33"/>
        <v>0</v>
      </c>
      <c r="AP248" s="791">
        <f t="shared" si="33"/>
        <v>2</v>
      </c>
      <c r="AQ248" s="791">
        <f t="shared" si="33"/>
        <v>2</v>
      </c>
      <c r="AR248" s="791">
        <f t="shared" si="33"/>
        <v>2</v>
      </c>
      <c r="AS248" s="791">
        <f t="shared" si="33"/>
        <v>2</v>
      </c>
      <c r="AT248" s="791">
        <f t="shared" si="33"/>
        <v>2</v>
      </c>
      <c r="AU248" s="791">
        <f t="shared" si="33"/>
        <v>2</v>
      </c>
      <c r="AV248" s="791">
        <f t="shared" si="33"/>
        <v>2</v>
      </c>
      <c r="AW248" s="791">
        <f t="shared" si="33"/>
        <v>2</v>
      </c>
      <c r="AX248" s="791">
        <f t="shared" si="33"/>
        <v>2</v>
      </c>
      <c r="AY248" s="791">
        <f t="shared" si="33"/>
        <v>2</v>
      </c>
      <c r="AZ248" s="791">
        <f t="shared" si="33"/>
        <v>2</v>
      </c>
      <c r="BA248" s="791">
        <f t="shared" si="33"/>
        <v>2</v>
      </c>
      <c r="BB248" s="791">
        <f t="shared" si="33"/>
        <v>2</v>
      </c>
      <c r="BC248" s="791">
        <f t="shared" si="33"/>
        <v>2</v>
      </c>
      <c r="BD248" s="791">
        <f t="shared" si="33"/>
        <v>2</v>
      </c>
      <c r="BE248" s="791">
        <f t="shared" si="33"/>
        <v>2</v>
      </c>
      <c r="BF248" s="791">
        <f t="shared" si="33"/>
        <v>2</v>
      </c>
      <c r="BG248" s="791">
        <f t="shared" si="33"/>
        <v>2</v>
      </c>
      <c r="BH248" s="791">
        <f t="shared" si="33"/>
        <v>2</v>
      </c>
      <c r="BI248" s="791">
        <f t="shared" si="33"/>
        <v>2</v>
      </c>
      <c r="BJ248" s="791">
        <f t="shared" si="33"/>
        <v>2</v>
      </c>
      <c r="BK248" s="791">
        <f t="shared" si="33"/>
        <v>2</v>
      </c>
      <c r="BL248" s="791">
        <f t="shared" si="33"/>
        <v>2</v>
      </c>
      <c r="BM248" s="791">
        <f t="shared" si="33"/>
        <v>2</v>
      </c>
      <c r="BN248" s="791">
        <f t="shared" ref="BN248:CX248" si="34">BN169</f>
        <v>2</v>
      </c>
      <c r="BO248" s="791">
        <f t="shared" si="34"/>
        <v>2</v>
      </c>
      <c r="BP248" s="791">
        <f t="shared" si="34"/>
        <v>2</v>
      </c>
      <c r="BQ248" s="791">
        <f t="shared" si="34"/>
        <v>2</v>
      </c>
      <c r="BR248" s="791">
        <f t="shared" si="34"/>
        <v>2</v>
      </c>
      <c r="BS248" s="791">
        <f t="shared" si="34"/>
        <v>2</v>
      </c>
      <c r="BT248" s="791">
        <f t="shared" si="34"/>
        <v>2</v>
      </c>
      <c r="BU248" s="791">
        <f t="shared" si="34"/>
        <v>2</v>
      </c>
      <c r="BV248" s="791">
        <f t="shared" si="34"/>
        <v>2</v>
      </c>
      <c r="BW248" s="791">
        <f t="shared" si="34"/>
        <v>2</v>
      </c>
      <c r="BX248" s="791">
        <f t="shared" si="34"/>
        <v>2</v>
      </c>
      <c r="BY248" s="791">
        <f t="shared" si="34"/>
        <v>2</v>
      </c>
      <c r="BZ248" s="791">
        <f t="shared" si="34"/>
        <v>2</v>
      </c>
      <c r="CA248" s="791">
        <f t="shared" si="34"/>
        <v>2</v>
      </c>
      <c r="CB248" s="791">
        <f t="shared" si="34"/>
        <v>2</v>
      </c>
      <c r="CC248" s="791">
        <f t="shared" si="34"/>
        <v>2</v>
      </c>
      <c r="CD248" s="791">
        <f t="shared" si="34"/>
        <v>2</v>
      </c>
      <c r="CE248" s="791">
        <f t="shared" si="34"/>
        <v>2</v>
      </c>
      <c r="CF248" s="791">
        <f t="shared" si="34"/>
        <v>2</v>
      </c>
      <c r="CG248" s="791">
        <f t="shared" si="34"/>
        <v>2</v>
      </c>
      <c r="CH248" s="791">
        <f t="shared" si="34"/>
        <v>2</v>
      </c>
      <c r="CI248" s="791">
        <f t="shared" si="34"/>
        <v>2</v>
      </c>
      <c r="CJ248" s="791">
        <f t="shared" si="34"/>
        <v>2</v>
      </c>
      <c r="CK248" s="791">
        <f t="shared" si="34"/>
        <v>2</v>
      </c>
      <c r="CL248" s="791">
        <f t="shared" si="34"/>
        <v>2</v>
      </c>
      <c r="CM248" s="791">
        <f t="shared" si="34"/>
        <v>2</v>
      </c>
      <c r="CN248" s="791">
        <f t="shared" si="34"/>
        <v>2</v>
      </c>
      <c r="CO248" s="791">
        <f t="shared" si="34"/>
        <v>2</v>
      </c>
      <c r="CP248" s="791">
        <f t="shared" si="34"/>
        <v>2</v>
      </c>
      <c r="CQ248" s="791">
        <f t="shared" si="34"/>
        <v>2</v>
      </c>
      <c r="CR248" s="791">
        <f t="shared" si="34"/>
        <v>2</v>
      </c>
      <c r="CS248" s="791">
        <f t="shared" si="34"/>
        <v>2</v>
      </c>
      <c r="CT248" s="791">
        <f t="shared" si="34"/>
        <v>2</v>
      </c>
      <c r="CU248" s="791">
        <f t="shared" si="34"/>
        <v>2</v>
      </c>
      <c r="CV248" s="791">
        <f t="shared" si="34"/>
        <v>2</v>
      </c>
      <c r="CW248" s="791">
        <f t="shared" si="34"/>
        <v>2</v>
      </c>
      <c r="CX248" s="791">
        <f t="shared" si="34"/>
        <v>2</v>
      </c>
      <c r="CY248" s="791">
        <f t="shared" ref="CY248" si="35">CY169</f>
        <v>2</v>
      </c>
    </row>
    <row r="249" spans="1:103" x14ac:dyDescent="0.3">
      <c r="A249" s="791">
        <f>A170</f>
        <v>955</v>
      </c>
      <c r="B249" s="791" t="str">
        <f t="shared" ref="B249:BM249" si="36">B170</f>
        <v>TD-Number of significant deficiency findings (other than in Questions 10-13 )</v>
      </c>
      <c r="C249" s="791"/>
      <c r="D249" s="791">
        <f t="shared" si="36"/>
        <v>0</v>
      </c>
      <c r="E249" s="791">
        <f t="shared" si="36"/>
        <v>0</v>
      </c>
      <c r="F249" s="791">
        <f t="shared" si="36"/>
        <v>0</v>
      </c>
      <c r="G249" s="791">
        <f t="shared" si="36"/>
        <v>1</v>
      </c>
      <c r="H249" s="791">
        <f t="shared" si="36"/>
        <v>0</v>
      </c>
      <c r="I249" s="791">
        <f t="shared" si="36"/>
        <v>0</v>
      </c>
      <c r="J249" s="791">
        <f t="shared" si="36"/>
        <v>0</v>
      </c>
      <c r="K249" s="791">
        <f t="shared" si="36"/>
        <v>0</v>
      </c>
      <c r="L249" s="791">
        <f t="shared" si="36"/>
        <v>0</v>
      </c>
      <c r="M249" s="791">
        <f t="shared" si="36"/>
        <v>0</v>
      </c>
      <c r="N249" s="791">
        <f t="shared" si="36"/>
        <v>0</v>
      </c>
      <c r="O249" s="791">
        <f t="shared" si="36"/>
        <v>0</v>
      </c>
      <c r="P249" s="791">
        <f t="shared" si="36"/>
        <v>0</v>
      </c>
      <c r="Q249" s="791">
        <f t="shared" si="36"/>
        <v>0</v>
      </c>
      <c r="R249" s="791">
        <f t="shared" si="36"/>
        <v>0</v>
      </c>
      <c r="S249" s="791">
        <f t="shared" si="36"/>
        <v>0</v>
      </c>
      <c r="T249" s="791">
        <f t="shared" si="36"/>
        <v>0</v>
      </c>
      <c r="U249" s="791">
        <f t="shared" si="36"/>
        <v>0</v>
      </c>
      <c r="V249" s="791">
        <f t="shared" si="36"/>
        <v>0</v>
      </c>
      <c r="W249" s="791">
        <f t="shared" si="36"/>
        <v>0</v>
      </c>
      <c r="X249" s="791">
        <f t="shared" si="36"/>
        <v>0</v>
      </c>
      <c r="Y249" s="791">
        <f t="shared" si="36"/>
        <v>0</v>
      </c>
      <c r="Z249" s="791">
        <f t="shared" si="36"/>
        <v>1</v>
      </c>
      <c r="AA249" s="791">
        <f t="shared" si="36"/>
        <v>0</v>
      </c>
      <c r="AB249" s="791">
        <f t="shared" si="36"/>
        <v>0</v>
      </c>
      <c r="AC249" s="791">
        <f t="shared" si="36"/>
        <v>1</v>
      </c>
      <c r="AD249" s="791">
        <f t="shared" si="36"/>
        <v>0</v>
      </c>
      <c r="AE249" s="791">
        <f t="shared" si="36"/>
        <v>0</v>
      </c>
      <c r="AF249" s="791">
        <f t="shared" si="36"/>
        <v>0</v>
      </c>
      <c r="AG249" s="791">
        <f t="shared" si="36"/>
        <v>0</v>
      </c>
      <c r="AH249" s="791">
        <f t="shared" si="36"/>
        <v>0</v>
      </c>
      <c r="AI249" s="791">
        <f t="shared" si="36"/>
        <v>0</v>
      </c>
      <c r="AJ249" s="791">
        <f t="shared" si="36"/>
        <v>2</v>
      </c>
      <c r="AK249" s="791">
        <f t="shared" si="36"/>
        <v>0</v>
      </c>
      <c r="AL249" s="791">
        <f t="shared" si="36"/>
        <v>0</v>
      </c>
      <c r="AM249" s="791">
        <f t="shared" si="36"/>
        <v>0</v>
      </c>
      <c r="AN249" s="791">
        <f t="shared" si="36"/>
        <v>0</v>
      </c>
      <c r="AO249" s="791">
        <f t="shared" si="36"/>
        <v>0</v>
      </c>
      <c r="AP249" s="791">
        <f t="shared" si="36"/>
        <v>1</v>
      </c>
      <c r="AQ249" s="791">
        <f t="shared" si="36"/>
        <v>1</v>
      </c>
      <c r="AR249" s="791">
        <f t="shared" si="36"/>
        <v>0</v>
      </c>
      <c r="AS249" s="791">
        <f t="shared" si="36"/>
        <v>0</v>
      </c>
      <c r="AT249" s="791">
        <f t="shared" si="36"/>
        <v>0</v>
      </c>
      <c r="AU249" s="791">
        <f t="shared" si="36"/>
        <v>0</v>
      </c>
      <c r="AV249" s="791">
        <f t="shared" si="36"/>
        <v>0</v>
      </c>
      <c r="AW249" s="791">
        <f t="shared" si="36"/>
        <v>2</v>
      </c>
      <c r="AX249" s="791">
        <f t="shared" si="36"/>
        <v>0</v>
      </c>
      <c r="AY249" s="791">
        <f t="shared" si="36"/>
        <v>1</v>
      </c>
      <c r="AZ249" s="791">
        <f t="shared" si="36"/>
        <v>0</v>
      </c>
      <c r="BA249" s="791">
        <f t="shared" si="36"/>
        <v>0</v>
      </c>
      <c r="BB249" s="791">
        <f t="shared" si="36"/>
        <v>0</v>
      </c>
      <c r="BC249" s="791">
        <f t="shared" si="36"/>
        <v>0</v>
      </c>
      <c r="BD249" s="791">
        <f t="shared" si="36"/>
        <v>0</v>
      </c>
      <c r="BE249" s="791">
        <f t="shared" si="36"/>
        <v>0</v>
      </c>
      <c r="BF249" s="791">
        <f t="shared" si="36"/>
        <v>0</v>
      </c>
      <c r="BG249" s="791">
        <f t="shared" si="36"/>
        <v>0</v>
      </c>
      <c r="BH249" s="791">
        <f t="shared" si="36"/>
        <v>0</v>
      </c>
      <c r="BI249" s="791">
        <f t="shared" si="36"/>
        <v>3</v>
      </c>
      <c r="BJ249" s="791">
        <f t="shared" si="36"/>
        <v>0</v>
      </c>
      <c r="BK249" s="791">
        <f t="shared" si="36"/>
        <v>0</v>
      </c>
      <c r="BL249" s="791">
        <f t="shared" si="36"/>
        <v>0</v>
      </c>
      <c r="BM249" s="791">
        <f t="shared" si="36"/>
        <v>1</v>
      </c>
      <c r="BN249" s="791">
        <f t="shared" ref="BN249:CX249" si="37">BN170</f>
        <v>0</v>
      </c>
      <c r="BO249" s="791">
        <f t="shared" si="37"/>
        <v>1</v>
      </c>
      <c r="BP249" s="791">
        <f t="shared" si="37"/>
        <v>0</v>
      </c>
      <c r="BQ249" s="791">
        <f t="shared" si="37"/>
        <v>2</v>
      </c>
      <c r="BR249" s="791">
        <f t="shared" si="37"/>
        <v>0</v>
      </c>
      <c r="BS249" s="791">
        <f t="shared" si="37"/>
        <v>0</v>
      </c>
      <c r="BT249" s="791">
        <f t="shared" si="37"/>
        <v>0</v>
      </c>
      <c r="BU249" s="791">
        <f t="shared" si="37"/>
        <v>0</v>
      </c>
      <c r="BV249" s="791">
        <f t="shared" si="37"/>
        <v>0</v>
      </c>
      <c r="BW249" s="791">
        <f t="shared" si="37"/>
        <v>0</v>
      </c>
      <c r="BX249" s="791">
        <f t="shared" si="37"/>
        <v>0</v>
      </c>
      <c r="BY249" s="791">
        <f t="shared" si="37"/>
        <v>0</v>
      </c>
      <c r="BZ249" s="791">
        <f t="shared" si="37"/>
        <v>0</v>
      </c>
      <c r="CA249" s="791">
        <f t="shared" si="37"/>
        <v>0</v>
      </c>
      <c r="CB249" s="791">
        <f t="shared" si="37"/>
        <v>3</v>
      </c>
      <c r="CC249" s="791">
        <f t="shared" si="37"/>
        <v>0</v>
      </c>
      <c r="CD249" s="791">
        <f t="shared" si="37"/>
        <v>0</v>
      </c>
      <c r="CE249" s="791">
        <f t="shared" si="37"/>
        <v>0</v>
      </c>
      <c r="CF249" s="791">
        <f t="shared" si="37"/>
        <v>0</v>
      </c>
      <c r="CG249" s="791">
        <f t="shared" si="37"/>
        <v>0</v>
      </c>
      <c r="CH249" s="791">
        <f t="shared" si="37"/>
        <v>2</v>
      </c>
      <c r="CI249" s="791">
        <f t="shared" si="37"/>
        <v>1</v>
      </c>
      <c r="CJ249" s="791">
        <f t="shared" si="37"/>
        <v>1</v>
      </c>
      <c r="CK249" s="791">
        <f t="shared" si="37"/>
        <v>0</v>
      </c>
      <c r="CL249" s="791">
        <f t="shared" si="37"/>
        <v>0</v>
      </c>
      <c r="CM249" s="791">
        <f t="shared" si="37"/>
        <v>0</v>
      </c>
      <c r="CN249" s="791">
        <f t="shared" si="37"/>
        <v>0</v>
      </c>
      <c r="CO249" s="791">
        <f t="shared" si="37"/>
        <v>0</v>
      </c>
      <c r="CP249" s="791">
        <f t="shared" si="37"/>
        <v>0</v>
      </c>
      <c r="CQ249" s="791">
        <f t="shared" si="37"/>
        <v>0</v>
      </c>
      <c r="CR249" s="791">
        <f t="shared" si="37"/>
        <v>0</v>
      </c>
      <c r="CS249" s="791">
        <f t="shared" si="37"/>
        <v>1</v>
      </c>
      <c r="CT249" s="791">
        <f t="shared" si="37"/>
        <v>2</v>
      </c>
      <c r="CU249" s="791">
        <f t="shared" si="37"/>
        <v>0</v>
      </c>
      <c r="CV249" s="791">
        <f t="shared" si="37"/>
        <v>0</v>
      </c>
      <c r="CW249" s="791">
        <f t="shared" si="37"/>
        <v>0</v>
      </c>
      <c r="CX249" s="791">
        <f t="shared" si="37"/>
        <v>1</v>
      </c>
      <c r="CY249" s="791">
        <f t="shared" ref="CY249" si="38">CY170</f>
        <v>0</v>
      </c>
    </row>
    <row r="250" spans="1:103" x14ac:dyDescent="0.3">
      <c r="A250" s="791">
        <f>A171</f>
        <v>957</v>
      </c>
      <c r="B250" s="791" t="str">
        <f t="shared" ref="B250:BM250" si="39">B171</f>
        <v>TD-Number of material weaknesses findings (other than in Questions 10-13)</v>
      </c>
      <c r="C250" s="791"/>
      <c r="D250" s="791">
        <f t="shared" si="39"/>
        <v>0</v>
      </c>
      <c r="E250" s="791">
        <f t="shared" si="39"/>
        <v>0</v>
      </c>
      <c r="F250" s="791">
        <f t="shared" si="39"/>
        <v>3</v>
      </c>
      <c r="G250" s="791">
        <f t="shared" si="39"/>
        <v>2</v>
      </c>
      <c r="H250" s="791">
        <f t="shared" si="39"/>
        <v>0</v>
      </c>
      <c r="I250" s="791">
        <f t="shared" si="39"/>
        <v>0</v>
      </c>
      <c r="J250" s="791">
        <f t="shared" si="39"/>
        <v>0</v>
      </c>
      <c r="K250" s="791">
        <f t="shared" si="39"/>
        <v>4</v>
      </c>
      <c r="L250" s="791">
        <f t="shared" si="39"/>
        <v>0</v>
      </c>
      <c r="M250" s="791">
        <f t="shared" si="39"/>
        <v>0</v>
      </c>
      <c r="N250" s="791">
        <f t="shared" si="39"/>
        <v>1</v>
      </c>
      <c r="O250" s="791">
        <f t="shared" si="39"/>
        <v>0</v>
      </c>
      <c r="P250" s="791">
        <f t="shared" si="39"/>
        <v>0</v>
      </c>
      <c r="Q250" s="791">
        <f t="shared" si="39"/>
        <v>0</v>
      </c>
      <c r="R250" s="791">
        <f t="shared" si="39"/>
        <v>0</v>
      </c>
      <c r="S250" s="791">
        <f t="shared" si="39"/>
        <v>0</v>
      </c>
      <c r="T250" s="791">
        <f t="shared" si="39"/>
        <v>0</v>
      </c>
      <c r="U250" s="791">
        <f t="shared" si="39"/>
        <v>0</v>
      </c>
      <c r="V250" s="791">
        <f t="shared" si="39"/>
        <v>0</v>
      </c>
      <c r="W250" s="791">
        <f t="shared" si="39"/>
        <v>0</v>
      </c>
      <c r="X250" s="791">
        <f t="shared" si="39"/>
        <v>0</v>
      </c>
      <c r="Y250" s="791">
        <f t="shared" si="39"/>
        <v>0</v>
      </c>
      <c r="Z250" s="791">
        <f t="shared" si="39"/>
        <v>0</v>
      </c>
      <c r="AA250" s="791">
        <f t="shared" si="39"/>
        <v>3</v>
      </c>
      <c r="AB250" s="791">
        <f t="shared" si="39"/>
        <v>0</v>
      </c>
      <c r="AC250" s="791">
        <f t="shared" si="39"/>
        <v>0</v>
      </c>
      <c r="AD250" s="791">
        <f t="shared" si="39"/>
        <v>0</v>
      </c>
      <c r="AE250" s="791">
        <f t="shared" si="39"/>
        <v>0</v>
      </c>
      <c r="AF250" s="791">
        <f t="shared" si="39"/>
        <v>1</v>
      </c>
      <c r="AG250" s="791">
        <f t="shared" si="39"/>
        <v>1</v>
      </c>
      <c r="AH250" s="791">
        <f t="shared" si="39"/>
        <v>0</v>
      </c>
      <c r="AI250" s="791">
        <f t="shared" si="39"/>
        <v>0</v>
      </c>
      <c r="AJ250" s="791">
        <f t="shared" si="39"/>
        <v>1</v>
      </c>
      <c r="AK250" s="791">
        <f t="shared" si="39"/>
        <v>0</v>
      </c>
      <c r="AL250" s="791">
        <f t="shared" si="39"/>
        <v>1</v>
      </c>
      <c r="AM250" s="791">
        <f t="shared" si="39"/>
        <v>0</v>
      </c>
      <c r="AN250" s="791">
        <f t="shared" si="39"/>
        <v>1</v>
      </c>
      <c r="AO250" s="791">
        <f t="shared" si="39"/>
        <v>0</v>
      </c>
      <c r="AP250" s="791">
        <f t="shared" si="39"/>
        <v>0</v>
      </c>
      <c r="AQ250" s="791">
        <f t="shared" si="39"/>
        <v>1</v>
      </c>
      <c r="AR250" s="791">
        <f t="shared" si="39"/>
        <v>0</v>
      </c>
      <c r="AS250" s="791">
        <f t="shared" si="39"/>
        <v>0</v>
      </c>
      <c r="AT250" s="791">
        <f t="shared" si="39"/>
        <v>0</v>
      </c>
      <c r="AU250" s="791">
        <f t="shared" si="39"/>
        <v>0</v>
      </c>
      <c r="AV250" s="791">
        <f t="shared" si="39"/>
        <v>0</v>
      </c>
      <c r="AW250" s="791">
        <f t="shared" si="39"/>
        <v>2</v>
      </c>
      <c r="AX250" s="791">
        <f t="shared" si="39"/>
        <v>4</v>
      </c>
      <c r="AY250" s="791">
        <f t="shared" si="39"/>
        <v>3</v>
      </c>
      <c r="AZ250" s="791">
        <f t="shared" si="39"/>
        <v>0</v>
      </c>
      <c r="BA250" s="791">
        <f t="shared" si="39"/>
        <v>0</v>
      </c>
      <c r="BB250" s="791">
        <f t="shared" si="39"/>
        <v>0</v>
      </c>
      <c r="BC250" s="791">
        <f t="shared" si="39"/>
        <v>0</v>
      </c>
      <c r="BD250" s="791">
        <f t="shared" si="39"/>
        <v>0</v>
      </c>
      <c r="BE250" s="791">
        <f t="shared" si="39"/>
        <v>0</v>
      </c>
      <c r="BF250" s="791">
        <f t="shared" si="39"/>
        <v>0</v>
      </c>
      <c r="BG250" s="791">
        <f t="shared" si="39"/>
        <v>0</v>
      </c>
      <c r="BH250" s="791">
        <f t="shared" si="39"/>
        <v>2</v>
      </c>
      <c r="BI250" s="791">
        <f t="shared" si="39"/>
        <v>0</v>
      </c>
      <c r="BJ250" s="791">
        <f t="shared" si="39"/>
        <v>0</v>
      </c>
      <c r="BK250" s="791">
        <f t="shared" si="39"/>
        <v>1</v>
      </c>
      <c r="BL250" s="791">
        <f t="shared" si="39"/>
        <v>0</v>
      </c>
      <c r="BM250" s="791">
        <f t="shared" si="39"/>
        <v>1</v>
      </c>
      <c r="BN250" s="791">
        <f t="shared" ref="BN250:CX250" si="40">BN171</f>
        <v>1</v>
      </c>
      <c r="BO250" s="791">
        <f t="shared" si="40"/>
        <v>0</v>
      </c>
      <c r="BP250" s="791">
        <f t="shared" si="40"/>
        <v>0</v>
      </c>
      <c r="BQ250" s="791">
        <f t="shared" si="40"/>
        <v>5</v>
      </c>
      <c r="BR250" s="791">
        <f t="shared" si="40"/>
        <v>0</v>
      </c>
      <c r="BS250" s="791">
        <f t="shared" si="40"/>
        <v>0</v>
      </c>
      <c r="BT250" s="791">
        <f t="shared" si="40"/>
        <v>0</v>
      </c>
      <c r="BU250" s="791">
        <f t="shared" si="40"/>
        <v>0</v>
      </c>
      <c r="BV250" s="791">
        <f t="shared" si="40"/>
        <v>5</v>
      </c>
      <c r="BW250" s="791">
        <f t="shared" si="40"/>
        <v>0</v>
      </c>
      <c r="BX250" s="791">
        <f t="shared" si="40"/>
        <v>0</v>
      </c>
      <c r="BY250" s="791">
        <f t="shared" si="40"/>
        <v>0</v>
      </c>
      <c r="BZ250" s="791">
        <f t="shared" si="40"/>
        <v>0</v>
      </c>
      <c r="CA250" s="791">
        <f t="shared" si="40"/>
        <v>0</v>
      </c>
      <c r="CB250" s="791">
        <f t="shared" si="40"/>
        <v>0</v>
      </c>
      <c r="CC250" s="791">
        <f t="shared" si="40"/>
        <v>0</v>
      </c>
      <c r="CD250" s="791">
        <f t="shared" si="40"/>
        <v>0</v>
      </c>
      <c r="CE250" s="791">
        <f t="shared" si="40"/>
        <v>0</v>
      </c>
      <c r="CF250" s="791">
        <f t="shared" si="40"/>
        <v>0</v>
      </c>
      <c r="CG250" s="791">
        <f t="shared" si="40"/>
        <v>0</v>
      </c>
      <c r="CH250" s="791">
        <f t="shared" si="40"/>
        <v>0</v>
      </c>
      <c r="CI250" s="791">
        <f t="shared" si="40"/>
        <v>0</v>
      </c>
      <c r="CJ250" s="791">
        <f t="shared" si="40"/>
        <v>3</v>
      </c>
      <c r="CK250" s="791">
        <f t="shared" si="40"/>
        <v>0</v>
      </c>
      <c r="CL250" s="791">
        <f t="shared" si="40"/>
        <v>0</v>
      </c>
      <c r="CM250" s="791">
        <f t="shared" si="40"/>
        <v>2</v>
      </c>
      <c r="CN250" s="791">
        <f t="shared" si="40"/>
        <v>0</v>
      </c>
      <c r="CO250" s="791">
        <f t="shared" si="40"/>
        <v>0</v>
      </c>
      <c r="CP250" s="791">
        <f t="shared" si="40"/>
        <v>4</v>
      </c>
      <c r="CQ250" s="791">
        <f t="shared" si="40"/>
        <v>1</v>
      </c>
      <c r="CR250" s="791">
        <f t="shared" si="40"/>
        <v>1</v>
      </c>
      <c r="CS250" s="791">
        <f t="shared" si="40"/>
        <v>0</v>
      </c>
      <c r="CT250" s="791">
        <f t="shared" si="40"/>
        <v>0</v>
      </c>
      <c r="CU250" s="791">
        <f t="shared" si="40"/>
        <v>0</v>
      </c>
      <c r="CV250" s="791">
        <f t="shared" si="40"/>
        <v>0</v>
      </c>
      <c r="CW250" s="791">
        <f t="shared" si="40"/>
        <v>0</v>
      </c>
      <c r="CX250" s="791">
        <f t="shared" si="40"/>
        <v>0</v>
      </c>
      <c r="CY250" s="791">
        <f t="shared" ref="CY250" si="41">CY171</f>
        <v>0</v>
      </c>
    </row>
    <row r="251" spans="1:103" x14ac:dyDescent="0.3">
      <c r="A251" s="791">
        <f>A178</f>
        <v>973</v>
      </c>
      <c r="B251" s="791" t="str">
        <f t="shared" ref="B251:BM251" si="42">B178</f>
        <v>Were there any issues or other matters presented to the Governing Board regarding internal controls (not already listed as a material weakness or significant deficiency?</v>
      </c>
      <c r="C251" s="791"/>
      <c r="D251" s="791">
        <f t="shared" si="42"/>
        <v>0</v>
      </c>
      <c r="E251" s="791">
        <f t="shared" si="42"/>
        <v>0</v>
      </c>
      <c r="F251" s="791">
        <f t="shared" si="42"/>
        <v>0</v>
      </c>
      <c r="G251" s="791">
        <f t="shared" si="42"/>
        <v>0</v>
      </c>
      <c r="H251" s="791">
        <f t="shared" si="42"/>
        <v>0</v>
      </c>
      <c r="I251" s="791">
        <f t="shared" si="42"/>
        <v>0</v>
      </c>
      <c r="J251" s="791">
        <f t="shared" si="42"/>
        <v>0</v>
      </c>
      <c r="K251" s="791">
        <f t="shared" si="42"/>
        <v>0</v>
      </c>
      <c r="L251" s="791">
        <f t="shared" si="42"/>
        <v>0</v>
      </c>
      <c r="M251" s="791">
        <f t="shared" si="42"/>
        <v>0</v>
      </c>
      <c r="N251" s="791">
        <f t="shared" si="42"/>
        <v>0</v>
      </c>
      <c r="O251" s="791">
        <f t="shared" si="42"/>
        <v>0</v>
      </c>
      <c r="P251" s="791">
        <f t="shared" si="42"/>
        <v>0</v>
      </c>
      <c r="Q251" s="791">
        <f t="shared" si="42"/>
        <v>0</v>
      </c>
      <c r="R251" s="791">
        <f t="shared" si="42"/>
        <v>0</v>
      </c>
      <c r="S251" s="791">
        <f t="shared" si="42"/>
        <v>2</v>
      </c>
      <c r="T251" s="791">
        <f t="shared" si="42"/>
        <v>0</v>
      </c>
      <c r="U251" s="791">
        <f t="shared" si="42"/>
        <v>0</v>
      </c>
      <c r="V251" s="791">
        <f t="shared" si="42"/>
        <v>0</v>
      </c>
      <c r="W251" s="791">
        <f t="shared" si="42"/>
        <v>0</v>
      </c>
      <c r="X251" s="791">
        <f t="shared" si="42"/>
        <v>0</v>
      </c>
      <c r="Y251" s="791">
        <f t="shared" si="42"/>
        <v>0</v>
      </c>
      <c r="Z251" s="791">
        <f t="shared" si="42"/>
        <v>0</v>
      </c>
      <c r="AA251" s="791">
        <f t="shared" si="42"/>
        <v>0</v>
      </c>
      <c r="AB251" s="791">
        <f t="shared" si="42"/>
        <v>0</v>
      </c>
      <c r="AC251" s="791">
        <f t="shared" si="42"/>
        <v>0</v>
      </c>
      <c r="AD251" s="791">
        <f t="shared" si="42"/>
        <v>0</v>
      </c>
      <c r="AE251" s="791">
        <f t="shared" si="42"/>
        <v>0</v>
      </c>
      <c r="AF251" s="791">
        <f t="shared" si="42"/>
        <v>0</v>
      </c>
      <c r="AG251" s="791">
        <f t="shared" si="42"/>
        <v>0</v>
      </c>
      <c r="AH251" s="791">
        <f t="shared" si="42"/>
        <v>0</v>
      </c>
      <c r="AI251" s="791">
        <f t="shared" si="42"/>
        <v>0</v>
      </c>
      <c r="AJ251" s="791">
        <f t="shared" si="42"/>
        <v>0</v>
      </c>
      <c r="AK251" s="791">
        <f t="shared" si="42"/>
        <v>0</v>
      </c>
      <c r="AL251" s="791">
        <f t="shared" si="42"/>
        <v>0</v>
      </c>
      <c r="AM251" s="791">
        <f t="shared" si="42"/>
        <v>0</v>
      </c>
      <c r="AN251" s="791">
        <f t="shared" si="42"/>
        <v>0</v>
      </c>
      <c r="AO251" s="791">
        <f t="shared" si="42"/>
        <v>0</v>
      </c>
      <c r="AP251" s="791">
        <f t="shared" si="42"/>
        <v>0</v>
      </c>
      <c r="AQ251" s="791">
        <f t="shared" si="42"/>
        <v>0</v>
      </c>
      <c r="AR251" s="791">
        <f t="shared" si="42"/>
        <v>0</v>
      </c>
      <c r="AS251" s="791">
        <f t="shared" si="42"/>
        <v>0</v>
      </c>
      <c r="AT251" s="791">
        <f t="shared" si="42"/>
        <v>0</v>
      </c>
      <c r="AU251" s="791">
        <f t="shared" si="42"/>
        <v>0</v>
      </c>
      <c r="AV251" s="791">
        <f t="shared" si="42"/>
        <v>0</v>
      </c>
      <c r="AW251" s="791">
        <f t="shared" si="42"/>
        <v>0</v>
      </c>
      <c r="AX251" s="791">
        <f t="shared" si="42"/>
        <v>0</v>
      </c>
      <c r="AY251" s="791">
        <f t="shared" si="42"/>
        <v>0</v>
      </c>
      <c r="AZ251" s="791">
        <f t="shared" si="42"/>
        <v>0</v>
      </c>
      <c r="BA251" s="791">
        <f t="shared" si="42"/>
        <v>0</v>
      </c>
      <c r="BB251" s="791">
        <f t="shared" si="42"/>
        <v>0</v>
      </c>
      <c r="BC251" s="791">
        <f t="shared" si="42"/>
        <v>0</v>
      </c>
      <c r="BD251" s="791">
        <f t="shared" si="42"/>
        <v>0</v>
      </c>
      <c r="BE251" s="791">
        <f t="shared" si="42"/>
        <v>0</v>
      </c>
      <c r="BF251" s="791">
        <f t="shared" si="42"/>
        <v>0</v>
      </c>
      <c r="BG251" s="791">
        <f t="shared" si="42"/>
        <v>0</v>
      </c>
      <c r="BH251" s="791">
        <f t="shared" si="42"/>
        <v>0</v>
      </c>
      <c r="BI251" s="791">
        <f t="shared" si="42"/>
        <v>0</v>
      </c>
      <c r="BJ251" s="791">
        <f t="shared" si="42"/>
        <v>0</v>
      </c>
      <c r="BK251" s="791">
        <f t="shared" si="42"/>
        <v>0</v>
      </c>
      <c r="BL251" s="791">
        <f t="shared" si="42"/>
        <v>0</v>
      </c>
      <c r="BM251" s="791">
        <f t="shared" si="42"/>
        <v>0</v>
      </c>
      <c r="BN251" s="791">
        <f t="shared" ref="BN251:CX251" si="43">BN178</f>
        <v>0</v>
      </c>
      <c r="BO251" s="791">
        <f t="shared" si="43"/>
        <v>0</v>
      </c>
      <c r="BP251" s="791">
        <f t="shared" si="43"/>
        <v>0</v>
      </c>
      <c r="BQ251" s="791">
        <f t="shared" si="43"/>
        <v>0</v>
      </c>
      <c r="BR251" s="791">
        <f t="shared" si="43"/>
        <v>0</v>
      </c>
      <c r="BS251" s="791">
        <f t="shared" si="43"/>
        <v>0</v>
      </c>
      <c r="BT251" s="791">
        <f t="shared" si="43"/>
        <v>0</v>
      </c>
      <c r="BU251" s="791">
        <f t="shared" si="43"/>
        <v>0</v>
      </c>
      <c r="BV251" s="791">
        <f t="shared" si="43"/>
        <v>0</v>
      </c>
      <c r="BW251" s="791">
        <f t="shared" si="43"/>
        <v>0</v>
      </c>
      <c r="BX251" s="791">
        <f t="shared" si="43"/>
        <v>0</v>
      </c>
      <c r="BY251" s="791">
        <f t="shared" si="43"/>
        <v>0</v>
      </c>
      <c r="BZ251" s="791">
        <f t="shared" si="43"/>
        <v>0</v>
      </c>
      <c r="CA251" s="791">
        <f t="shared" si="43"/>
        <v>0</v>
      </c>
      <c r="CB251" s="791">
        <f t="shared" si="43"/>
        <v>0</v>
      </c>
      <c r="CC251" s="791">
        <f t="shared" si="43"/>
        <v>0</v>
      </c>
      <c r="CD251" s="791">
        <f t="shared" si="43"/>
        <v>0</v>
      </c>
      <c r="CE251" s="791">
        <f t="shared" si="43"/>
        <v>0</v>
      </c>
      <c r="CF251" s="791">
        <f t="shared" si="43"/>
        <v>0</v>
      </c>
      <c r="CG251" s="791">
        <f t="shared" si="43"/>
        <v>0</v>
      </c>
      <c r="CH251" s="791">
        <f t="shared" si="43"/>
        <v>0</v>
      </c>
      <c r="CI251" s="791">
        <f t="shared" si="43"/>
        <v>0</v>
      </c>
      <c r="CJ251" s="791">
        <f t="shared" si="43"/>
        <v>0</v>
      </c>
      <c r="CK251" s="791">
        <f t="shared" si="43"/>
        <v>0</v>
      </c>
      <c r="CL251" s="791">
        <f t="shared" si="43"/>
        <v>0</v>
      </c>
      <c r="CM251" s="791">
        <f t="shared" si="43"/>
        <v>0</v>
      </c>
      <c r="CN251" s="791">
        <f t="shared" si="43"/>
        <v>0</v>
      </c>
      <c r="CO251" s="791">
        <f t="shared" si="43"/>
        <v>0</v>
      </c>
      <c r="CP251" s="791">
        <f t="shared" si="43"/>
        <v>0</v>
      </c>
      <c r="CQ251" s="791">
        <f t="shared" si="43"/>
        <v>0</v>
      </c>
      <c r="CR251" s="791">
        <f t="shared" si="43"/>
        <v>0</v>
      </c>
      <c r="CS251" s="791">
        <f t="shared" si="43"/>
        <v>0</v>
      </c>
      <c r="CT251" s="791">
        <f t="shared" si="43"/>
        <v>0</v>
      </c>
      <c r="CU251" s="791">
        <f t="shared" si="43"/>
        <v>0</v>
      </c>
      <c r="CV251" s="791">
        <f t="shared" si="43"/>
        <v>0</v>
      </c>
      <c r="CW251" s="791">
        <f t="shared" si="43"/>
        <v>0</v>
      </c>
      <c r="CX251" s="791">
        <f t="shared" si="43"/>
        <v>0</v>
      </c>
      <c r="CY251" s="791">
        <f t="shared" ref="CY251" si="44">CY178</f>
        <v>0</v>
      </c>
    </row>
    <row r="252" spans="1:103" x14ac:dyDescent="0.3">
      <c r="A252" s="791">
        <f>A172</f>
        <v>959</v>
      </c>
      <c r="B252" s="791" t="str">
        <f t="shared" ref="B252:BM252" si="45">B172</f>
        <v>TD-Did unit have their debt service payments restructured in this fiscal year? (does not include refinancings designed to take advantage of lower interest rates)</v>
      </c>
      <c r="C252" s="791"/>
      <c r="D252" s="791">
        <f t="shared" si="45"/>
        <v>2</v>
      </c>
      <c r="E252" s="791">
        <f t="shared" si="45"/>
        <v>2</v>
      </c>
      <c r="F252" s="791">
        <f t="shared" si="45"/>
        <v>2</v>
      </c>
      <c r="G252" s="791">
        <f t="shared" si="45"/>
        <v>3</v>
      </c>
      <c r="H252" s="791">
        <f t="shared" si="45"/>
        <v>2</v>
      </c>
      <c r="I252" s="791">
        <f t="shared" si="45"/>
        <v>2</v>
      </c>
      <c r="J252" s="791">
        <f t="shared" si="45"/>
        <v>2</v>
      </c>
      <c r="K252" s="791">
        <f t="shared" si="45"/>
        <v>2</v>
      </c>
      <c r="L252" s="791">
        <f t="shared" si="45"/>
        <v>2</v>
      </c>
      <c r="M252" s="791">
        <f t="shared" si="45"/>
        <v>2</v>
      </c>
      <c r="N252" s="791">
        <f t="shared" si="45"/>
        <v>2</v>
      </c>
      <c r="O252" s="791">
        <f t="shared" si="45"/>
        <v>2</v>
      </c>
      <c r="P252" s="791">
        <f t="shared" si="45"/>
        <v>2</v>
      </c>
      <c r="Q252" s="791">
        <f t="shared" si="45"/>
        <v>2</v>
      </c>
      <c r="R252" s="791">
        <f t="shared" si="45"/>
        <v>2</v>
      </c>
      <c r="S252" s="791">
        <f t="shared" si="45"/>
        <v>2</v>
      </c>
      <c r="T252" s="791">
        <f t="shared" si="45"/>
        <v>0</v>
      </c>
      <c r="U252" s="791">
        <f t="shared" si="45"/>
        <v>2</v>
      </c>
      <c r="V252" s="791">
        <f t="shared" si="45"/>
        <v>2</v>
      </c>
      <c r="W252" s="791">
        <f t="shared" si="45"/>
        <v>0</v>
      </c>
      <c r="X252" s="791">
        <f t="shared" si="45"/>
        <v>2</v>
      </c>
      <c r="Y252" s="791">
        <f t="shared" si="45"/>
        <v>3</v>
      </c>
      <c r="Z252" s="791">
        <f t="shared" si="45"/>
        <v>2</v>
      </c>
      <c r="AA252" s="791">
        <f t="shared" si="45"/>
        <v>2</v>
      </c>
      <c r="AB252" s="791">
        <f t="shared" si="45"/>
        <v>2</v>
      </c>
      <c r="AC252" s="791">
        <f t="shared" si="45"/>
        <v>2</v>
      </c>
      <c r="AD252" s="791">
        <f t="shared" si="45"/>
        <v>2</v>
      </c>
      <c r="AE252" s="791">
        <f t="shared" si="45"/>
        <v>2</v>
      </c>
      <c r="AF252" s="791">
        <f t="shared" si="45"/>
        <v>2</v>
      </c>
      <c r="AG252" s="791">
        <f t="shared" si="45"/>
        <v>2</v>
      </c>
      <c r="AH252" s="791">
        <f t="shared" si="45"/>
        <v>2</v>
      </c>
      <c r="AI252" s="791">
        <f t="shared" si="45"/>
        <v>2</v>
      </c>
      <c r="AJ252" s="791">
        <f t="shared" si="45"/>
        <v>2</v>
      </c>
      <c r="AK252" s="791">
        <f t="shared" si="45"/>
        <v>2</v>
      </c>
      <c r="AL252" s="791">
        <f t="shared" si="45"/>
        <v>2</v>
      </c>
      <c r="AM252" s="791">
        <f t="shared" si="45"/>
        <v>2</v>
      </c>
      <c r="AN252" s="791">
        <f t="shared" si="45"/>
        <v>2</v>
      </c>
      <c r="AO252" s="791">
        <f t="shared" si="45"/>
        <v>0</v>
      </c>
      <c r="AP252" s="791">
        <f t="shared" si="45"/>
        <v>2</v>
      </c>
      <c r="AQ252" s="791">
        <f t="shared" si="45"/>
        <v>2</v>
      </c>
      <c r="AR252" s="791">
        <f t="shared" si="45"/>
        <v>2</v>
      </c>
      <c r="AS252" s="791">
        <f t="shared" si="45"/>
        <v>2</v>
      </c>
      <c r="AT252" s="791">
        <f t="shared" si="45"/>
        <v>2</v>
      </c>
      <c r="AU252" s="791">
        <f t="shared" si="45"/>
        <v>2</v>
      </c>
      <c r="AV252" s="791">
        <f t="shared" si="45"/>
        <v>2</v>
      </c>
      <c r="AW252" s="791">
        <f t="shared" si="45"/>
        <v>3</v>
      </c>
      <c r="AX252" s="791">
        <f t="shared" si="45"/>
        <v>2</v>
      </c>
      <c r="AY252" s="791">
        <f t="shared" si="45"/>
        <v>2</v>
      </c>
      <c r="AZ252" s="791">
        <f t="shared" si="45"/>
        <v>2</v>
      </c>
      <c r="BA252" s="791">
        <f t="shared" si="45"/>
        <v>2</v>
      </c>
      <c r="BB252" s="791">
        <f t="shared" si="45"/>
        <v>2</v>
      </c>
      <c r="BC252" s="791">
        <f t="shared" si="45"/>
        <v>2</v>
      </c>
      <c r="BD252" s="791">
        <f t="shared" si="45"/>
        <v>2</v>
      </c>
      <c r="BE252" s="791">
        <f t="shared" si="45"/>
        <v>2</v>
      </c>
      <c r="BF252" s="791">
        <f t="shared" si="45"/>
        <v>2</v>
      </c>
      <c r="BG252" s="791">
        <f t="shared" si="45"/>
        <v>2</v>
      </c>
      <c r="BH252" s="791">
        <f t="shared" si="45"/>
        <v>2</v>
      </c>
      <c r="BI252" s="791">
        <f t="shared" si="45"/>
        <v>2</v>
      </c>
      <c r="BJ252" s="791">
        <f t="shared" si="45"/>
        <v>2</v>
      </c>
      <c r="BK252" s="791">
        <f t="shared" si="45"/>
        <v>2</v>
      </c>
      <c r="BL252" s="791">
        <f t="shared" si="45"/>
        <v>3</v>
      </c>
      <c r="BM252" s="791">
        <f t="shared" si="45"/>
        <v>2</v>
      </c>
      <c r="BN252" s="791">
        <f t="shared" ref="BN252:CX252" si="46">BN172</f>
        <v>2</v>
      </c>
      <c r="BO252" s="791">
        <f t="shared" si="46"/>
        <v>2</v>
      </c>
      <c r="BP252" s="791">
        <f t="shared" si="46"/>
        <v>2</v>
      </c>
      <c r="BQ252" s="791">
        <f t="shared" si="46"/>
        <v>2</v>
      </c>
      <c r="BR252" s="791">
        <f t="shared" si="46"/>
        <v>2</v>
      </c>
      <c r="BS252" s="791">
        <f t="shared" si="46"/>
        <v>2</v>
      </c>
      <c r="BT252" s="791">
        <f t="shared" si="46"/>
        <v>3</v>
      </c>
      <c r="BU252" s="791">
        <f t="shared" si="46"/>
        <v>2</v>
      </c>
      <c r="BV252" s="791">
        <f t="shared" si="46"/>
        <v>2</v>
      </c>
      <c r="BW252" s="791">
        <f t="shared" si="46"/>
        <v>2</v>
      </c>
      <c r="BX252" s="791">
        <f t="shared" si="46"/>
        <v>2</v>
      </c>
      <c r="BY252" s="791">
        <f t="shared" si="46"/>
        <v>2</v>
      </c>
      <c r="BZ252" s="791">
        <f t="shared" si="46"/>
        <v>2</v>
      </c>
      <c r="CA252" s="791">
        <f t="shared" si="46"/>
        <v>2</v>
      </c>
      <c r="CB252" s="791">
        <f t="shared" si="46"/>
        <v>2</v>
      </c>
      <c r="CC252" s="791">
        <f t="shared" si="46"/>
        <v>2</v>
      </c>
      <c r="CD252" s="791">
        <f t="shared" si="46"/>
        <v>2</v>
      </c>
      <c r="CE252" s="791">
        <f t="shared" si="46"/>
        <v>2</v>
      </c>
      <c r="CF252" s="791">
        <f t="shared" si="46"/>
        <v>2</v>
      </c>
      <c r="CG252" s="791">
        <f t="shared" si="46"/>
        <v>2</v>
      </c>
      <c r="CH252" s="791">
        <f t="shared" si="46"/>
        <v>2</v>
      </c>
      <c r="CI252" s="791">
        <f t="shared" si="46"/>
        <v>2</v>
      </c>
      <c r="CJ252" s="791">
        <f t="shared" si="46"/>
        <v>2</v>
      </c>
      <c r="CK252" s="791">
        <f t="shared" si="46"/>
        <v>2</v>
      </c>
      <c r="CL252" s="791">
        <f t="shared" si="46"/>
        <v>2</v>
      </c>
      <c r="CM252" s="791">
        <f t="shared" si="46"/>
        <v>2</v>
      </c>
      <c r="CN252" s="791">
        <f t="shared" si="46"/>
        <v>3</v>
      </c>
      <c r="CO252" s="791">
        <f t="shared" si="46"/>
        <v>2</v>
      </c>
      <c r="CP252" s="791">
        <f t="shared" si="46"/>
        <v>2</v>
      </c>
      <c r="CQ252" s="791">
        <f t="shared" si="46"/>
        <v>2</v>
      </c>
      <c r="CR252" s="791">
        <f t="shared" si="46"/>
        <v>2</v>
      </c>
      <c r="CS252" s="791">
        <f t="shared" si="46"/>
        <v>2</v>
      </c>
      <c r="CT252" s="791">
        <f t="shared" si="46"/>
        <v>2</v>
      </c>
      <c r="CU252" s="791">
        <f t="shared" si="46"/>
        <v>3</v>
      </c>
      <c r="CV252" s="791">
        <f t="shared" si="46"/>
        <v>2</v>
      </c>
      <c r="CW252" s="791">
        <f t="shared" si="46"/>
        <v>2</v>
      </c>
      <c r="CX252" s="791">
        <f t="shared" si="46"/>
        <v>2</v>
      </c>
      <c r="CY252" s="791">
        <f t="shared" ref="CY252" si="47">CY172</f>
        <v>2</v>
      </c>
    </row>
    <row r="253" spans="1:103" x14ac:dyDescent="0.3">
      <c r="A253" s="791">
        <f>A179</f>
        <v>974</v>
      </c>
      <c r="B253" s="791" t="str">
        <f t="shared" ref="B253:BM253" si="48">B179</f>
        <v>Did the Unit have any of the following occur:
1.  Were any debt service payments deferred or restructured in this fiscal year? (does not include refinancings designed to take advantage of lower interest rates)
2.  Bond covenants were not met
3.  Debt serv</v>
      </c>
      <c r="C253" s="791"/>
      <c r="D253" s="791">
        <f t="shared" si="48"/>
        <v>2</v>
      </c>
      <c r="E253" s="791">
        <f t="shared" si="48"/>
        <v>2</v>
      </c>
      <c r="F253" s="791">
        <f t="shared" si="48"/>
        <v>2</v>
      </c>
      <c r="G253" s="791">
        <f t="shared" si="48"/>
        <v>3</v>
      </c>
      <c r="H253" s="791">
        <f t="shared" si="48"/>
        <v>2</v>
      </c>
      <c r="I253" s="791">
        <f t="shared" si="48"/>
        <v>2</v>
      </c>
      <c r="J253" s="791">
        <f t="shared" si="48"/>
        <v>2</v>
      </c>
      <c r="K253" s="791">
        <f t="shared" si="48"/>
        <v>2</v>
      </c>
      <c r="L253" s="791">
        <f t="shared" si="48"/>
        <v>2</v>
      </c>
      <c r="M253" s="791">
        <f t="shared" si="48"/>
        <v>2</v>
      </c>
      <c r="N253" s="791">
        <f t="shared" si="48"/>
        <v>2</v>
      </c>
      <c r="O253" s="791">
        <f t="shared" si="48"/>
        <v>2</v>
      </c>
      <c r="P253" s="791">
        <f t="shared" si="48"/>
        <v>2</v>
      </c>
      <c r="Q253" s="791">
        <f t="shared" si="48"/>
        <v>2</v>
      </c>
      <c r="R253" s="791">
        <f t="shared" si="48"/>
        <v>2</v>
      </c>
      <c r="S253" s="791">
        <f t="shared" si="48"/>
        <v>2</v>
      </c>
      <c r="T253" s="791">
        <f t="shared" si="48"/>
        <v>0</v>
      </c>
      <c r="U253" s="791">
        <f t="shared" si="48"/>
        <v>2</v>
      </c>
      <c r="V253" s="791">
        <f t="shared" si="48"/>
        <v>2</v>
      </c>
      <c r="W253" s="791">
        <f t="shared" si="48"/>
        <v>0</v>
      </c>
      <c r="X253" s="791">
        <f t="shared" si="48"/>
        <v>2</v>
      </c>
      <c r="Y253" s="791">
        <f t="shared" si="48"/>
        <v>2</v>
      </c>
      <c r="Z253" s="791">
        <f t="shared" si="48"/>
        <v>2</v>
      </c>
      <c r="AA253" s="791">
        <f t="shared" si="48"/>
        <v>2</v>
      </c>
      <c r="AB253" s="791">
        <f t="shared" si="48"/>
        <v>2</v>
      </c>
      <c r="AC253" s="791">
        <f t="shared" si="48"/>
        <v>2</v>
      </c>
      <c r="AD253" s="791">
        <f t="shared" si="48"/>
        <v>2</v>
      </c>
      <c r="AE253" s="791">
        <f t="shared" si="48"/>
        <v>2</v>
      </c>
      <c r="AF253" s="791">
        <f t="shared" si="48"/>
        <v>2</v>
      </c>
      <c r="AG253" s="791">
        <f t="shared" si="48"/>
        <v>2</v>
      </c>
      <c r="AH253" s="791">
        <f t="shared" si="48"/>
        <v>2</v>
      </c>
      <c r="AI253" s="791">
        <f t="shared" si="48"/>
        <v>2</v>
      </c>
      <c r="AJ253" s="791">
        <f t="shared" si="48"/>
        <v>1</v>
      </c>
      <c r="AK253" s="791">
        <f t="shared" si="48"/>
        <v>2</v>
      </c>
      <c r="AL253" s="791">
        <f t="shared" si="48"/>
        <v>2</v>
      </c>
      <c r="AM253" s="791">
        <f t="shared" si="48"/>
        <v>2</v>
      </c>
      <c r="AN253" s="791">
        <f t="shared" si="48"/>
        <v>2</v>
      </c>
      <c r="AO253" s="791">
        <f t="shared" si="48"/>
        <v>0</v>
      </c>
      <c r="AP253" s="791">
        <f t="shared" si="48"/>
        <v>2</v>
      </c>
      <c r="AQ253" s="791">
        <f t="shared" si="48"/>
        <v>2</v>
      </c>
      <c r="AR253" s="791">
        <f t="shared" si="48"/>
        <v>2</v>
      </c>
      <c r="AS253" s="791">
        <f t="shared" si="48"/>
        <v>2</v>
      </c>
      <c r="AT253" s="791">
        <f t="shared" si="48"/>
        <v>2</v>
      </c>
      <c r="AU253" s="791">
        <f t="shared" si="48"/>
        <v>2</v>
      </c>
      <c r="AV253" s="791">
        <f t="shared" si="48"/>
        <v>2</v>
      </c>
      <c r="AW253" s="791">
        <f t="shared" si="48"/>
        <v>3</v>
      </c>
      <c r="AX253" s="791">
        <f t="shared" si="48"/>
        <v>1</v>
      </c>
      <c r="AY253" s="791">
        <f t="shared" si="48"/>
        <v>2</v>
      </c>
      <c r="AZ253" s="791">
        <f t="shared" si="48"/>
        <v>2</v>
      </c>
      <c r="BA253" s="791">
        <f t="shared" si="48"/>
        <v>2</v>
      </c>
      <c r="BB253" s="791">
        <f t="shared" si="48"/>
        <v>2</v>
      </c>
      <c r="BC253" s="791">
        <f t="shared" si="48"/>
        <v>2</v>
      </c>
      <c r="BD253" s="791">
        <f t="shared" si="48"/>
        <v>2</v>
      </c>
      <c r="BE253" s="791">
        <f t="shared" si="48"/>
        <v>2</v>
      </c>
      <c r="BF253" s="791">
        <f t="shared" si="48"/>
        <v>2</v>
      </c>
      <c r="BG253" s="791">
        <f t="shared" si="48"/>
        <v>2</v>
      </c>
      <c r="BH253" s="791">
        <f t="shared" si="48"/>
        <v>2</v>
      </c>
      <c r="BI253" s="791">
        <f t="shared" si="48"/>
        <v>2</v>
      </c>
      <c r="BJ253" s="791">
        <f t="shared" si="48"/>
        <v>2</v>
      </c>
      <c r="BK253" s="791">
        <f t="shared" si="48"/>
        <v>2</v>
      </c>
      <c r="BL253" s="791">
        <f t="shared" si="48"/>
        <v>3</v>
      </c>
      <c r="BM253" s="791">
        <f t="shared" si="48"/>
        <v>2</v>
      </c>
      <c r="BN253" s="791">
        <f t="shared" ref="BN253:CX253" si="49">BN179</f>
        <v>2</v>
      </c>
      <c r="BO253" s="791">
        <f t="shared" si="49"/>
        <v>3</v>
      </c>
      <c r="BP253" s="791">
        <f t="shared" si="49"/>
        <v>2</v>
      </c>
      <c r="BQ253" s="791">
        <f t="shared" si="49"/>
        <v>2</v>
      </c>
      <c r="BR253" s="791">
        <f t="shared" si="49"/>
        <v>2</v>
      </c>
      <c r="BS253" s="791">
        <f t="shared" si="49"/>
        <v>2</v>
      </c>
      <c r="BT253" s="791">
        <f t="shared" si="49"/>
        <v>2</v>
      </c>
      <c r="BU253" s="791">
        <f t="shared" si="49"/>
        <v>2</v>
      </c>
      <c r="BV253" s="791">
        <f t="shared" si="49"/>
        <v>2</v>
      </c>
      <c r="BW253" s="791">
        <f t="shared" si="49"/>
        <v>2</v>
      </c>
      <c r="BX253" s="791">
        <f t="shared" si="49"/>
        <v>2</v>
      </c>
      <c r="BY253" s="791">
        <f t="shared" si="49"/>
        <v>2</v>
      </c>
      <c r="BZ253" s="791">
        <f t="shared" si="49"/>
        <v>2</v>
      </c>
      <c r="CA253" s="791">
        <f t="shared" si="49"/>
        <v>2</v>
      </c>
      <c r="CB253" s="791">
        <f t="shared" si="49"/>
        <v>2</v>
      </c>
      <c r="CC253" s="791">
        <f t="shared" si="49"/>
        <v>2</v>
      </c>
      <c r="CD253" s="791">
        <f t="shared" si="49"/>
        <v>2</v>
      </c>
      <c r="CE253" s="791">
        <f t="shared" si="49"/>
        <v>2</v>
      </c>
      <c r="CF253" s="791">
        <f t="shared" si="49"/>
        <v>2</v>
      </c>
      <c r="CG253" s="791">
        <f t="shared" si="49"/>
        <v>2</v>
      </c>
      <c r="CH253" s="791">
        <f t="shared" si="49"/>
        <v>3</v>
      </c>
      <c r="CI253" s="791">
        <f t="shared" si="49"/>
        <v>2</v>
      </c>
      <c r="CJ253" s="791">
        <f t="shared" si="49"/>
        <v>2</v>
      </c>
      <c r="CK253" s="791">
        <f t="shared" si="49"/>
        <v>2</v>
      </c>
      <c r="CL253" s="791">
        <f t="shared" si="49"/>
        <v>2</v>
      </c>
      <c r="CM253" s="791">
        <f t="shared" si="49"/>
        <v>2</v>
      </c>
      <c r="CN253" s="791">
        <f t="shared" si="49"/>
        <v>3</v>
      </c>
      <c r="CO253" s="791">
        <f t="shared" si="49"/>
        <v>2</v>
      </c>
      <c r="CP253" s="791">
        <f t="shared" si="49"/>
        <v>2</v>
      </c>
      <c r="CQ253" s="791">
        <f t="shared" si="49"/>
        <v>2</v>
      </c>
      <c r="CR253" s="791">
        <f t="shared" si="49"/>
        <v>2</v>
      </c>
      <c r="CS253" s="791">
        <f t="shared" si="49"/>
        <v>2</v>
      </c>
      <c r="CT253" s="791">
        <f t="shared" si="49"/>
        <v>2</v>
      </c>
      <c r="CU253" s="791">
        <f t="shared" si="49"/>
        <v>3</v>
      </c>
      <c r="CV253" s="791">
        <f t="shared" si="49"/>
        <v>2</v>
      </c>
      <c r="CW253" s="791">
        <f t="shared" si="49"/>
        <v>2</v>
      </c>
      <c r="CX253" s="791">
        <f t="shared" si="49"/>
        <v>2</v>
      </c>
      <c r="CY253" s="791">
        <f t="shared" ref="CY253" si="50">CY179</f>
        <v>2</v>
      </c>
    </row>
    <row r="254" spans="1:103" x14ac:dyDescent="0.3">
      <c r="A254" s="791">
        <f>A180</f>
        <v>975</v>
      </c>
      <c r="B254" s="791" t="str">
        <f t="shared" ref="B254:BM254" si="51">B180</f>
        <v>Does the Performance Indicator Print worksheet in this workbook have a red shaded cell?</v>
      </c>
      <c r="C254" s="791"/>
      <c r="D254" s="791">
        <f t="shared" si="51"/>
        <v>2</v>
      </c>
      <c r="E254" s="791">
        <f t="shared" si="51"/>
        <v>2</v>
      </c>
      <c r="F254" s="791">
        <f t="shared" si="51"/>
        <v>1</v>
      </c>
      <c r="G254" s="791">
        <f t="shared" si="51"/>
        <v>1</v>
      </c>
      <c r="H254" s="791">
        <f t="shared" si="51"/>
        <v>1</v>
      </c>
      <c r="I254" s="791">
        <f t="shared" si="51"/>
        <v>2</v>
      </c>
      <c r="J254" s="791">
        <f t="shared" si="51"/>
        <v>1</v>
      </c>
      <c r="K254" s="791">
        <f t="shared" si="51"/>
        <v>1</v>
      </c>
      <c r="L254" s="791">
        <f t="shared" si="51"/>
        <v>1</v>
      </c>
      <c r="M254" s="791">
        <f t="shared" si="51"/>
        <v>2</v>
      </c>
      <c r="N254" s="791">
        <f t="shared" si="51"/>
        <v>1</v>
      </c>
      <c r="O254" s="791">
        <f t="shared" si="51"/>
        <v>1</v>
      </c>
      <c r="P254" s="791">
        <f t="shared" si="51"/>
        <v>2</v>
      </c>
      <c r="Q254" s="791">
        <f t="shared" si="51"/>
        <v>1</v>
      </c>
      <c r="R254" s="791">
        <f t="shared" si="51"/>
        <v>2</v>
      </c>
      <c r="S254" s="791">
        <f t="shared" si="51"/>
        <v>1</v>
      </c>
      <c r="T254" s="791">
        <f t="shared" si="51"/>
        <v>0</v>
      </c>
      <c r="U254" s="791">
        <f t="shared" si="51"/>
        <v>1</v>
      </c>
      <c r="V254" s="791">
        <f t="shared" si="51"/>
        <v>2</v>
      </c>
      <c r="W254" s="791">
        <f t="shared" si="51"/>
        <v>0</v>
      </c>
      <c r="X254" s="791">
        <f t="shared" si="51"/>
        <v>1</v>
      </c>
      <c r="Y254" s="791">
        <f t="shared" si="51"/>
        <v>1</v>
      </c>
      <c r="Z254" s="791">
        <f t="shared" si="51"/>
        <v>1</v>
      </c>
      <c r="AA254" s="791">
        <f t="shared" si="51"/>
        <v>1</v>
      </c>
      <c r="AB254" s="791">
        <f t="shared" si="51"/>
        <v>2</v>
      </c>
      <c r="AC254" s="791">
        <f t="shared" si="51"/>
        <v>1</v>
      </c>
      <c r="AD254" s="791">
        <f t="shared" si="51"/>
        <v>1</v>
      </c>
      <c r="AE254" s="791">
        <f t="shared" si="51"/>
        <v>1</v>
      </c>
      <c r="AF254" s="791">
        <f t="shared" si="51"/>
        <v>1</v>
      </c>
      <c r="AG254" s="791">
        <f t="shared" si="51"/>
        <v>1</v>
      </c>
      <c r="AH254" s="791">
        <f t="shared" si="51"/>
        <v>2</v>
      </c>
      <c r="AI254" s="791">
        <f t="shared" si="51"/>
        <v>1</v>
      </c>
      <c r="AJ254" s="791">
        <f t="shared" si="51"/>
        <v>1</v>
      </c>
      <c r="AK254" s="791">
        <f t="shared" si="51"/>
        <v>1</v>
      </c>
      <c r="AL254" s="791">
        <f t="shared" si="51"/>
        <v>1</v>
      </c>
      <c r="AM254" s="791">
        <f t="shared" si="51"/>
        <v>2</v>
      </c>
      <c r="AN254" s="791">
        <f t="shared" si="51"/>
        <v>1</v>
      </c>
      <c r="AO254" s="791">
        <f t="shared" si="51"/>
        <v>0</v>
      </c>
      <c r="AP254" s="791">
        <f t="shared" si="51"/>
        <v>1</v>
      </c>
      <c r="AQ254" s="791">
        <f t="shared" si="51"/>
        <v>1</v>
      </c>
      <c r="AR254" s="791">
        <f t="shared" si="51"/>
        <v>2</v>
      </c>
      <c r="AS254" s="791">
        <f t="shared" si="51"/>
        <v>1</v>
      </c>
      <c r="AT254" s="791">
        <f t="shared" si="51"/>
        <v>2</v>
      </c>
      <c r="AU254" s="791">
        <f t="shared" si="51"/>
        <v>1</v>
      </c>
      <c r="AV254" s="791">
        <f t="shared" si="51"/>
        <v>1</v>
      </c>
      <c r="AW254" s="791">
        <f t="shared" si="51"/>
        <v>1</v>
      </c>
      <c r="AX254" s="791">
        <f t="shared" si="51"/>
        <v>1</v>
      </c>
      <c r="AY254" s="791">
        <f t="shared" si="51"/>
        <v>1</v>
      </c>
      <c r="AZ254" s="791">
        <f t="shared" si="51"/>
        <v>2</v>
      </c>
      <c r="BA254" s="791">
        <f t="shared" si="51"/>
        <v>2</v>
      </c>
      <c r="BB254" s="791">
        <f t="shared" si="51"/>
        <v>1</v>
      </c>
      <c r="BC254" s="791">
        <f t="shared" si="51"/>
        <v>2</v>
      </c>
      <c r="BD254" s="791">
        <f t="shared" si="51"/>
        <v>2</v>
      </c>
      <c r="BE254" s="791">
        <f t="shared" si="51"/>
        <v>1</v>
      </c>
      <c r="BF254" s="791">
        <f t="shared" si="51"/>
        <v>2</v>
      </c>
      <c r="BG254" s="791">
        <f t="shared" si="51"/>
        <v>2</v>
      </c>
      <c r="BH254" s="791">
        <f t="shared" si="51"/>
        <v>1</v>
      </c>
      <c r="BI254" s="791">
        <f t="shared" si="51"/>
        <v>1</v>
      </c>
      <c r="BJ254" s="791">
        <f t="shared" si="51"/>
        <v>1</v>
      </c>
      <c r="BK254" s="791">
        <f t="shared" si="51"/>
        <v>1</v>
      </c>
      <c r="BL254" s="791">
        <f t="shared" si="51"/>
        <v>2</v>
      </c>
      <c r="BM254" s="791">
        <f t="shared" si="51"/>
        <v>1</v>
      </c>
      <c r="BN254" s="791">
        <f t="shared" ref="BN254:CX254" si="52">BN180</f>
        <v>1</v>
      </c>
      <c r="BO254" s="791">
        <f t="shared" si="52"/>
        <v>1</v>
      </c>
      <c r="BP254" s="791">
        <f t="shared" si="52"/>
        <v>2</v>
      </c>
      <c r="BQ254" s="791">
        <f t="shared" si="52"/>
        <v>1</v>
      </c>
      <c r="BR254" s="791">
        <f t="shared" si="52"/>
        <v>1</v>
      </c>
      <c r="BS254" s="791">
        <f t="shared" si="52"/>
        <v>2</v>
      </c>
      <c r="BT254" s="791">
        <f t="shared" si="52"/>
        <v>1</v>
      </c>
      <c r="BU254" s="791">
        <f t="shared" si="52"/>
        <v>1</v>
      </c>
      <c r="BV254" s="791">
        <f t="shared" si="52"/>
        <v>1</v>
      </c>
      <c r="BW254" s="791">
        <f t="shared" si="52"/>
        <v>1</v>
      </c>
      <c r="BX254" s="791">
        <f t="shared" si="52"/>
        <v>1</v>
      </c>
      <c r="BY254" s="791">
        <f t="shared" si="52"/>
        <v>1</v>
      </c>
      <c r="BZ254" s="791">
        <f t="shared" si="52"/>
        <v>1</v>
      </c>
      <c r="CA254" s="791">
        <f t="shared" si="52"/>
        <v>2</v>
      </c>
      <c r="CB254" s="791">
        <f t="shared" si="52"/>
        <v>1</v>
      </c>
      <c r="CC254" s="791">
        <f t="shared" si="52"/>
        <v>1</v>
      </c>
      <c r="CD254" s="791">
        <f t="shared" si="52"/>
        <v>1</v>
      </c>
      <c r="CE254" s="791">
        <f t="shared" si="52"/>
        <v>1</v>
      </c>
      <c r="CF254" s="791">
        <f t="shared" si="52"/>
        <v>1</v>
      </c>
      <c r="CG254" s="791">
        <f t="shared" si="52"/>
        <v>1</v>
      </c>
      <c r="CH254" s="791">
        <f t="shared" si="52"/>
        <v>1</v>
      </c>
      <c r="CI254" s="791">
        <f t="shared" si="52"/>
        <v>1</v>
      </c>
      <c r="CJ254" s="791">
        <f t="shared" si="52"/>
        <v>1</v>
      </c>
      <c r="CK254" s="791">
        <f t="shared" si="52"/>
        <v>1</v>
      </c>
      <c r="CL254" s="791">
        <f t="shared" si="52"/>
        <v>1</v>
      </c>
      <c r="CM254" s="791">
        <f t="shared" si="52"/>
        <v>1</v>
      </c>
      <c r="CN254" s="791">
        <f t="shared" si="52"/>
        <v>1</v>
      </c>
      <c r="CO254" s="791">
        <f t="shared" si="52"/>
        <v>2</v>
      </c>
      <c r="CP254" s="791">
        <f t="shared" si="52"/>
        <v>1</v>
      </c>
      <c r="CQ254" s="791">
        <f t="shared" si="52"/>
        <v>1</v>
      </c>
      <c r="CR254" s="791">
        <f t="shared" si="52"/>
        <v>1</v>
      </c>
      <c r="CS254" s="791">
        <f t="shared" si="52"/>
        <v>1</v>
      </c>
      <c r="CT254" s="791">
        <f t="shared" si="52"/>
        <v>1</v>
      </c>
      <c r="CU254" s="791">
        <f t="shared" si="52"/>
        <v>1</v>
      </c>
      <c r="CV254" s="791">
        <f t="shared" si="52"/>
        <v>2</v>
      </c>
      <c r="CW254" s="791">
        <f t="shared" si="52"/>
        <v>2</v>
      </c>
      <c r="CX254" s="791">
        <f t="shared" si="52"/>
        <v>1</v>
      </c>
      <c r="CY254" s="791">
        <f t="shared" ref="CY254" si="53">CY180</f>
        <v>1</v>
      </c>
    </row>
    <row r="255" spans="1:103" s="173" customFormat="1" x14ac:dyDescent="0.3">
      <c r="A255" s="791">
        <f t="shared" ref="A255:B258" si="54">A206</f>
        <v>1068</v>
      </c>
      <c r="B255" s="791" t="str">
        <f t="shared" si="54"/>
        <v>Does the unit have a self-insurance fund?</v>
      </c>
      <c r="C255" s="791"/>
      <c r="D255" s="791">
        <f t="shared" ref="D255:AI255" si="55">D206</f>
        <v>1</v>
      </c>
      <c r="E255" s="791">
        <f t="shared" si="55"/>
        <v>2</v>
      </c>
      <c r="F255" s="791">
        <f t="shared" si="55"/>
        <v>2</v>
      </c>
      <c r="G255" s="791">
        <f t="shared" si="55"/>
        <v>2</v>
      </c>
      <c r="H255" s="791">
        <f t="shared" si="55"/>
        <v>2</v>
      </c>
      <c r="I255" s="791">
        <f t="shared" si="55"/>
        <v>2</v>
      </c>
      <c r="J255" s="791">
        <f t="shared" si="55"/>
        <v>1</v>
      </c>
      <c r="K255" s="791">
        <f t="shared" si="55"/>
        <v>2</v>
      </c>
      <c r="L255" s="791">
        <f t="shared" si="55"/>
        <v>2</v>
      </c>
      <c r="M255" s="791">
        <f t="shared" si="55"/>
        <v>2</v>
      </c>
      <c r="N255" s="791">
        <f t="shared" si="55"/>
        <v>1</v>
      </c>
      <c r="O255" s="791">
        <f t="shared" si="55"/>
        <v>1</v>
      </c>
      <c r="P255" s="791">
        <f t="shared" si="55"/>
        <v>2</v>
      </c>
      <c r="Q255" s="791">
        <f t="shared" si="55"/>
        <v>2</v>
      </c>
      <c r="R255" s="791">
        <f t="shared" si="55"/>
        <v>2</v>
      </c>
      <c r="S255" s="791">
        <f t="shared" si="55"/>
        <v>2</v>
      </c>
      <c r="T255" s="791">
        <f t="shared" si="55"/>
        <v>0</v>
      </c>
      <c r="U255" s="791">
        <f t="shared" si="55"/>
        <v>1</v>
      </c>
      <c r="V255" s="791">
        <f t="shared" si="55"/>
        <v>2</v>
      </c>
      <c r="W255" s="791">
        <f t="shared" si="55"/>
        <v>0</v>
      </c>
      <c r="X255" s="791">
        <f t="shared" si="55"/>
        <v>2</v>
      </c>
      <c r="Y255" s="791">
        <f t="shared" si="55"/>
        <v>2</v>
      </c>
      <c r="Z255" s="791">
        <f t="shared" si="55"/>
        <v>1</v>
      </c>
      <c r="AA255" s="791">
        <f t="shared" si="55"/>
        <v>2</v>
      </c>
      <c r="AB255" s="791">
        <f t="shared" si="55"/>
        <v>1</v>
      </c>
      <c r="AC255" s="791">
        <f t="shared" si="55"/>
        <v>1</v>
      </c>
      <c r="AD255" s="791">
        <f t="shared" si="55"/>
        <v>2</v>
      </c>
      <c r="AE255" s="791">
        <f t="shared" si="55"/>
        <v>1</v>
      </c>
      <c r="AF255" s="791">
        <f t="shared" si="55"/>
        <v>1</v>
      </c>
      <c r="AG255" s="791">
        <f t="shared" si="55"/>
        <v>1</v>
      </c>
      <c r="AH255" s="791">
        <f t="shared" si="55"/>
        <v>1</v>
      </c>
      <c r="AI255" s="791">
        <f t="shared" si="55"/>
        <v>1</v>
      </c>
      <c r="AJ255" s="791">
        <f t="shared" ref="AJ255:BM255" si="56">AJ206</f>
        <v>1</v>
      </c>
      <c r="AK255" s="791">
        <f t="shared" si="56"/>
        <v>1</v>
      </c>
      <c r="AL255" s="791">
        <f t="shared" si="56"/>
        <v>1</v>
      </c>
      <c r="AM255" s="791">
        <f t="shared" si="56"/>
        <v>1</v>
      </c>
      <c r="AN255" s="791">
        <f t="shared" si="56"/>
        <v>2</v>
      </c>
      <c r="AO255" s="791">
        <f t="shared" si="56"/>
        <v>0</v>
      </c>
      <c r="AP255" s="791">
        <f t="shared" si="56"/>
        <v>1</v>
      </c>
      <c r="AQ255" s="791">
        <f t="shared" si="56"/>
        <v>2</v>
      </c>
      <c r="AR255" s="791">
        <f t="shared" si="56"/>
        <v>1</v>
      </c>
      <c r="AS255" s="791">
        <f t="shared" si="56"/>
        <v>1</v>
      </c>
      <c r="AT255" s="791">
        <f t="shared" si="56"/>
        <v>1</v>
      </c>
      <c r="AU255" s="791">
        <f t="shared" si="56"/>
        <v>1</v>
      </c>
      <c r="AV255" s="791">
        <f t="shared" si="56"/>
        <v>1</v>
      </c>
      <c r="AW255" s="791">
        <f t="shared" si="56"/>
        <v>2</v>
      </c>
      <c r="AX255" s="791">
        <f t="shared" si="56"/>
        <v>2</v>
      </c>
      <c r="AY255" s="791">
        <f t="shared" si="56"/>
        <v>2</v>
      </c>
      <c r="AZ255" s="791">
        <f t="shared" si="56"/>
        <v>1</v>
      </c>
      <c r="BA255" s="791">
        <f t="shared" si="56"/>
        <v>1</v>
      </c>
      <c r="BB255" s="791">
        <f t="shared" si="56"/>
        <v>2</v>
      </c>
      <c r="BC255" s="791">
        <f t="shared" si="56"/>
        <v>2</v>
      </c>
      <c r="BD255" s="791">
        <f t="shared" si="56"/>
        <v>1</v>
      </c>
      <c r="BE255" s="791">
        <f t="shared" si="56"/>
        <v>2</v>
      </c>
      <c r="BF255" s="791">
        <f t="shared" si="56"/>
        <v>1</v>
      </c>
      <c r="BG255" s="791">
        <f t="shared" si="56"/>
        <v>1</v>
      </c>
      <c r="BH255" s="791">
        <f t="shared" si="56"/>
        <v>2</v>
      </c>
      <c r="BI255" s="791">
        <f t="shared" si="56"/>
        <v>2</v>
      </c>
      <c r="BJ255" s="791">
        <f t="shared" si="56"/>
        <v>1</v>
      </c>
      <c r="BK255" s="791">
        <f t="shared" si="56"/>
        <v>1</v>
      </c>
      <c r="BL255" s="791">
        <f t="shared" si="56"/>
        <v>2</v>
      </c>
      <c r="BM255" s="791">
        <f t="shared" si="56"/>
        <v>2</v>
      </c>
      <c r="BN255" s="791">
        <f t="shared" ref="BN255:CX258" si="57">BN206</f>
        <v>1</v>
      </c>
      <c r="BO255" s="791">
        <f t="shared" si="57"/>
        <v>1</v>
      </c>
      <c r="BP255" s="791">
        <f t="shared" si="57"/>
        <v>2</v>
      </c>
      <c r="BQ255" s="791">
        <f t="shared" si="57"/>
        <v>2</v>
      </c>
      <c r="BR255" s="791">
        <f t="shared" si="57"/>
        <v>2</v>
      </c>
      <c r="BS255" s="791">
        <f t="shared" si="57"/>
        <v>1</v>
      </c>
      <c r="BT255" s="791">
        <f t="shared" si="57"/>
        <v>2</v>
      </c>
      <c r="BU255" s="791">
        <f t="shared" si="57"/>
        <v>2</v>
      </c>
      <c r="BV255" s="791">
        <f t="shared" si="57"/>
        <v>2</v>
      </c>
      <c r="BW255" s="791">
        <f t="shared" si="57"/>
        <v>2</v>
      </c>
      <c r="BX255" s="791">
        <f t="shared" si="57"/>
        <v>1</v>
      </c>
      <c r="BY255" s="791">
        <f t="shared" si="57"/>
        <v>1</v>
      </c>
      <c r="BZ255" s="791">
        <f t="shared" si="57"/>
        <v>2</v>
      </c>
      <c r="CA255" s="791">
        <f t="shared" si="57"/>
        <v>2</v>
      </c>
      <c r="CB255" s="791">
        <f t="shared" si="57"/>
        <v>2</v>
      </c>
      <c r="CC255" s="791">
        <f t="shared" si="57"/>
        <v>2</v>
      </c>
      <c r="CD255" s="791">
        <f t="shared" si="57"/>
        <v>1</v>
      </c>
      <c r="CE255" s="791">
        <f t="shared" si="57"/>
        <v>1</v>
      </c>
      <c r="CF255" s="791">
        <f t="shared" si="57"/>
        <v>2</v>
      </c>
      <c r="CG255" s="791">
        <f t="shared" si="57"/>
        <v>2</v>
      </c>
      <c r="CH255" s="791">
        <f t="shared" si="57"/>
        <v>2</v>
      </c>
      <c r="CI255" s="791">
        <f t="shared" si="57"/>
        <v>1</v>
      </c>
      <c r="CJ255" s="791">
        <f t="shared" si="57"/>
        <v>2</v>
      </c>
      <c r="CK255" s="791">
        <f t="shared" si="57"/>
        <v>2</v>
      </c>
      <c r="CL255" s="791">
        <f t="shared" si="57"/>
        <v>2</v>
      </c>
      <c r="CM255" s="791">
        <f t="shared" si="57"/>
        <v>1</v>
      </c>
      <c r="CN255" s="791">
        <f t="shared" si="57"/>
        <v>2</v>
      </c>
      <c r="CO255" s="791">
        <f t="shared" si="57"/>
        <v>1</v>
      </c>
      <c r="CP255" s="791">
        <f t="shared" si="57"/>
        <v>2</v>
      </c>
      <c r="CQ255" s="791">
        <f t="shared" si="57"/>
        <v>1</v>
      </c>
      <c r="CR255" s="791">
        <f t="shared" si="57"/>
        <v>1</v>
      </c>
      <c r="CS255" s="791">
        <f t="shared" si="57"/>
        <v>2</v>
      </c>
      <c r="CT255" s="791">
        <f t="shared" si="57"/>
        <v>2</v>
      </c>
      <c r="CU255" s="791">
        <f t="shared" si="57"/>
        <v>1</v>
      </c>
      <c r="CV255" s="791">
        <f t="shared" si="57"/>
        <v>2</v>
      </c>
      <c r="CW255" s="791">
        <f t="shared" si="57"/>
        <v>1</v>
      </c>
      <c r="CX255" s="791">
        <f t="shared" si="57"/>
        <v>1</v>
      </c>
      <c r="CY255" s="791">
        <f t="shared" ref="CY255" si="58">CY206</f>
        <v>2</v>
      </c>
    </row>
    <row r="256" spans="1:103" s="173" customFormat="1" x14ac:dyDescent="0.3">
      <c r="A256" s="791">
        <f t="shared" si="54"/>
        <v>1069</v>
      </c>
      <c r="B256" s="791" t="str">
        <f t="shared" si="54"/>
        <v>If the unit is self-insured for employee health care, does the unit use a qualified consultant to establish rates and appropriate reserve levels?</v>
      </c>
      <c r="C256" s="791"/>
      <c r="D256" s="791">
        <f t="shared" ref="D256:AI256" si="59">D207</f>
        <v>1</v>
      </c>
      <c r="E256" s="791">
        <f t="shared" si="59"/>
        <v>3</v>
      </c>
      <c r="F256" s="791">
        <f t="shared" si="59"/>
        <v>3</v>
      </c>
      <c r="G256" s="791">
        <f t="shared" si="59"/>
        <v>3</v>
      </c>
      <c r="H256" s="791">
        <f t="shared" si="59"/>
        <v>2</v>
      </c>
      <c r="I256" s="791">
        <f t="shared" si="59"/>
        <v>3</v>
      </c>
      <c r="J256" s="791">
        <f t="shared" si="59"/>
        <v>3</v>
      </c>
      <c r="K256" s="791">
        <f t="shared" si="59"/>
        <v>3</v>
      </c>
      <c r="L256" s="791">
        <f t="shared" si="59"/>
        <v>3</v>
      </c>
      <c r="M256" s="791">
        <f t="shared" si="59"/>
        <v>3</v>
      </c>
      <c r="N256" s="791">
        <f t="shared" si="59"/>
        <v>1</v>
      </c>
      <c r="O256" s="791">
        <f t="shared" si="59"/>
        <v>1</v>
      </c>
      <c r="P256" s="791">
        <f t="shared" si="59"/>
        <v>3</v>
      </c>
      <c r="Q256" s="791">
        <f t="shared" si="59"/>
        <v>3</v>
      </c>
      <c r="R256" s="791">
        <f t="shared" si="59"/>
        <v>2</v>
      </c>
      <c r="S256" s="791">
        <f t="shared" si="59"/>
        <v>3</v>
      </c>
      <c r="T256" s="791">
        <f t="shared" si="59"/>
        <v>0</v>
      </c>
      <c r="U256" s="791">
        <f t="shared" si="59"/>
        <v>1</v>
      </c>
      <c r="V256" s="791">
        <f t="shared" si="59"/>
        <v>3</v>
      </c>
      <c r="W256" s="791">
        <f t="shared" si="59"/>
        <v>0</v>
      </c>
      <c r="X256" s="791">
        <f t="shared" si="59"/>
        <v>2</v>
      </c>
      <c r="Y256" s="791">
        <f t="shared" si="59"/>
        <v>3</v>
      </c>
      <c r="Z256" s="791">
        <f t="shared" si="59"/>
        <v>1</v>
      </c>
      <c r="AA256" s="791">
        <f t="shared" si="59"/>
        <v>3</v>
      </c>
      <c r="AB256" s="791">
        <f t="shared" si="59"/>
        <v>1</v>
      </c>
      <c r="AC256" s="791">
        <f t="shared" si="59"/>
        <v>1</v>
      </c>
      <c r="AD256" s="791">
        <f t="shared" si="59"/>
        <v>3</v>
      </c>
      <c r="AE256" s="791">
        <f t="shared" si="59"/>
        <v>1</v>
      </c>
      <c r="AF256" s="791">
        <f t="shared" si="59"/>
        <v>1</v>
      </c>
      <c r="AG256" s="791">
        <f t="shared" si="59"/>
        <v>1</v>
      </c>
      <c r="AH256" s="791">
        <f t="shared" si="59"/>
        <v>1</v>
      </c>
      <c r="AI256" s="791">
        <f t="shared" si="59"/>
        <v>3</v>
      </c>
      <c r="AJ256" s="791">
        <f t="shared" ref="AJ256:BM256" si="60">AJ207</f>
        <v>1</v>
      </c>
      <c r="AK256" s="791">
        <f t="shared" si="60"/>
        <v>1</v>
      </c>
      <c r="AL256" s="791">
        <f t="shared" si="60"/>
        <v>1</v>
      </c>
      <c r="AM256" s="791">
        <f t="shared" si="60"/>
        <v>1</v>
      </c>
      <c r="AN256" s="791">
        <f t="shared" si="60"/>
        <v>3</v>
      </c>
      <c r="AO256" s="791">
        <f t="shared" si="60"/>
        <v>0</v>
      </c>
      <c r="AP256" s="791">
        <f t="shared" si="60"/>
        <v>1</v>
      </c>
      <c r="AQ256" s="791">
        <f t="shared" si="60"/>
        <v>3</v>
      </c>
      <c r="AR256" s="791">
        <f t="shared" si="60"/>
        <v>3</v>
      </c>
      <c r="AS256" s="791">
        <f t="shared" si="60"/>
        <v>1</v>
      </c>
      <c r="AT256" s="791">
        <f t="shared" si="60"/>
        <v>1</v>
      </c>
      <c r="AU256" s="791">
        <f t="shared" si="60"/>
        <v>2</v>
      </c>
      <c r="AV256" s="791">
        <f t="shared" si="60"/>
        <v>1</v>
      </c>
      <c r="AW256" s="791">
        <f t="shared" si="60"/>
        <v>3</v>
      </c>
      <c r="AX256" s="791">
        <f t="shared" si="60"/>
        <v>3</v>
      </c>
      <c r="AY256" s="791">
        <f t="shared" si="60"/>
        <v>3</v>
      </c>
      <c r="AZ256" s="791">
        <f t="shared" si="60"/>
        <v>1</v>
      </c>
      <c r="BA256" s="791">
        <f t="shared" si="60"/>
        <v>1</v>
      </c>
      <c r="BB256" s="791">
        <f t="shared" si="60"/>
        <v>1</v>
      </c>
      <c r="BC256" s="791">
        <f t="shared" si="60"/>
        <v>2</v>
      </c>
      <c r="BD256" s="791">
        <f t="shared" si="60"/>
        <v>1</v>
      </c>
      <c r="BE256" s="791">
        <f t="shared" si="60"/>
        <v>2</v>
      </c>
      <c r="BF256" s="791">
        <f t="shared" si="60"/>
        <v>1</v>
      </c>
      <c r="BG256" s="791">
        <f t="shared" si="60"/>
        <v>1</v>
      </c>
      <c r="BH256" s="791">
        <f t="shared" si="60"/>
        <v>2</v>
      </c>
      <c r="BI256" s="791">
        <f t="shared" si="60"/>
        <v>2</v>
      </c>
      <c r="BJ256" s="791">
        <f t="shared" si="60"/>
        <v>1</v>
      </c>
      <c r="BK256" s="791">
        <f t="shared" si="60"/>
        <v>2</v>
      </c>
      <c r="BL256" s="791">
        <f t="shared" si="60"/>
        <v>3</v>
      </c>
      <c r="BM256" s="791">
        <f t="shared" si="60"/>
        <v>3</v>
      </c>
      <c r="BN256" s="791">
        <f t="shared" si="57"/>
        <v>1</v>
      </c>
      <c r="BO256" s="791">
        <f t="shared" si="57"/>
        <v>1</v>
      </c>
      <c r="BP256" s="791">
        <f t="shared" si="57"/>
        <v>1</v>
      </c>
      <c r="BQ256" s="791">
        <f t="shared" si="57"/>
        <v>2</v>
      </c>
      <c r="BR256" s="791">
        <f t="shared" si="57"/>
        <v>3</v>
      </c>
      <c r="BS256" s="791">
        <f t="shared" si="57"/>
        <v>1</v>
      </c>
      <c r="BT256" s="791">
        <f t="shared" si="57"/>
        <v>3</v>
      </c>
      <c r="BU256" s="791">
        <f t="shared" si="57"/>
        <v>2</v>
      </c>
      <c r="BV256" s="791">
        <f t="shared" si="57"/>
        <v>3</v>
      </c>
      <c r="BW256" s="791">
        <f t="shared" si="57"/>
        <v>2</v>
      </c>
      <c r="BX256" s="791">
        <f t="shared" si="57"/>
        <v>1</v>
      </c>
      <c r="BY256" s="791">
        <f t="shared" si="57"/>
        <v>1</v>
      </c>
      <c r="BZ256" s="791">
        <f t="shared" si="57"/>
        <v>3</v>
      </c>
      <c r="CA256" s="791">
        <f t="shared" si="57"/>
        <v>3</v>
      </c>
      <c r="CB256" s="791">
        <f t="shared" si="57"/>
        <v>3</v>
      </c>
      <c r="CC256" s="791">
        <f t="shared" si="57"/>
        <v>2</v>
      </c>
      <c r="CD256" s="791">
        <f t="shared" si="57"/>
        <v>1</v>
      </c>
      <c r="CE256" s="791">
        <f t="shared" si="57"/>
        <v>1</v>
      </c>
      <c r="CF256" s="791">
        <f t="shared" si="57"/>
        <v>3</v>
      </c>
      <c r="CG256" s="791">
        <f t="shared" si="57"/>
        <v>3</v>
      </c>
      <c r="CH256" s="791">
        <f t="shared" si="57"/>
        <v>3</v>
      </c>
      <c r="CI256" s="791">
        <f t="shared" si="57"/>
        <v>1</v>
      </c>
      <c r="CJ256" s="791">
        <f t="shared" si="57"/>
        <v>1</v>
      </c>
      <c r="CK256" s="791">
        <f t="shared" si="57"/>
        <v>3</v>
      </c>
      <c r="CL256" s="791">
        <f t="shared" si="57"/>
        <v>3</v>
      </c>
      <c r="CM256" s="791">
        <f t="shared" si="57"/>
        <v>1</v>
      </c>
      <c r="CN256" s="791">
        <f t="shared" si="57"/>
        <v>2</v>
      </c>
      <c r="CO256" s="791">
        <f t="shared" si="57"/>
        <v>1</v>
      </c>
      <c r="CP256" s="791">
        <f t="shared" si="57"/>
        <v>3</v>
      </c>
      <c r="CQ256" s="791">
        <f t="shared" si="57"/>
        <v>1</v>
      </c>
      <c r="CR256" s="791">
        <f t="shared" si="57"/>
        <v>1</v>
      </c>
      <c r="CS256" s="791">
        <f t="shared" si="57"/>
        <v>3</v>
      </c>
      <c r="CT256" s="791">
        <f t="shared" si="57"/>
        <v>3</v>
      </c>
      <c r="CU256" s="791">
        <f t="shared" si="57"/>
        <v>1</v>
      </c>
      <c r="CV256" s="791">
        <f t="shared" si="57"/>
        <v>1</v>
      </c>
      <c r="CW256" s="791">
        <f t="shared" si="57"/>
        <v>1</v>
      </c>
      <c r="CX256" s="791">
        <f t="shared" si="57"/>
        <v>1</v>
      </c>
      <c r="CY256" s="791">
        <f t="shared" ref="CY256" si="61">CY207</f>
        <v>3</v>
      </c>
    </row>
    <row r="257" spans="1:103" s="173" customFormat="1" x14ac:dyDescent="0.3">
      <c r="A257" s="791">
        <f t="shared" si="54"/>
        <v>1070</v>
      </c>
      <c r="B257" s="791" t="str">
        <f t="shared" si="54"/>
        <v>Does the Unit have a non-state administrered pension plan?</v>
      </c>
      <c r="C257" s="791"/>
      <c r="D257" s="791">
        <f t="shared" ref="D257:AI257" si="62">D208</f>
        <v>2</v>
      </c>
      <c r="E257" s="791">
        <f t="shared" si="62"/>
        <v>2</v>
      </c>
      <c r="F257" s="791">
        <f t="shared" si="62"/>
        <v>2</v>
      </c>
      <c r="G257" s="791">
        <f t="shared" si="62"/>
        <v>2</v>
      </c>
      <c r="H257" s="791">
        <f t="shared" si="62"/>
        <v>2</v>
      </c>
      <c r="I257" s="791">
        <f t="shared" si="62"/>
        <v>2</v>
      </c>
      <c r="J257" s="791">
        <f t="shared" si="62"/>
        <v>2</v>
      </c>
      <c r="K257" s="791">
        <f t="shared" si="62"/>
        <v>2</v>
      </c>
      <c r="L257" s="791">
        <f t="shared" si="62"/>
        <v>2</v>
      </c>
      <c r="M257" s="791">
        <f t="shared" si="62"/>
        <v>2</v>
      </c>
      <c r="N257" s="791">
        <f t="shared" si="62"/>
        <v>2</v>
      </c>
      <c r="O257" s="791">
        <f t="shared" si="62"/>
        <v>2</v>
      </c>
      <c r="P257" s="791">
        <f t="shared" si="62"/>
        <v>2</v>
      </c>
      <c r="Q257" s="791">
        <f t="shared" si="62"/>
        <v>2</v>
      </c>
      <c r="R257" s="791">
        <f t="shared" si="62"/>
        <v>2</v>
      </c>
      <c r="S257" s="791">
        <f t="shared" si="62"/>
        <v>2</v>
      </c>
      <c r="T257" s="791">
        <f t="shared" si="62"/>
        <v>0</v>
      </c>
      <c r="U257" s="791">
        <f t="shared" si="62"/>
        <v>2</v>
      </c>
      <c r="V257" s="791">
        <f t="shared" si="62"/>
        <v>2</v>
      </c>
      <c r="W257" s="791">
        <f t="shared" si="62"/>
        <v>0</v>
      </c>
      <c r="X257" s="791">
        <f t="shared" si="62"/>
        <v>2</v>
      </c>
      <c r="Y257" s="791">
        <f t="shared" si="62"/>
        <v>2</v>
      </c>
      <c r="Z257" s="791">
        <f t="shared" si="62"/>
        <v>2</v>
      </c>
      <c r="AA257" s="791">
        <f t="shared" si="62"/>
        <v>2</v>
      </c>
      <c r="AB257" s="791">
        <f t="shared" si="62"/>
        <v>2</v>
      </c>
      <c r="AC257" s="791">
        <f t="shared" si="62"/>
        <v>2</v>
      </c>
      <c r="AD257" s="791">
        <f t="shared" si="62"/>
        <v>2</v>
      </c>
      <c r="AE257" s="791">
        <f t="shared" si="62"/>
        <v>2</v>
      </c>
      <c r="AF257" s="791">
        <f t="shared" si="62"/>
        <v>2</v>
      </c>
      <c r="AG257" s="791">
        <f t="shared" si="62"/>
        <v>2</v>
      </c>
      <c r="AH257" s="791">
        <f t="shared" si="62"/>
        <v>2</v>
      </c>
      <c r="AI257" s="791">
        <f t="shared" si="62"/>
        <v>2</v>
      </c>
      <c r="AJ257" s="791">
        <f t="shared" ref="AJ257:BM257" si="63">AJ208</f>
        <v>2</v>
      </c>
      <c r="AK257" s="791">
        <f t="shared" si="63"/>
        <v>2</v>
      </c>
      <c r="AL257" s="791">
        <f t="shared" si="63"/>
        <v>1</v>
      </c>
      <c r="AM257" s="791">
        <f t="shared" si="63"/>
        <v>2</v>
      </c>
      <c r="AN257" s="791">
        <f t="shared" si="63"/>
        <v>2</v>
      </c>
      <c r="AO257" s="791">
        <f t="shared" si="63"/>
        <v>0</v>
      </c>
      <c r="AP257" s="791">
        <f t="shared" si="63"/>
        <v>2</v>
      </c>
      <c r="AQ257" s="791">
        <f t="shared" si="63"/>
        <v>2</v>
      </c>
      <c r="AR257" s="791">
        <f t="shared" si="63"/>
        <v>2</v>
      </c>
      <c r="AS257" s="791">
        <f t="shared" si="63"/>
        <v>2</v>
      </c>
      <c r="AT257" s="791">
        <f t="shared" si="63"/>
        <v>2</v>
      </c>
      <c r="AU257" s="791">
        <f t="shared" si="63"/>
        <v>2</v>
      </c>
      <c r="AV257" s="791">
        <f t="shared" si="63"/>
        <v>1</v>
      </c>
      <c r="AW257" s="791">
        <f t="shared" si="63"/>
        <v>2</v>
      </c>
      <c r="AX257" s="791">
        <f t="shared" si="63"/>
        <v>2</v>
      </c>
      <c r="AY257" s="791">
        <f t="shared" si="63"/>
        <v>2</v>
      </c>
      <c r="AZ257" s="791">
        <f t="shared" si="63"/>
        <v>2</v>
      </c>
      <c r="BA257" s="791">
        <f t="shared" si="63"/>
        <v>2</v>
      </c>
      <c r="BB257" s="791">
        <f t="shared" si="63"/>
        <v>2</v>
      </c>
      <c r="BC257" s="791">
        <f t="shared" si="63"/>
        <v>2</v>
      </c>
      <c r="BD257" s="791">
        <f t="shared" si="63"/>
        <v>2</v>
      </c>
      <c r="BE257" s="791">
        <f t="shared" si="63"/>
        <v>2</v>
      </c>
      <c r="BF257" s="791">
        <f t="shared" si="63"/>
        <v>2</v>
      </c>
      <c r="BG257" s="791">
        <f t="shared" si="63"/>
        <v>2</v>
      </c>
      <c r="BH257" s="791">
        <f t="shared" si="63"/>
        <v>2</v>
      </c>
      <c r="BI257" s="791">
        <f t="shared" si="63"/>
        <v>2</v>
      </c>
      <c r="BJ257" s="791">
        <f t="shared" si="63"/>
        <v>2</v>
      </c>
      <c r="BK257" s="791">
        <f t="shared" si="63"/>
        <v>1</v>
      </c>
      <c r="BL257" s="791">
        <f t="shared" si="63"/>
        <v>2</v>
      </c>
      <c r="BM257" s="791">
        <f t="shared" si="63"/>
        <v>2</v>
      </c>
      <c r="BN257" s="791">
        <f t="shared" si="57"/>
        <v>2</v>
      </c>
      <c r="BO257" s="791">
        <f t="shared" si="57"/>
        <v>2</v>
      </c>
      <c r="BP257" s="791">
        <f t="shared" si="57"/>
        <v>1</v>
      </c>
      <c r="BQ257" s="791">
        <f t="shared" si="57"/>
        <v>2</v>
      </c>
      <c r="BR257" s="791">
        <f t="shared" si="57"/>
        <v>2</v>
      </c>
      <c r="BS257" s="791">
        <f t="shared" si="57"/>
        <v>2</v>
      </c>
      <c r="BT257" s="791">
        <f t="shared" si="57"/>
        <v>2</v>
      </c>
      <c r="BU257" s="791">
        <f t="shared" si="57"/>
        <v>2</v>
      </c>
      <c r="BV257" s="791">
        <f t="shared" si="57"/>
        <v>2</v>
      </c>
      <c r="BW257" s="791">
        <f t="shared" si="57"/>
        <v>2</v>
      </c>
      <c r="BX257" s="791">
        <f t="shared" si="57"/>
        <v>2</v>
      </c>
      <c r="BY257" s="791">
        <f t="shared" si="57"/>
        <v>2</v>
      </c>
      <c r="BZ257" s="791">
        <f t="shared" si="57"/>
        <v>2</v>
      </c>
      <c r="CA257" s="791">
        <f t="shared" si="57"/>
        <v>2</v>
      </c>
      <c r="CB257" s="791">
        <f t="shared" si="57"/>
        <v>2</v>
      </c>
      <c r="CC257" s="791">
        <f t="shared" si="57"/>
        <v>2</v>
      </c>
      <c r="CD257" s="791">
        <f t="shared" si="57"/>
        <v>2</v>
      </c>
      <c r="CE257" s="791">
        <f t="shared" si="57"/>
        <v>2</v>
      </c>
      <c r="CF257" s="791">
        <f t="shared" si="57"/>
        <v>2</v>
      </c>
      <c r="CG257" s="791">
        <f t="shared" si="57"/>
        <v>2</v>
      </c>
      <c r="CH257" s="791">
        <f t="shared" si="57"/>
        <v>2</v>
      </c>
      <c r="CI257" s="791">
        <f t="shared" si="57"/>
        <v>2</v>
      </c>
      <c r="CJ257" s="791">
        <f t="shared" si="57"/>
        <v>2</v>
      </c>
      <c r="CK257" s="791">
        <f t="shared" si="57"/>
        <v>2</v>
      </c>
      <c r="CL257" s="791">
        <f t="shared" si="57"/>
        <v>2</v>
      </c>
      <c r="CM257" s="791">
        <f t="shared" si="57"/>
        <v>2</v>
      </c>
      <c r="CN257" s="791">
        <f t="shared" si="57"/>
        <v>2</v>
      </c>
      <c r="CO257" s="791">
        <f t="shared" si="57"/>
        <v>2</v>
      </c>
      <c r="CP257" s="791">
        <f t="shared" si="57"/>
        <v>2</v>
      </c>
      <c r="CQ257" s="791">
        <f t="shared" si="57"/>
        <v>2</v>
      </c>
      <c r="CR257" s="791">
        <f t="shared" si="57"/>
        <v>2</v>
      </c>
      <c r="CS257" s="791">
        <f t="shared" si="57"/>
        <v>2</v>
      </c>
      <c r="CT257" s="791">
        <f t="shared" si="57"/>
        <v>2</v>
      </c>
      <c r="CU257" s="791">
        <f t="shared" si="57"/>
        <v>2</v>
      </c>
      <c r="CV257" s="791">
        <f t="shared" si="57"/>
        <v>2</v>
      </c>
      <c r="CW257" s="791">
        <f t="shared" si="57"/>
        <v>2</v>
      </c>
      <c r="CX257" s="791">
        <f t="shared" si="57"/>
        <v>2</v>
      </c>
      <c r="CY257" s="791">
        <f t="shared" ref="CY257" si="64">CY208</f>
        <v>2</v>
      </c>
    </row>
    <row r="258" spans="1:103" s="173" customFormat="1" x14ac:dyDescent="0.3">
      <c r="A258" s="791">
        <f t="shared" si="54"/>
        <v>1071</v>
      </c>
      <c r="B258" s="791" t="str">
        <f t="shared" si="54"/>
        <v>Please list the amount of ARPA funds expended in total this fiscal year for non-capital purposes.  Enter "zero" if no ARPA funds expended for this fiscal year for non-capital purposes.</v>
      </c>
      <c r="C258" s="791"/>
      <c r="D258" s="791">
        <f t="shared" ref="D258:AI258" si="65">D209</f>
        <v>158222</v>
      </c>
      <c r="E258" s="791">
        <f t="shared" si="65"/>
        <v>92584</v>
      </c>
      <c r="F258" s="791">
        <f t="shared" si="65"/>
        <v>1081616</v>
      </c>
      <c r="G258" s="791">
        <f t="shared" si="65"/>
        <v>4748349</v>
      </c>
      <c r="H258" s="791">
        <f t="shared" si="65"/>
        <v>4819185</v>
      </c>
      <c r="I258" s="791">
        <f t="shared" si="65"/>
        <v>99253</v>
      </c>
      <c r="J258" s="791">
        <f t="shared" si="65"/>
        <v>0</v>
      </c>
      <c r="K258" s="791">
        <f t="shared" si="65"/>
        <v>85001</v>
      </c>
      <c r="L258" s="791">
        <f t="shared" si="65"/>
        <v>749558</v>
      </c>
      <c r="M258" s="791">
        <f t="shared" si="65"/>
        <v>190913</v>
      </c>
      <c r="N258" s="791">
        <f t="shared" si="65"/>
        <v>12518680</v>
      </c>
      <c r="O258" s="791">
        <f t="shared" si="65"/>
        <v>13272388</v>
      </c>
      <c r="P258" s="791">
        <f t="shared" si="65"/>
        <v>8569453</v>
      </c>
      <c r="Q258" s="791">
        <f t="shared" si="65"/>
        <v>1425245</v>
      </c>
      <c r="R258" s="791">
        <f t="shared" si="65"/>
        <v>2150174</v>
      </c>
      <c r="S258" s="791">
        <f t="shared" si="65"/>
        <v>7592042</v>
      </c>
      <c r="T258" s="791">
        <f t="shared" si="65"/>
        <v>0</v>
      </c>
      <c r="U258" s="791">
        <f t="shared" si="65"/>
        <v>2976929</v>
      </c>
      <c r="V258" s="791">
        <f t="shared" si="65"/>
        <v>0</v>
      </c>
      <c r="W258" s="791">
        <f t="shared" si="65"/>
        <v>0</v>
      </c>
      <c r="X258" s="791">
        <f t="shared" si="65"/>
        <v>350000</v>
      </c>
      <c r="Y258" s="791">
        <f t="shared" si="65"/>
        <v>1090745</v>
      </c>
      <c r="Z258" s="791">
        <f t="shared" si="65"/>
        <v>790834</v>
      </c>
      <c r="AA258" s="791">
        <f t="shared" si="65"/>
        <v>1007492</v>
      </c>
      <c r="AB258" s="791">
        <f t="shared" si="65"/>
        <v>4675295</v>
      </c>
      <c r="AC258" s="791">
        <f t="shared" si="65"/>
        <v>18590191</v>
      </c>
      <c r="AD258" s="791">
        <f t="shared" si="65"/>
        <v>5439746</v>
      </c>
      <c r="AE258" s="791">
        <f t="shared" si="65"/>
        <v>0</v>
      </c>
      <c r="AF258" s="791">
        <f t="shared" si="65"/>
        <v>33469928</v>
      </c>
      <c r="AG258" s="791">
        <f t="shared" si="65"/>
        <v>2786886</v>
      </c>
      <c r="AH258" s="791">
        <f t="shared" si="65"/>
        <v>9311177</v>
      </c>
      <c r="AI258" s="791">
        <f t="shared" si="65"/>
        <v>468731</v>
      </c>
      <c r="AJ258" s="791">
        <f t="shared" ref="AJ258:BM258" si="66">AJ209</f>
        <v>5926708</v>
      </c>
      <c r="AK258" s="791">
        <f t="shared" si="66"/>
        <v>23096015</v>
      </c>
      <c r="AL258" s="791">
        <f t="shared" si="66"/>
        <v>9528221</v>
      </c>
      <c r="AM258" s="791">
        <f t="shared" si="66"/>
        <v>10256215</v>
      </c>
      <c r="AN258" s="791">
        <f t="shared" si="66"/>
        <v>0</v>
      </c>
      <c r="AO258" s="791">
        <f t="shared" si="66"/>
        <v>0</v>
      </c>
      <c r="AP258" s="791">
        <f t="shared" si="66"/>
        <v>9387820</v>
      </c>
      <c r="AQ258" s="791">
        <f t="shared" si="66"/>
        <v>0</v>
      </c>
      <c r="AR258" s="791">
        <f t="shared" si="66"/>
        <v>28009441</v>
      </c>
      <c r="AS258" s="791">
        <f t="shared" si="66"/>
        <v>7713856</v>
      </c>
      <c r="AT258" s="791">
        <f t="shared" si="66"/>
        <v>1249448</v>
      </c>
      <c r="AU258" s="791">
        <f t="shared" si="66"/>
        <v>5114051</v>
      </c>
      <c r="AV258" s="791">
        <f t="shared" si="66"/>
        <v>0</v>
      </c>
      <c r="AW258" s="791">
        <f t="shared" si="66"/>
        <v>2211267</v>
      </c>
      <c r="AX258" s="791">
        <f t="shared" si="66"/>
        <v>10000000</v>
      </c>
      <c r="AY258" s="791">
        <f t="shared" si="66"/>
        <v>687110</v>
      </c>
      <c r="AZ258" s="791">
        <f t="shared" si="66"/>
        <v>8429993</v>
      </c>
      <c r="BA258" s="791">
        <f t="shared" si="66"/>
        <v>7713847</v>
      </c>
      <c r="BB258" s="791">
        <f t="shared" si="66"/>
        <v>0</v>
      </c>
      <c r="BC258" s="791">
        <f t="shared" si="66"/>
        <v>0</v>
      </c>
      <c r="BD258" s="791">
        <f t="shared" si="66"/>
        <v>6198438</v>
      </c>
      <c r="BE258" s="791">
        <f t="shared" si="66"/>
        <v>3096585</v>
      </c>
      <c r="BF258" s="791">
        <f t="shared" si="66"/>
        <v>10747809</v>
      </c>
      <c r="BG258" s="791">
        <f t="shared" si="66"/>
        <v>1875659</v>
      </c>
      <c r="BH258" s="791">
        <f t="shared" si="66"/>
        <v>2113252</v>
      </c>
      <c r="BI258" s="791">
        <f t="shared" si="66"/>
        <v>0</v>
      </c>
      <c r="BJ258" s="791">
        <f t="shared" si="66"/>
        <v>2778366</v>
      </c>
      <c r="BK258" s="791">
        <f t="shared" si="66"/>
        <v>49673028</v>
      </c>
      <c r="BL258" s="791">
        <f t="shared" si="66"/>
        <v>1227415</v>
      </c>
      <c r="BM258" s="791">
        <f t="shared" si="66"/>
        <v>74502</v>
      </c>
      <c r="BN258" s="791">
        <f t="shared" si="57"/>
        <v>0</v>
      </c>
      <c r="BO258" s="791">
        <f t="shared" si="57"/>
        <v>108405</v>
      </c>
      <c r="BP258" s="791">
        <f t="shared" si="57"/>
        <v>16129911</v>
      </c>
      <c r="BQ258" s="791">
        <f t="shared" si="57"/>
        <v>20000</v>
      </c>
      <c r="BR258" s="791">
        <f t="shared" si="57"/>
        <v>4191776</v>
      </c>
      <c r="BS258" s="791">
        <f t="shared" si="57"/>
        <v>8593260</v>
      </c>
      <c r="BT258" s="791">
        <f t="shared" si="57"/>
        <v>2471876</v>
      </c>
      <c r="BU258" s="791">
        <f t="shared" si="57"/>
        <v>7852068</v>
      </c>
      <c r="BV258" s="791">
        <f t="shared" si="57"/>
        <v>0</v>
      </c>
      <c r="BW258" s="791">
        <f t="shared" si="57"/>
        <v>1307515</v>
      </c>
      <c r="BX258" s="791">
        <f t="shared" si="57"/>
        <v>4920470</v>
      </c>
      <c r="BY258" s="791">
        <f t="shared" si="57"/>
        <v>1578553</v>
      </c>
      <c r="BZ258" s="791">
        <f t="shared" si="57"/>
        <v>0</v>
      </c>
      <c r="CA258" s="791">
        <f t="shared" si="57"/>
        <v>10534299</v>
      </c>
      <c r="CB258" s="791">
        <f t="shared" si="57"/>
        <v>1022573</v>
      </c>
      <c r="CC258" s="791">
        <f t="shared" si="57"/>
        <v>1753105</v>
      </c>
      <c r="CD258" s="791">
        <f t="shared" si="57"/>
        <v>2720835</v>
      </c>
      <c r="CE258" s="791">
        <f t="shared" si="57"/>
        <v>7666718</v>
      </c>
      <c r="CF258" s="791">
        <f t="shared" si="57"/>
        <v>0</v>
      </c>
      <c r="CG258" s="791">
        <f t="shared" si="57"/>
        <v>2000000</v>
      </c>
      <c r="CH258" s="791">
        <f t="shared" si="57"/>
        <v>1289878</v>
      </c>
      <c r="CI258" s="791">
        <f t="shared" si="57"/>
        <v>0</v>
      </c>
      <c r="CJ258" s="791">
        <f t="shared" si="57"/>
        <v>6455517</v>
      </c>
      <c r="CK258" s="791">
        <f t="shared" si="57"/>
        <v>9698821</v>
      </c>
      <c r="CL258" s="791">
        <f t="shared" si="57"/>
        <v>560536</v>
      </c>
      <c r="CM258" s="791">
        <f t="shared" si="57"/>
        <v>2388858</v>
      </c>
      <c r="CN258" s="791">
        <f t="shared" si="57"/>
        <v>0</v>
      </c>
      <c r="CO258" s="791">
        <f t="shared" si="57"/>
        <v>8067480</v>
      </c>
      <c r="CP258" s="791">
        <f t="shared" si="57"/>
        <v>2248202</v>
      </c>
      <c r="CQ258" s="791">
        <f t="shared" si="57"/>
        <v>41953329</v>
      </c>
      <c r="CR258" s="791">
        <f t="shared" si="57"/>
        <v>3807165</v>
      </c>
      <c r="CS258" s="791">
        <f t="shared" si="57"/>
        <v>55097</v>
      </c>
      <c r="CT258" s="791">
        <f t="shared" si="57"/>
        <v>4232480</v>
      </c>
      <c r="CU258" s="791">
        <f t="shared" si="57"/>
        <v>5615676</v>
      </c>
      <c r="CV258" s="791">
        <f t="shared" si="57"/>
        <v>0</v>
      </c>
      <c r="CW258" s="791">
        <f t="shared" si="57"/>
        <v>2055557</v>
      </c>
      <c r="CX258" s="791">
        <f t="shared" si="57"/>
        <v>0</v>
      </c>
      <c r="CY258" s="791">
        <f t="shared" ref="CY258" si="67">CY209</f>
        <v>0</v>
      </c>
    </row>
    <row r="259" spans="1:103" x14ac:dyDescent="0.3">
      <c r="A259" s="703">
        <f t="shared" ref="A259:B262" si="68">A189</f>
        <v>995</v>
      </c>
      <c r="B259" s="703" t="str">
        <f t="shared" si="68"/>
        <v>Units with Electric Operations have $.07, $.08, $.09</v>
      </c>
      <c r="C259" s="703"/>
      <c r="D259" s="703">
        <f t="shared" ref="D259:AI259" si="69">D189</f>
        <v>0</v>
      </c>
      <c r="E259" s="703">
        <f t="shared" si="69"/>
        <v>0</v>
      </c>
      <c r="F259" s="703">
        <f t="shared" si="69"/>
        <v>0</v>
      </c>
      <c r="G259" s="703">
        <f t="shared" si="69"/>
        <v>0</v>
      </c>
      <c r="H259" s="703">
        <f t="shared" si="69"/>
        <v>0</v>
      </c>
      <c r="I259" s="703">
        <f t="shared" si="69"/>
        <v>0</v>
      </c>
      <c r="J259" s="703">
        <f t="shared" si="69"/>
        <v>0</v>
      </c>
      <c r="K259" s="703">
        <f t="shared" si="69"/>
        <v>0</v>
      </c>
      <c r="L259" s="703">
        <f t="shared" si="69"/>
        <v>0</v>
      </c>
      <c r="M259" s="703">
        <f t="shared" si="69"/>
        <v>0</v>
      </c>
      <c r="N259" s="703">
        <f t="shared" si="69"/>
        <v>0</v>
      </c>
      <c r="O259" s="703">
        <f t="shared" si="69"/>
        <v>0</v>
      </c>
      <c r="P259" s="703">
        <f t="shared" si="69"/>
        <v>0</v>
      </c>
      <c r="Q259" s="703">
        <f t="shared" si="69"/>
        <v>0</v>
      </c>
      <c r="R259" s="703">
        <f t="shared" si="69"/>
        <v>0</v>
      </c>
      <c r="S259" s="703">
        <f t="shared" si="69"/>
        <v>0</v>
      </c>
      <c r="T259" s="703">
        <f t="shared" si="69"/>
        <v>0</v>
      </c>
      <c r="U259" s="703">
        <f t="shared" si="69"/>
        <v>0</v>
      </c>
      <c r="V259" s="703">
        <f t="shared" si="69"/>
        <v>0</v>
      </c>
      <c r="W259" s="703">
        <f t="shared" si="69"/>
        <v>0</v>
      </c>
      <c r="X259" s="703">
        <f t="shared" si="69"/>
        <v>0</v>
      </c>
      <c r="Y259" s="703">
        <f t="shared" si="69"/>
        <v>0</v>
      </c>
      <c r="Z259" s="703">
        <f t="shared" si="69"/>
        <v>0</v>
      </c>
      <c r="AA259" s="703">
        <f t="shared" si="69"/>
        <v>0</v>
      </c>
      <c r="AB259" s="703">
        <f t="shared" si="69"/>
        <v>0</v>
      </c>
      <c r="AC259" s="703">
        <f t="shared" si="69"/>
        <v>0</v>
      </c>
      <c r="AD259" s="703">
        <f t="shared" si="69"/>
        <v>0</v>
      </c>
      <c r="AE259" s="703">
        <f t="shared" si="69"/>
        <v>0</v>
      </c>
      <c r="AF259" s="703">
        <f t="shared" si="69"/>
        <v>0</v>
      </c>
      <c r="AG259" s="703">
        <f t="shared" si="69"/>
        <v>0</v>
      </c>
      <c r="AH259" s="703">
        <f t="shared" si="69"/>
        <v>0</v>
      </c>
      <c r="AI259" s="703">
        <f t="shared" si="69"/>
        <v>0</v>
      </c>
      <c r="AJ259" s="703">
        <f t="shared" ref="AJ259:BM259" si="70">AJ189</f>
        <v>0</v>
      </c>
      <c r="AK259" s="703">
        <f t="shared" si="70"/>
        <v>0</v>
      </c>
      <c r="AL259" s="703">
        <f t="shared" si="70"/>
        <v>0</v>
      </c>
      <c r="AM259" s="703">
        <f t="shared" si="70"/>
        <v>0</v>
      </c>
      <c r="AN259" s="703">
        <f t="shared" si="70"/>
        <v>0</v>
      </c>
      <c r="AO259" s="703">
        <f t="shared" si="70"/>
        <v>0</v>
      </c>
      <c r="AP259" s="703">
        <f t="shared" si="70"/>
        <v>0</v>
      </c>
      <c r="AQ259" s="703">
        <f t="shared" si="70"/>
        <v>0</v>
      </c>
      <c r="AR259" s="703">
        <f t="shared" si="70"/>
        <v>0</v>
      </c>
      <c r="AS259" s="703">
        <f t="shared" si="70"/>
        <v>0</v>
      </c>
      <c r="AT259" s="703">
        <f t="shared" si="70"/>
        <v>0</v>
      </c>
      <c r="AU259" s="703">
        <f t="shared" si="70"/>
        <v>0</v>
      </c>
      <c r="AV259" s="703">
        <f t="shared" si="70"/>
        <v>0</v>
      </c>
      <c r="AW259" s="703">
        <f t="shared" si="70"/>
        <v>0</v>
      </c>
      <c r="AX259" s="703">
        <f t="shared" si="70"/>
        <v>0</v>
      </c>
      <c r="AY259" s="703">
        <f t="shared" si="70"/>
        <v>0</v>
      </c>
      <c r="AZ259" s="703">
        <f t="shared" si="70"/>
        <v>0</v>
      </c>
      <c r="BA259" s="703">
        <f t="shared" si="70"/>
        <v>0</v>
      </c>
      <c r="BB259" s="703">
        <f t="shared" si="70"/>
        <v>0</v>
      </c>
      <c r="BC259" s="703">
        <f t="shared" si="70"/>
        <v>0</v>
      </c>
      <c r="BD259" s="703">
        <f t="shared" si="70"/>
        <v>0</v>
      </c>
      <c r="BE259" s="703">
        <f t="shared" si="70"/>
        <v>0</v>
      </c>
      <c r="BF259" s="703">
        <f t="shared" si="70"/>
        <v>0</v>
      </c>
      <c r="BG259" s="703">
        <f t="shared" si="70"/>
        <v>0</v>
      </c>
      <c r="BH259" s="703">
        <f t="shared" si="70"/>
        <v>0</v>
      </c>
      <c r="BI259" s="703">
        <f t="shared" si="70"/>
        <v>0</v>
      </c>
      <c r="BJ259" s="703">
        <f t="shared" si="70"/>
        <v>0</v>
      </c>
      <c r="BK259" s="703">
        <f t="shared" si="70"/>
        <v>0</v>
      </c>
      <c r="BL259" s="703">
        <f t="shared" si="70"/>
        <v>0</v>
      </c>
      <c r="BM259" s="703">
        <f t="shared" si="70"/>
        <v>0</v>
      </c>
      <c r="BN259" s="703">
        <f t="shared" ref="BN259:CX262" si="71">BN189</f>
        <v>0</v>
      </c>
      <c r="BO259" s="703">
        <f t="shared" si="71"/>
        <v>0</v>
      </c>
      <c r="BP259" s="703">
        <f t="shared" si="71"/>
        <v>0</v>
      </c>
      <c r="BQ259" s="703">
        <f t="shared" si="71"/>
        <v>0</v>
      </c>
      <c r="BR259" s="703">
        <f t="shared" si="71"/>
        <v>0</v>
      </c>
      <c r="BS259" s="703">
        <f t="shared" si="71"/>
        <v>0</v>
      </c>
      <c r="BT259" s="703">
        <f t="shared" si="71"/>
        <v>0</v>
      </c>
      <c r="BU259" s="703">
        <f t="shared" si="71"/>
        <v>0</v>
      </c>
      <c r="BV259" s="703">
        <f t="shared" si="71"/>
        <v>0</v>
      </c>
      <c r="BW259" s="703">
        <f t="shared" si="71"/>
        <v>0</v>
      </c>
      <c r="BX259" s="703">
        <f t="shared" si="71"/>
        <v>0</v>
      </c>
      <c r="BY259" s="703">
        <f t="shared" si="71"/>
        <v>0</v>
      </c>
      <c r="BZ259" s="703">
        <f t="shared" si="71"/>
        <v>0</v>
      </c>
      <c r="CA259" s="703">
        <f t="shared" si="71"/>
        <v>0</v>
      </c>
      <c r="CB259" s="703">
        <f t="shared" si="71"/>
        <v>0</v>
      </c>
      <c r="CC259" s="703">
        <f t="shared" si="71"/>
        <v>0</v>
      </c>
      <c r="CD259" s="703">
        <f t="shared" si="71"/>
        <v>0</v>
      </c>
      <c r="CE259" s="703">
        <f t="shared" si="71"/>
        <v>0</v>
      </c>
      <c r="CF259" s="703">
        <f t="shared" si="71"/>
        <v>0</v>
      </c>
      <c r="CG259" s="703">
        <f t="shared" si="71"/>
        <v>0</v>
      </c>
      <c r="CH259" s="703">
        <f t="shared" si="71"/>
        <v>0</v>
      </c>
      <c r="CI259" s="703">
        <f t="shared" si="71"/>
        <v>0</v>
      </c>
      <c r="CJ259" s="703">
        <f t="shared" si="71"/>
        <v>0</v>
      </c>
      <c r="CK259" s="703">
        <f t="shared" si="71"/>
        <v>0</v>
      </c>
      <c r="CL259" s="703">
        <f t="shared" si="71"/>
        <v>0</v>
      </c>
      <c r="CM259" s="703">
        <f t="shared" si="71"/>
        <v>0</v>
      </c>
      <c r="CN259" s="703">
        <f t="shared" si="71"/>
        <v>0</v>
      </c>
      <c r="CO259" s="703">
        <f t="shared" si="71"/>
        <v>0</v>
      </c>
      <c r="CP259" s="703">
        <f t="shared" si="71"/>
        <v>0</v>
      </c>
      <c r="CQ259" s="703">
        <f t="shared" si="71"/>
        <v>0</v>
      </c>
      <c r="CR259" s="703">
        <f t="shared" si="71"/>
        <v>0</v>
      </c>
      <c r="CS259" s="703">
        <f t="shared" si="71"/>
        <v>0</v>
      </c>
      <c r="CT259" s="703">
        <f t="shared" si="71"/>
        <v>0</v>
      </c>
      <c r="CU259" s="703">
        <f t="shared" si="71"/>
        <v>0</v>
      </c>
      <c r="CV259" s="703">
        <f t="shared" si="71"/>
        <v>0</v>
      </c>
      <c r="CW259" s="703">
        <f t="shared" si="71"/>
        <v>0</v>
      </c>
      <c r="CX259" s="703">
        <f t="shared" si="71"/>
        <v>0</v>
      </c>
      <c r="CY259" s="703">
        <f t="shared" ref="CY259" si="72">CY189</f>
        <v>0</v>
      </c>
    </row>
    <row r="260" spans="1:103" x14ac:dyDescent="0.3">
      <c r="A260" s="703">
        <f t="shared" si="68"/>
        <v>996</v>
      </c>
      <c r="B260" s="703" t="str">
        <f t="shared" si="68"/>
        <v>Units with Water Sewer Operations have $.01</v>
      </c>
      <c r="C260" s="703"/>
      <c r="D260" s="703">
        <f t="shared" ref="D260:AI260" si="73">D190</f>
        <v>0</v>
      </c>
      <c r="E260" s="703">
        <f t="shared" si="73"/>
        <v>0.01</v>
      </c>
      <c r="F260" s="703">
        <f t="shared" si="73"/>
        <v>0</v>
      </c>
      <c r="G260" s="703">
        <f t="shared" si="73"/>
        <v>0.01</v>
      </c>
      <c r="H260" s="703">
        <f t="shared" si="73"/>
        <v>0</v>
      </c>
      <c r="I260" s="703">
        <f t="shared" si="73"/>
        <v>0</v>
      </c>
      <c r="J260" s="703">
        <f t="shared" si="73"/>
        <v>0.01</v>
      </c>
      <c r="K260" s="703">
        <f t="shared" si="73"/>
        <v>0.01</v>
      </c>
      <c r="L260" s="703">
        <f t="shared" si="73"/>
        <v>0.01</v>
      </c>
      <c r="M260" s="703">
        <f t="shared" si="73"/>
        <v>0.01</v>
      </c>
      <c r="N260" s="703">
        <f t="shared" si="73"/>
        <v>0</v>
      </c>
      <c r="O260" s="703">
        <f t="shared" si="73"/>
        <v>0.01</v>
      </c>
      <c r="P260" s="703">
        <f t="shared" si="73"/>
        <v>0</v>
      </c>
      <c r="Q260" s="703">
        <f t="shared" si="73"/>
        <v>0.01</v>
      </c>
      <c r="R260" s="703">
        <f t="shared" si="73"/>
        <v>0.01</v>
      </c>
      <c r="S260" s="703">
        <f t="shared" si="73"/>
        <v>0.01</v>
      </c>
      <c r="T260" s="703">
        <f t="shared" si="73"/>
        <v>0</v>
      </c>
      <c r="U260" s="703">
        <f t="shared" si="73"/>
        <v>0</v>
      </c>
      <c r="V260" s="703">
        <f t="shared" si="73"/>
        <v>0.01</v>
      </c>
      <c r="W260" s="703">
        <f t="shared" si="73"/>
        <v>0</v>
      </c>
      <c r="X260" s="703">
        <f t="shared" si="73"/>
        <v>0.01</v>
      </c>
      <c r="Y260" s="703">
        <f t="shared" si="73"/>
        <v>0.01</v>
      </c>
      <c r="Z260" s="703">
        <f t="shared" si="73"/>
        <v>0</v>
      </c>
      <c r="AA260" s="703">
        <f t="shared" si="73"/>
        <v>0.01</v>
      </c>
      <c r="AB260" s="703">
        <f t="shared" si="73"/>
        <v>0.01</v>
      </c>
      <c r="AC260" s="703">
        <f t="shared" si="73"/>
        <v>0.01</v>
      </c>
      <c r="AD260" s="703">
        <f t="shared" si="73"/>
        <v>0.01</v>
      </c>
      <c r="AE260" s="703">
        <f t="shared" si="73"/>
        <v>0.01</v>
      </c>
      <c r="AF260" s="703">
        <f t="shared" si="73"/>
        <v>0.01</v>
      </c>
      <c r="AG260" s="703">
        <f t="shared" si="73"/>
        <v>0.01</v>
      </c>
      <c r="AH260" s="703">
        <f t="shared" si="73"/>
        <v>0.01</v>
      </c>
      <c r="AI260" s="703">
        <f t="shared" si="73"/>
        <v>0.01</v>
      </c>
      <c r="AJ260" s="703">
        <f t="shared" ref="AJ260:BM260" si="74">AJ190</f>
        <v>0.01</v>
      </c>
      <c r="AK260" s="703">
        <f t="shared" si="74"/>
        <v>0</v>
      </c>
      <c r="AL260" s="703">
        <f t="shared" si="74"/>
        <v>0.01</v>
      </c>
      <c r="AM260" s="703">
        <f t="shared" si="74"/>
        <v>0</v>
      </c>
      <c r="AN260" s="703">
        <f t="shared" si="74"/>
        <v>0.01</v>
      </c>
      <c r="AO260" s="703">
        <f t="shared" si="74"/>
        <v>0</v>
      </c>
      <c r="AP260" s="703">
        <f t="shared" si="74"/>
        <v>0</v>
      </c>
      <c r="AQ260" s="703">
        <f t="shared" si="74"/>
        <v>0.01</v>
      </c>
      <c r="AR260" s="703">
        <f t="shared" si="74"/>
        <v>0</v>
      </c>
      <c r="AS260" s="703">
        <f t="shared" si="74"/>
        <v>0.01</v>
      </c>
      <c r="AT260" s="703">
        <f t="shared" si="74"/>
        <v>0.01</v>
      </c>
      <c r="AU260" s="703">
        <f t="shared" si="74"/>
        <v>0</v>
      </c>
      <c r="AV260" s="703">
        <f t="shared" si="74"/>
        <v>0.01</v>
      </c>
      <c r="AW260" s="703">
        <f t="shared" si="74"/>
        <v>0.01</v>
      </c>
      <c r="AX260" s="703">
        <f t="shared" si="74"/>
        <v>0.01</v>
      </c>
      <c r="AY260" s="703">
        <f t="shared" si="74"/>
        <v>0.01</v>
      </c>
      <c r="AZ260" s="703">
        <f t="shared" si="74"/>
        <v>0</v>
      </c>
      <c r="BA260" s="703">
        <f t="shared" si="74"/>
        <v>0</v>
      </c>
      <c r="BB260" s="703">
        <f t="shared" si="74"/>
        <v>0.01</v>
      </c>
      <c r="BC260" s="703">
        <f t="shared" si="74"/>
        <v>0.01</v>
      </c>
      <c r="BD260" s="703">
        <f t="shared" si="74"/>
        <v>0</v>
      </c>
      <c r="BE260" s="703">
        <f t="shared" si="74"/>
        <v>0</v>
      </c>
      <c r="BF260" s="703">
        <f t="shared" si="74"/>
        <v>0.01</v>
      </c>
      <c r="BG260" s="703">
        <f t="shared" si="74"/>
        <v>0</v>
      </c>
      <c r="BH260" s="703">
        <f t="shared" si="74"/>
        <v>0</v>
      </c>
      <c r="BI260" s="703">
        <f t="shared" si="74"/>
        <v>0.01</v>
      </c>
      <c r="BJ260" s="703">
        <f t="shared" si="74"/>
        <v>0.01</v>
      </c>
      <c r="BK260" s="703">
        <f t="shared" si="74"/>
        <v>0</v>
      </c>
      <c r="BL260" s="703">
        <f t="shared" si="74"/>
        <v>0</v>
      </c>
      <c r="BM260" s="703">
        <f t="shared" si="74"/>
        <v>0.01</v>
      </c>
      <c r="BN260" s="703">
        <f t="shared" si="71"/>
        <v>0.01</v>
      </c>
      <c r="BO260" s="703">
        <f t="shared" si="71"/>
        <v>0.01</v>
      </c>
      <c r="BP260" s="703">
        <f t="shared" si="71"/>
        <v>0</v>
      </c>
      <c r="BQ260" s="703">
        <f t="shared" si="71"/>
        <v>0.01</v>
      </c>
      <c r="BR260" s="703">
        <f t="shared" si="71"/>
        <v>0</v>
      </c>
      <c r="BS260" s="703">
        <f t="shared" si="71"/>
        <v>0</v>
      </c>
      <c r="BT260" s="703">
        <f t="shared" si="71"/>
        <v>0.01</v>
      </c>
      <c r="BU260" s="703">
        <f t="shared" si="71"/>
        <v>0.01</v>
      </c>
      <c r="BV260" s="703">
        <f t="shared" si="71"/>
        <v>0.01</v>
      </c>
      <c r="BW260" s="703">
        <f t="shared" si="71"/>
        <v>0.01</v>
      </c>
      <c r="BX260" s="703">
        <f t="shared" si="71"/>
        <v>0</v>
      </c>
      <c r="BY260" s="703">
        <f t="shared" si="71"/>
        <v>0</v>
      </c>
      <c r="BZ260" s="703">
        <f t="shared" si="71"/>
        <v>0</v>
      </c>
      <c r="CA260" s="703">
        <f t="shared" si="71"/>
        <v>0</v>
      </c>
      <c r="CB260" s="703">
        <f t="shared" si="71"/>
        <v>0.01</v>
      </c>
      <c r="CC260" s="703">
        <f t="shared" si="71"/>
        <v>0.01</v>
      </c>
      <c r="CD260" s="703">
        <f t="shared" si="71"/>
        <v>0.01</v>
      </c>
      <c r="CE260" s="703">
        <f t="shared" si="71"/>
        <v>0.01</v>
      </c>
      <c r="CF260" s="703">
        <f t="shared" si="71"/>
        <v>0</v>
      </c>
      <c r="CG260" s="703">
        <f t="shared" si="71"/>
        <v>0.01</v>
      </c>
      <c r="CH260" s="703">
        <f t="shared" si="71"/>
        <v>0.01</v>
      </c>
      <c r="CI260" s="703">
        <f t="shared" si="71"/>
        <v>0.01</v>
      </c>
      <c r="CJ260" s="703">
        <f t="shared" si="71"/>
        <v>0.01</v>
      </c>
      <c r="CK260" s="703">
        <f t="shared" si="71"/>
        <v>0.01</v>
      </c>
      <c r="CL260" s="703">
        <f t="shared" si="71"/>
        <v>0</v>
      </c>
      <c r="CM260" s="703">
        <f t="shared" si="71"/>
        <v>0</v>
      </c>
      <c r="CN260" s="703">
        <f t="shared" si="71"/>
        <v>0.01</v>
      </c>
      <c r="CO260" s="703">
        <f t="shared" si="71"/>
        <v>0.01</v>
      </c>
      <c r="CP260" s="703">
        <f t="shared" si="71"/>
        <v>0.01</v>
      </c>
      <c r="CQ260" s="703">
        <f t="shared" si="71"/>
        <v>0</v>
      </c>
      <c r="CR260" s="703">
        <f t="shared" si="71"/>
        <v>0.01</v>
      </c>
      <c r="CS260" s="703">
        <f t="shared" si="71"/>
        <v>0.01</v>
      </c>
      <c r="CT260" s="703">
        <f t="shared" si="71"/>
        <v>0</v>
      </c>
      <c r="CU260" s="703">
        <f t="shared" si="71"/>
        <v>0.01</v>
      </c>
      <c r="CV260" s="703">
        <f t="shared" si="71"/>
        <v>0</v>
      </c>
      <c r="CW260" s="703">
        <f t="shared" si="71"/>
        <v>0.01</v>
      </c>
      <c r="CX260" s="703">
        <f t="shared" si="71"/>
        <v>0.01</v>
      </c>
      <c r="CY260" s="703">
        <f t="shared" ref="CY260" si="75">CY190</f>
        <v>0</v>
      </c>
    </row>
    <row r="261" spans="1:103" x14ac:dyDescent="0.3">
      <c r="A261" s="703">
        <f t="shared" si="68"/>
        <v>998</v>
      </c>
      <c r="B261" s="703" t="str">
        <f t="shared" si="68"/>
        <v>CCH Unit Type</v>
      </c>
      <c r="C261" s="703"/>
      <c r="D261" s="703">
        <f t="shared" ref="D261:AI261" si="76">D191</f>
        <v>51</v>
      </c>
      <c r="E261" s="703">
        <f t="shared" si="76"/>
        <v>51</v>
      </c>
      <c r="F261" s="703">
        <f t="shared" si="76"/>
        <v>51</v>
      </c>
      <c r="G261" s="703">
        <f t="shared" si="76"/>
        <v>51</v>
      </c>
      <c r="H261" s="703">
        <f t="shared" si="76"/>
        <v>51</v>
      </c>
      <c r="I261" s="703">
        <f t="shared" si="76"/>
        <v>51</v>
      </c>
      <c r="J261" s="703">
        <f t="shared" si="76"/>
        <v>51</v>
      </c>
      <c r="K261" s="703">
        <f t="shared" si="76"/>
        <v>51</v>
      </c>
      <c r="L261" s="703">
        <f t="shared" si="76"/>
        <v>51</v>
      </c>
      <c r="M261" s="703">
        <f t="shared" si="76"/>
        <v>51</v>
      </c>
      <c r="N261" s="703">
        <f t="shared" si="76"/>
        <v>51</v>
      </c>
      <c r="O261" s="703">
        <f t="shared" si="76"/>
        <v>51</v>
      </c>
      <c r="P261" s="703">
        <f t="shared" si="76"/>
        <v>51</v>
      </c>
      <c r="Q261" s="703">
        <f t="shared" si="76"/>
        <v>51</v>
      </c>
      <c r="R261" s="703">
        <f t="shared" si="76"/>
        <v>51</v>
      </c>
      <c r="S261" s="703">
        <f t="shared" si="76"/>
        <v>51</v>
      </c>
      <c r="T261" s="703">
        <f t="shared" si="76"/>
        <v>51</v>
      </c>
      <c r="U261" s="703">
        <f t="shared" si="76"/>
        <v>51</v>
      </c>
      <c r="V261" s="703">
        <f t="shared" si="76"/>
        <v>51</v>
      </c>
      <c r="W261" s="703">
        <f t="shared" si="76"/>
        <v>51</v>
      </c>
      <c r="X261" s="703">
        <f t="shared" si="76"/>
        <v>51</v>
      </c>
      <c r="Y261" s="703">
        <f t="shared" si="76"/>
        <v>51</v>
      </c>
      <c r="Z261" s="703">
        <f t="shared" si="76"/>
        <v>51</v>
      </c>
      <c r="AA261" s="703">
        <f t="shared" si="76"/>
        <v>51</v>
      </c>
      <c r="AB261" s="703">
        <f t="shared" si="76"/>
        <v>51</v>
      </c>
      <c r="AC261" s="703">
        <f t="shared" si="76"/>
        <v>51</v>
      </c>
      <c r="AD261" s="703">
        <f t="shared" si="76"/>
        <v>51</v>
      </c>
      <c r="AE261" s="703">
        <f t="shared" si="76"/>
        <v>51</v>
      </c>
      <c r="AF261" s="703">
        <f t="shared" si="76"/>
        <v>51</v>
      </c>
      <c r="AG261" s="703">
        <f t="shared" si="76"/>
        <v>51</v>
      </c>
      <c r="AH261" s="703">
        <f t="shared" si="76"/>
        <v>51</v>
      </c>
      <c r="AI261" s="703">
        <f t="shared" si="76"/>
        <v>51</v>
      </c>
      <c r="AJ261" s="703">
        <f t="shared" ref="AJ261:BM261" si="77">AJ191</f>
        <v>51</v>
      </c>
      <c r="AK261" s="703">
        <f t="shared" si="77"/>
        <v>51</v>
      </c>
      <c r="AL261" s="703">
        <f t="shared" si="77"/>
        <v>51</v>
      </c>
      <c r="AM261" s="703">
        <f t="shared" si="77"/>
        <v>51</v>
      </c>
      <c r="AN261" s="703">
        <f t="shared" si="77"/>
        <v>51</v>
      </c>
      <c r="AO261" s="703">
        <f t="shared" si="77"/>
        <v>51</v>
      </c>
      <c r="AP261" s="703">
        <f t="shared" si="77"/>
        <v>51</v>
      </c>
      <c r="AQ261" s="703">
        <f t="shared" si="77"/>
        <v>51</v>
      </c>
      <c r="AR261" s="703">
        <f t="shared" si="77"/>
        <v>51</v>
      </c>
      <c r="AS261" s="703">
        <f t="shared" si="77"/>
        <v>51</v>
      </c>
      <c r="AT261" s="703">
        <f t="shared" si="77"/>
        <v>51</v>
      </c>
      <c r="AU261" s="703">
        <f t="shared" si="77"/>
        <v>51</v>
      </c>
      <c r="AV261" s="703">
        <f t="shared" si="77"/>
        <v>51</v>
      </c>
      <c r="AW261" s="703">
        <f t="shared" si="77"/>
        <v>51</v>
      </c>
      <c r="AX261" s="703">
        <f t="shared" si="77"/>
        <v>51</v>
      </c>
      <c r="AY261" s="703">
        <f t="shared" si="77"/>
        <v>51</v>
      </c>
      <c r="AZ261" s="703">
        <f t="shared" si="77"/>
        <v>51</v>
      </c>
      <c r="BA261" s="703">
        <f t="shared" si="77"/>
        <v>51</v>
      </c>
      <c r="BB261" s="703">
        <f t="shared" si="77"/>
        <v>51</v>
      </c>
      <c r="BC261" s="703">
        <f t="shared" si="77"/>
        <v>51</v>
      </c>
      <c r="BD261" s="703">
        <f t="shared" si="77"/>
        <v>51</v>
      </c>
      <c r="BE261" s="703">
        <f t="shared" si="77"/>
        <v>51</v>
      </c>
      <c r="BF261" s="703">
        <f t="shared" si="77"/>
        <v>51</v>
      </c>
      <c r="BG261" s="703">
        <f t="shared" si="77"/>
        <v>51</v>
      </c>
      <c r="BH261" s="703">
        <f t="shared" si="77"/>
        <v>51</v>
      </c>
      <c r="BI261" s="703">
        <f t="shared" si="77"/>
        <v>51</v>
      </c>
      <c r="BJ261" s="703">
        <f t="shared" si="77"/>
        <v>51</v>
      </c>
      <c r="BK261" s="703">
        <f t="shared" si="77"/>
        <v>51</v>
      </c>
      <c r="BL261" s="703">
        <f t="shared" si="77"/>
        <v>51</v>
      </c>
      <c r="BM261" s="703">
        <f t="shared" si="77"/>
        <v>51</v>
      </c>
      <c r="BN261" s="703">
        <f t="shared" si="71"/>
        <v>51</v>
      </c>
      <c r="BO261" s="703">
        <f t="shared" si="71"/>
        <v>51</v>
      </c>
      <c r="BP261" s="703">
        <f t="shared" si="71"/>
        <v>51</v>
      </c>
      <c r="BQ261" s="703">
        <f t="shared" si="71"/>
        <v>51</v>
      </c>
      <c r="BR261" s="703">
        <f t="shared" si="71"/>
        <v>51</v>
      </c>
      <c r="BS261" s="703">
        <f t="shared" si="71"/>
        <v>51</v>
      </c>
      <c r="BT261" s="703">
        <f t="shared" si="71"/>
        <v>51</v>
      </c>
      <c r="BU261" s="703">
        <f t="shared" si="71"/>
        <v>51</v>
      </c>
      <c r="BV261" s="703">
        <f t="shared" si="71"/>
        <v>51</v>
      </c>
      <c r="BW261" s="703">
        <f t="shared" si="71"/>
        <v>51</v>
      </c>
      <c r="BX261" s="703">
        <f t="shared" si="71"/>
        <v>51</v>
      </c>
      <c r="BY261" s="703">
        <f t="shared" si="71"/>
        <v>51</v>
      </c>
      <c r="BZ261" s="703">
        <f t="shared" si="71"/>
        <v>51</v>
      </c>
      <c r="CA261" s="703">
        <f t="shared" si="71"/>
        <v>51</v>
      </c>
      <c r="CB261" s="703">
        <f t="shared" si="71"/>
        <v>51</v>
      </c>
      <c r="CC261" s="703">
        <f t="shared" si="71"/>
        <v>51</v>
      </c>
      <c r="CD261" s="703">
        <f t="shared" si="71"/>
        <v>51</v>
      </c>
      <c r="CE261" s="703">
        <f t="shared" si="71"/>
        <v>51</v>
      </c>
      <c r="CF261" s="703">
        <f t="shared" si="71"/>
        <v>51</v>
      </c>
      <c r="CG261" s="703">
        <f t="shared" si="71"/>
        <v>51</v>
      </c>
      <c r="CH261" s="703">
        <f t="shared" si="71"/>
        <v>51</v>
      </c>
      <c r="CI261" s="703">
        <f t="shared" si="71"/>
        <v>51</v>
      </c>
      <c r="CJ261" s="703">
        <f t="shared" si="71"/>
        <v>51</v>
      </c>
      <c r="CK261" s="703">
        <f t="shared" si="71"/>
        <v>51</v>
      </c>
      <c r="CL261" s="703">
        <f t="shared" si="71"/>
        <v>51</v>
      </c>
      <c r="CM261" s="703">
        <f t="shared" si="71"/>
        <v>51</v>
      </c>
      <c r="CN261" s="703">
        <f t="shared" si="71"/>
        <v>51</v>
      </c>
      <c r="CO261" s="703">
        <f t="shared" si="71"/>
        <v>51</v>
      </c>
      <c r="CP261" s="703">
        <f t="shared" si="71"/>
        <v>51</v>
      </c>
      <c r="CQ261" s="703">
        <f t="shared" si="71"/>
        <v>51</v>
      </c>
      <c r="CR261" s="703">
        <f t="shared" si="71"/>
        <v>51</v>
      </c>
      <c r="CS261" s="703">
        <f t="shared" si="71"/>
        <v>51</v>
      </c>
      <c r="CT261" s="703">
        <f t="shared" si="71"/>
        <v>51</v>
      </c>
      <c r="CU261" s="703">
        <f t="shared" si="71"/>
        <v>51</v>
      </c>
      <c r="CV261" s="703">
        <f t="shared" si="71"/>
        <v>51</v>
      </c>
      <c r="CW261" s="703">
        <f t="shared" si="71"/>
        <v>51</v>
      </c>
      <c r="CX261" s="703">
        <f t="shared" si="71"/>
        <v>51</v>
      </c>
      <c r="CY261" s="703">
        <f t="shared" ref="CY261" si="78">CY191</f>
        <v>51</v>
      </c>
    </row>
    <row r="262" spans="1:103" x14ac:dyDescent="0.3">
      <c r="A262" s="703">
        <f t="shared" si="68"/>
        <v>999</v>
      </c>
      <c r="B262" s="703" t="str">
        <f t="shared" si="68"/>
        <v>CCH Unit Code</v>
      </c>
      <c r="C262" s="703"/>
      <c r="D262" s="703">
        <f t="shared" ref="D262:AI262" si="79">D192</f>
        <v>5100</v>
      </c>
      <c r="E262" s="703">
        <f t="shared" si="79"/>
        <v>5101</v>
      </c>
      <c r="F262" s="703">
        <f t="shared" si="79"/>
        <v>5102</v>
      </c>
      <c r="G262" s="703">
        <f t="shared" si="79"/>
        <v>5103</v>
      </c>
      <c r="H262" s="703">
        <f t="shared" si="79"/>
        <v>5104</v>
      </c>
      <c r="I262" s="703">
        <f t="shared" si="79"/>
        <v>5105</v>
      </c>
      <c r="J262" s="703">
        <f t="shared" si="79"/>
        <v>5106</v>
      </c>
      <c r="K262" s="703">
        <f t="shared" si="79"/>
        <v>5107</v>
      </c>
      <c r="L262" s="703">
        <f t="shared" si="79"/>
        <v>5108</v>
      </c>
      <c r="M262" s="703">
        <f t="shared" si="79"/>
        <v>5109</v>
      </c>
      <c r="N262" s="703">
        <f t="shared" si="79"/>
        <v>5110</v>
      </c>
      <c r="O262" s="703">
        <f t="shared" si="79"/>
        <v>5111</v>
      </c>
      <c r="P262" s="703">
        <f t="shared" si="79"/>
        <v>5112</v>
      </c>
      <c r="Q262" s="703">
        <f t="shared" si="79"/>
        <v>5113</v>
      </c>
      <c r="R262" s="703">
        <f t="shared" si="79"/>
        <v>5114</v>
      </c>
      <c r="S262" s="703">
        <f t="shared" si="79"/>
        <v>5115</v>
      </c>
      <c r="T262" s="703">
        <f t="shared" si="79"/>
        <v>5116</v>
      </c>
      <c r="U262" s="703">
        <f t="shared" si="79"/>
        <v>5117</v>
      </c>
      <c r="V262" s="703">
        <f t="shared" si="79"/>
        <v>5118</v>
      </c>
      <c r="W262" s="703">
        <f t="shared" si="79"/>
        <v>5119</v>
      </c>
      <c r="X262" s="703">
        <f t="shared" si="79"/>
        <v>5120</v>
      </c>
      <c r="Y262" s="703">
        <f t="shared" si="79"/>
        <v>5121</v>
      </c>
      <c r="Z262" s="703">
        <f t="shared" si="79"/>
        <v>5122</v>
      </c>
      <c r="AA262" s="703">
        <f t="shared" si="79"/>
        <v>5123</v>
      </c>
      <c r="AB262" s="703">
        <f t="shared" si="79"/>
        <v>5124</v>
      </c>
      <c r="AC262" s="703">
        <f t="shared" si="79"/>
        <v>5125</v>
      </c>
      <c r="AD262" s="703">
        <f t="shared" si="79"/>
        <v>5126</v>
      </c>
      <c r="AE262" s="703">
        <f t="shared" si="79"/>
        <v>5127</v>
      </c>
      <c r="AF262" s="703">
        <f t="shared" si="79"/>
        <v>5128</v>
      </c>
      <c r="AG262" s="703">
        <f t="shared" si="79"/>
        <v>5129</v>
      </c>
      <c r="AH262" s="703">
        <f t="shared" si="79"/>
        <v>5130</v>
      </c>
      <c r="AI262" s="703">
        <f t="shared" si="79"/>
        <v>5131</v>
      </c>
      <c r="AJ262" s="703">
        <f t="shared" ref="AJ262:BM262" si="80">AJ192</f>
        <v>5132</v>
      </c>
      <c r="AK262" s="703">
        <f t="shared" si="80"/>
        <v>5133</v>
      </c>
      <c r="AL262" s="703">
        <f t="shared" si="80"/>
        <v>5134</v>
      </c>
      <c r="AM262" s="703">
        <f t="shared" si="80"/>
        <v>5135</v>
      </c>
      <c r="AN262" s="703">
        <f t="shared" si="80"/>
        <v>5136</v>
      </c>
      <c r="AO262" s="703">
        <f t="shared" si="80"/>
        <v>5137</v>
      </c>
      <c r="AP262" s="703">
        <f t="shared" si="80"/>
        <v>5138</v>
      </c>
      <c r="AQ262" s="703">
        <f t="shared" si="80"/>
        <v>5139</v>
      </c>
      <c r="AR262" s="703">
        <f t="shared" si="80"/>
        <v>5140</v>
      </c>
      <c r="AS262" s="703">
        <f t="shared" si="80"/>
        <v>5141</v>
      </c>
      <c r="AT262" s="703">
        <f t="shared" si="80"/>
        <v>5142</v>
      </c>
      <c r="AU262" s="703">
        <f t="shared" si="80"/>
        <v>5143</v>
      </c>
      <c r="AV262" s="703">
        <f t="shared" si="80"/>
        <v>5144</v>
      </c>
      <c r="AW262" s="703">
        <f t="shared" si="80"/>
        <v>5145</v>
      </c>
      <c r="AX262" s="703">
        <f t="shared" si="80"/>
        <v>5146</v>
      </c>
      <c r="AY262" s="703">
        <f t="shared" si="80"/>
        <v>5147</v>
      </c>
      <c r="AZ262" s="703">
        <f t="shared" si="80"/>
        <v>5148</v>
      </c>
      <c r="BA262" s="703">
        <f t="shared" si="80"/>
        <v>5149</v>
      </c>
      <c r="BB262" s="703">
        <f t="shared" si="80"/>
        <v>5150</v>
      </c>
      <c r="BC262" s="703">
        <f t="shared" si="80"/>
        <v>5151</v>
      </c>
      <c r="BD262" s="703">
        <f t="shared" si="80"/>
        <v>5152</v>
      </c>
      <c r="BE262" s="703">
        <f t="shared" si="80"/>
        <v>5153</v>
      </c>
      <c r="BF262" s="703">
        <f t="shared" si="80"/>
        <v>5154</v>
      </c>
      <c r="BG262" s="703">
        <f t="shared" si="80"/>
        <v>5155</v>
      </c>
      <c r="BH262" s="703">
        <f t="shared" si="80"/>
        <v>5156</v>
      </c>
      <c r="BI262" s="703">
        <f t="shared" si="80"/>
        <v>5157</v>
      </c>
      <c r="BJ262" s="703">
        <f t="shared" si="80"/>
        <v>5158</v>
      </c>
      <c r="BK262" s="703">
        <f t="shared" si="80"/>
        <v>5159</v>
      </c>
      <c r="BL262" s="703">
        <f t="shared" si="80"/>
        <v>5160</v>
      </c>
      <c r="BM262" s="703">
        <f t="shared" si="80"/>
        <v>5161</v>
      </c>
      <c r="BN262" s="703">
        <f t="shared" si="71"/>
        <v>5162</v>
      </c>
      <c r="BO262" s="703">
        <f t="shared" si="71"/>
        <v>5163</v>
      </c>
      <c r="BP262" s="703">
        <f t="shared" si="71"/>
        <v>5164</v>
      </c>
      <c r="BQ262" s="703">
        <f t="shared" si="71"/>
        <v>5165</v>
      </c>
      <c r="BR262" s="703">
        <f t="shared" si="71"/>
        <v>5166</v>
      </c>
      <c r="BS262" s="703">
        <f t="shared" si="71"/>
        <v>5167</v>
      </c>
      <c r="BT262" s="703">
        <f t="shared" si="71"/>
        <v>5168</v>
      </c>
      <c r="BU262" s="703">
        <f t="shared" si="71"/>
        <v>5169</v>
      </c>
      <c r="BV262" s="703">
        <f t="shared" si="71"/>
        <v>5170</v>
      </c>
      <c r="BW262" s="703">
        <f t="shared" si="71"/>
        <v>5171</v>
      </c>
      <c r="BX262" s="703">
        <f t="shared" si="71"/>
        <v>5172</v>
      </c>
      <c r="BY262" s="703">
        <f t="shared" si="71"/>
        <v>5173</v>
      </c>
      <c r="BZ262" s="703">
        <f t="shared" si="71"/>
        <v>5174</v>
      </c>
      <c r="CA262" s="703">
        <f t="shared" si="71"/>
        <v>5175</v>
      </c>
      <c r="CB262" s="703">
        <f t="shared" si="71"/>
        <v>5176</v>
      </c>
      <c r="CC262" s="703">
        <f t="shared" si="71"/>
        <v>5177</v>
      </c>
      <c r="CD262" s="703">
        <f t="shared" si="71"/>
        <v>5178</v>
      </c>
      <c r="CE262" s="703">
        <f t="shared" si="71"/>
        <v>5179</v>
      </c>
      <c r="CF262" s="703">
        <f t="shared" si="71"/>
        <v>5180</v>
      </c>
      <c r="CG262" s="703">
        <f t="shared" si="71"/>
        <v>5181</v>
      </c>
      <c r="CH262" s="703">
        <f t="shared" si="71"/>
        <v>5182</v>
      </c>
      <c r="CI262" s="703">
        <f t="shared" si="71"/>
        <v>5183</v>
      </c>
      <c r="CJ262" s="703">
        <f t="shared" si="71"/>
        <v>5184</v>
      </c>
      <c r="CK262" s="703">
        <f t="shared" si="71"/>
        <v>5185</v>
      </c>
      <c r="CL262" s="703">
        <f t="shared" si="71"/>
        <v>5186</v>
      </c>
      <c r="CM262" s="703">
        <f t="shared" si="71"/>
        <v>5187</v>
      </c>
      <c r="CN262" s="703">
        <f t="shared" si="71"/>
        <v>5188</v>
      </c>
      <c r="CO262" s="703">
        <f t="shared" si="71"/>
        <v>5189</v>
      </c>
      <c r="CP262" s="703">
        <f t="shared" si="71"/>
        <v>5190</v>
      </c>
      <c r="CQ262" s="703">
        <f t="shared" si="71"/>
        <v>5191</v>
      </c>
      <c r="CR262" s="703">
        <f t="shared" si="71"/>
        <v>5192</v>
      </c>
      <c r="CS262" s="703">
        <f t="shared" si="71"/>
        <v>5193</v>
      </c>
      <c r="CT262" s="703">
        <f t="shared" si="71"/>
        <v>5194</v>
      </c>
      <c r="CU262" s="703">
        <f t="shared" si="71"/>
        <v>5195</v>
      </c>
      <c r="CV262" s="703">
        <f t="shared" si="71"/>
        <v>5196</v>
      </c>
      <c r="CW262" s="703">
        <f t="shared" si="71"/>
        <v>5197</v>
      </c>
      <c r="CX262" s="703">
        <f t="shared" si="71"/>
        <v>5198</v>
      </c>
      <c r="CY262" s="703">
        <f t="shared" ref="CY262" si="81">CY192</f>
        <v>5199</v>
      </c>
    </row>
    <row r="263" spans="1:103" x14ac:dyDescent="0.3">
      <c r="A263" s="792">
        <f t="shared" ref="A263:B266" si="82">A114</f>
        <v>554</v>
      </c>
      <c r="B263" s="792" t="str">
        <f t="shared" si="82"/>
        <v>Single Audit Only - total amount of federal awards and grants expended as found on SEFSA</v>
      </c>
      <c r="C263" s="792"/>
      <c r="D263" s="792">
        <f t="shared" ref="D263:AI263" si="83">D114</f>
        <v>17356567</v>
      </c>
      <c r="E263" s="792">
        <f t="shared" si="83"/>
        <v>4797198</v>
      </c>
      <c r="F263" s="792">
        <f t="shared" si="83"/>
        <v>3024035</v>
      </c>
      <c r="G263" s="792">
        <f t="shared" si="83"/>
        <v>8807153</v>
      </c>
      <c r="H263" s="792">
        <f t="shared" si="83"/>
        <v>10610217</v>
      </c>
      <c r="I263" s="792">
        <f t="shared" si="83"/>
        <v>2895352</v>
      </c>
      <c r="J263" s="792">
        <f t="shared" si="83"/>
        <v>7694305</v>
      </c>
      <c r="K263" s="792">
        <f t="shared" si="83"/>
        <v>3673967</v>
      </c>
      <c r="L263" s="792">
        <f t="shared" si="83"/>
        <v>6819176</v>
      </c>
      <c r="M263" s="792">
        <f t="shared" si="83"/>
        <v>18979080</v>
      </c>
      <c r="N263" s="792">
        <f t="shared" si="83"/>
        <v>55481414</v>
      </c>
      <c r="O263" s="792">
        <f t="shared" si="83"/>
        <v>29128753</v>
      </c>
      <c r="P263" s="792">
        <f t="shared" si="83"/>
        <v>30118306</v>
      </c>
      <c r="Q263" s="792">
        <f t="shared" si="83"/>
        <v>10090875</v>
      </c>
      <c r="R263" s="792">
        <f t="shared" si="83"/>
        <v>1808406</v>
      </c>
      <c r="S263" s="792">
        <f t="shared" si="83"/>
        <v>16385045</v>
      </c>
      <c r="T263" s="792">
        <f t="shared" si="83"/>
        <v>0</v>
      </c>
      <c r="U263" s="792">
        <f t="shared" si="83"/>
        <v>29151188</v>
      </c>
      <c r="V263" s="792">
        <f t="shared" si="83"/>
        <v>36252618</v>
      </c>
      <c r="W263" s="792">
        <f t="shared" si="83"/>
        <v>0</v>
      </c>
      <c r="X263" s="792">
        <f t="shared" si="83"/>
        <v>1868527</v>
      </c>
      <c r="Y263" s="792">
        <f t="shared" si="83"/>
        <v>4877068</v>
      </c>
      <c r="Z263" s="792">
        <f t="shared" si="83"/>
        <v>27311501</v>
      </c>
      <c r="AA263" s="792">
        <f t="shared" si="83"/>
        <v>66482765</v>
      </c>
      <c r="AB263" s="792">
        <f t="shared" si="83"/>
        <v>49776908</v>
      </c>
      <c r="AC263" s="792">
        <f t="shared" si="83"/>
        <v>66837230</v>
      </c>
      <c r="AD263" s="792">
        <f t="shared" si="83"/>
        <v>4904827</v>
      </c>
      <c r="AE263" s="792">
        <f t="shared" si="83"/>
        <v>10029907</v>
      </c>
      <c r="AF263" s="792">
        <f t="shared" si="83"/>
        <v>52880254</v>
      </c>
      <c r="AG263" s="792">
        <f t="shared" si="83"/>
        <v>11286392</v>
      </c>
      <c r="AH263" s="792">
        <f t="shared" si="83"/>
        <v>21520110</v>
      </c>
      <c r="AI263" s="792">
        <f t="shared" si="83"/>
        <v>42656329</v>
      </c>
      <c r="AJ263" s="792">
        <f t="shared" ref="AJ263:BM263" si="84">AJ114</f>
        <v>13837939</v>
      </c>
      <c r="AK263" s="792">
        <f t="shared" si="84"/>
        <v>66725783</v>
      </c>
      <c r="AL263" s="792">
        <f t="shared" si="84"/>
        <v>26946085</v>
      </c>
      <c r="AM263" s="792">
        <f t="shared" si="84"/>
        <v>45184569</v>
      </c>
      <c r="AN263" s="792">
        <f t="shared" si="84"/>
        <v>2189614</v>
      </c>
      <c r="AO263" s="792">
        <f t="shared" si="84"/>
        <v>0</v>
      </c>
      <c r="AP263" s="792">
        <f t="shared" si="84"/>
        <v>15246014</v>
      </c>
      <c r="AQ263" s="792">
        <f t="shared" si="84"/>
        <v>3317190</v>
      </c>
      <c r="AR263" s="792">
        <f t="shared" si="84"/>
        <v>105068387</v>
      </c>
      <c r="AS263" s="792">
        <f t="shared" si="84"/>
        <v>17023948</v>
      </c>
      <c r="AT263" s="792">
        <f t="shared" si="84"/>
        <v>22621203</v>
      </c>
      <c r="AU263" s="792">
        <f t="shared" si="84"/>
        <v>13514239</v>
      </c>
      <c r="AV263" s="792">
        <f t="shared" si="84"/>
        <v>14128901</v>
      </c>
      <c r="AW263" s="792">
        <f t="shared" si="84"/>
        <v>5310460</v>
      </c>
      <c r="AX263" s="792">
        <f t="shared" si="84"/>
        <v>17964190</v>
      </c>
      <c r="AY263" s="792">
        <f t="shared" si="84"/>
        <v>2598477</v>
      </c>
      <c r="AZ263" s="792">
        <f t="shared" si="84"/>
        <v>25127675</v>
      </c>
      <c r="BA263" s="792">
        <f t="shared" si="84"/>
        <v>12633619</v>
      </c>
      <c r="BB263" s="792">
        <f t="shared" si="84"/>
        <v>69481709</v>
      </c>
      <c r="BC263" s="792">
        <f t="shared" si="84"/>
        <v>2665072</v>
      </c>
      <c r="BD263" s="792">
        <f t="shared" si="84"/>
        <v>14477406</v>
      </c>
      <c r="BE263" s="792">
        <f t="shared" si="84"/>
        <v>10167105</v>
      </c>
      <c r="BF263" s="792">
        <f t="shared" si="84"/>
        <v>24362535</v>
      </c>
      <c r="BG263" s="792">
        <f t="shared" si="84"/>
        <v>7890661</v>
      </c>
      <c r="BH263" s="792">
        <f t="shared" si="84"/>
        <v>5320467</v>
      </c>
      <c r="BI263" s="792">
        <f t="shared" si="84"/>
        <v>6706608</v>
      </c>
      <c r="BJ263" s="792">
        <f t="shared" si="84"/>
        <v>9382640</v>
      </c>
      <c r="BK263" s="792">
        <f t="shared" si="84"/>
        <v>195205297</v>
      </c>
      <c r="BL263" s="792">
        <f t="shared" si="84"/>
        <v>3525692</v>
      </c>
      <c r="BM263" s="792">
        <f t="shared" si="84"/>
        <v>67632526</v>
      </c>
      <c r="BN263" s="792">
        <f t="shared" ref="BN263:CX266" si="85">BN114</f>
        <v>8572100</v>
      </c>
      <c r="BO263" s="792">
        <f t="shared" si="85"/>
        <v>12630868</v>
      </c>
      <c r="BP263" s="792">
        <f t="shared" si="85"/>
        <v>45401167</v>
      </c>
      <c r="BQ263" s="792">
        <f t="shared" si="85"/>
        <v>4143358</v>
      </c>
      <c r="BR263" s="792">
        <f t="shared" si="85"/>
        <v>27532972</v>
      </c>
      <c r="BS263" s="792">
        <f t="shared" si="85"/>
        <v>26975042</v>
      </c>
      <c r="BT263" s="792">
        <f t="shared" si="85"/>
        <v>4849175</v>
      </c>
      <c r="BU263" s="792">
        <f t="shared" si="85"/>
        <v>12083128</v>
      </c>
      <c r="BV263" s="792">
        <f t="shared" si="85"/>
        <v>7656936</v>
      </c>
      <c r="BW263" s="792">
        <f t="shared" si="85"/>
        <v>2744355</v>
      </c>
      <c r="BX263" s="792">
        <f t="shared" si="85"/>
        <v>11190068</v>
      </c>
      <c r="BY263" s="792">
        <f t="shared" si="85"/>
        <v>25297565</v>
      </c>
      <c r="BZ263" s="792">
        <f t="shared" si="85"/>
        <v>2600442</v>
      </c>
      <c r="CA263" s="792">
        <f t="shared" si="85"/>
        <v>22093901</v>
      </c>
      <c r="CB263" s="792">
        <f t="shared" si="85"/>
        <v>9933520</v>
      </c>
      <c r="CC263" s="792">
        <f t="shared" si="85"/>
        <v>23906473</v>
      </c>
      <c r="CD263" s="792">
        <f t="shared" si="85"/>
        <v>14361054</v>
      </c>
      <c r="CE263" s="792">
        <f t="shared" si="85"/>
        <v>22763318</v>
      </c>
      <c r="CF263" s="792">
        <f t="shared" si="85"/>
        <v>8909086</v>
      </c>
      <c r="CG263" s="792">
        <f t="shared" si="85"/>
        <v>14448812</v>
      </c>
      <c r="CH263" s="792">
        <f t="shared" si="85"/>
        <v>8273898</v>
      </c>
      <c r="CI263" s="792">
        <f t="shared" si="85"/>
        <v>6979841</v>
      </c>
      <c r="CJ263" s="792">
        <f t="shared" si="85"/>
        <v>22589680</v>
      </c>
      <c r="CK263" s="792">
        <f t="shared" si="85"/>
        <v>18770181</v>
      </c>
      <c r="CL263" s="792">
        <f t="shared" si="85"/>
        <v>2927103</v>
      </c>
      <c r="CM263" s="792">
        <f t="shared" si="85"/>
        <v>9607921</v>
      </c>
      <c r="CN263" s="792">
        <f t="shared" si="85"/>
        <v>1389185</v>
      </c>
      <c r="CO263" s="792">
        <f t="shared" si="85"/>
        <v>45528190</v>
      </c>
      <c r="CP263" s="792">
        <f t="shared" si="85"/>
        <v>6820005</v>
      </c>
      <c r="CQ263" s="792">
        <f t="shared" si="85"/>
        <v>141379562</v>
      </c>
      <c r="CR263" s="792">
        <f t="shared" si="85"/>
        <v>7418963</v>
      </c>
      <c r="CS263" s="792">
        <f t="shared" si="85"/>
        <v>3103826</v>
      </c>
      <c r="CT263" s="792">
        <f t="shared" si="85"/>
        <v>7428510</v>
      </c>
      <c r="CU263" s="792">
        <f t="shared" si="85"/>
        <v>19213526</v>
      </c>
      <c r="CV263" s="792">
        <f t="shared" si="85"/>
        <v>12442468</v>
      </c>
      <c r="CW263" s="792">
        <f t="shared" si="85"/>
        <v>18384663</v>
      </c>
      <c r="CX263" s="792">
        <f t="shared" si="85"/>
        <v>3777697</v>
      </c>
      <c r="CY263" s="792">
        <f t="shared" ref="CY263" si="86">CY114</f>
        <v>3696746</v>
      </c>
    </row>
    <row r="264" spans="1:103" x14ac:dyDescent="0.3">
      <c r="A264" s="792">
        <f t="shared" si="82"/>
        <v>555</v>
      </c>
      <c r="B264" s="792" t="str">
        <f t="shared" si="82"/>
        <v>Single Audit Only - Total amount of federal awards and grants that were audited as major as found on SEFSA</v>
      </c>
      <c r="C264" s="792"/>
      <c r="D264" s="792">
        <f t="shared" ref="D264:AI264" si="87">D115</f>
        <v>9770312</v>
      </c>
      <c r="E264" s="792">
        <f t="shared" si="87"/>
        <v>2129897</v>
      </c>
      <c r="F264" s="792">
        <f t="shared" si="87"/>
        <v>1495407</v>
      </c>
      <c r="G264" s="792">
        <f t="shared" si="87"/>
        <v>5870755</v>
      </c>
      <c r="H264" s="792">
        <f t="shared" si="87"/>
        <v>7489343</v>
      </c>
      <c r="I264" s="792">
        <f t="shared" si="87"/>
        <v>634136</v>
      </c>
      <c r="J264" s="792">
        <f t="shared" si="87"/>
        <v>2029479</v>
      </c>
      <c r="K264" s="792">
        <f t="shared" si="87"/>
        <v>5646239</v>
      </c>
      <c r="L264" s="792">
        <f t="shared" si="87"/>
        <v>2918611</v>
      </c>
      <c r="M264" s="792">
        <f t="shared" si="87"/>
        <v>9460119</v>
      </c>
      <c r="N264" s="792">
        <f t="shared" si="87"/>
        <v>31574117</v>
      </c>
      <c r="O264" s="792">
        <f t="shared" si="87"/>
        <v>17491991</v>
      </c>
      <c r="P264" s="792">
        <f t="shared" si="87"/>
        <v>19586812</v>
      </c>
      <c r="Q264" s="792">
        <f t="shared" si="87"/>
        <v>3658394</v>
      </c>
      <c r="R264" s="792">
        <f t="shared" si="87"/>
        <v>1370282</v>
      </c>
      <c r="S264" s="792">
        <f t="shared" si="87"/>
        <v>11419231</v>
      </c>
      <c r="T264" s="792">
        <f t="shared" si="87"/>
        <v>0</v>
      </c>
      <c r="U264" s="792">
        <f t="shared" si="87"/>
        <v>14997585</v>
      </c>
      <c r="V264" s="792">
        <f t="shared" si="87"/>
        <v>13589545</v>
      </c>
      <c r="W264" s="792">
        <f t="shared" si="87"/>
        <v>0</v>
      </c>
      <c r="X264" s="792">
        <f t="shared" si="87"/>
        <v>878825</v>
      </c>
      <c r="Y264" s="792">
        <f t="shared" si="87"/>
        <v>2376843</v>
      </c>
      <c r="Z264" s="792">
        <f t="shared" si="87"/>
        <v>15760793</v>
      </c>
      <c r="AA264" s="792">
        <f t="shared" si="87"/>
        <v>60209280</v>
      </c>
      <c r="AB264" s="792">
        <f t="shared" si="87"/>
        <v>36308055</v>
      </c>
      <c r="AC264" s="792">
        <f t="shared" si="87"/>
        <v>41361583</v>
      </c>
      <c r="AD264" s="792">
        <f t="shared" si="87"/>
        <v>3518064</v>
      </c>
      <c r="AE264" s="792">
        <f t="shared" si="87"/>
        <v>7009682</v>
      </c>
      <c r="AF264" s="792">
        <f t="shared" si="87"/>
        <v>40249171</v>
      </c>
      <c r="AG264" s="792">
        <f t="shared" si="87"/>
        <v>7844986</v>
      </c>
      <c r="AH264" s="792">
        <f t="shared" si="87"/>
        <v>15571817</v>
      </c>
      <c r="AI264" s="792">
        <f t="shared" si="87"/>
        <v>18850003</v>
      </c>
      <c r="AJ264" s="792">
        <f t="shared" ref="AJ264:BM264" si="88">AJ115</f>
        <v>7943413</v>
      </c>
      <c r="AK264" s="792">
        <f t="shared" si="88"/>
        <v>55871318</v>
      </c>
      <c r="AL264" s="792">
        <f t="shared" si="88"/>
        <v>11695279</v>
      </c>
      <c r="AM264" s="792">
        <f t="shared" si="88"/>
        <v>27610472</v>
      </c>
      <c r="AN264" s="792">
        <f t="shared" si="88"/>
        <v>592510</v>
      </c>
      <c r="AO264" s="792">
        <f t="shared" si="88"/>
        <v>0</v>
      </c>
      <c r="AP264" s="792">
        <f t="shared" si="88"/>
        <v>12054802</v>
      </c>
      <c r="AQ264" s="792">
        <f t="shared" si="88"/>
        <v>1451020</v>
      </c>
      <c r="AR264" s="792">
        <f t="shared" si="88"/>
        <v>75713829</v>
      </c>
      <c r="AS264" s="792">
        <f t="shared" si="88"/>
        <v>11277116</v>
      </c>
      <c r="AT264" s="792">
        <f t="shared" si="88"/>
        <v>11909602</v>
      </c>
      <c r="AU264" s="792">
        <f t="shared" si="88"/>
        <v>8476986</v>
      </c>
      <c r="AV264" s="792">
        <f t="shared" si="88"/>
        <v>5924656</v>
      </c>
      <c r="AW264" s="792">
        <f t="shared" si="88"/>
        <v>3238784</v>
      </c>
      <c r="AX264" s="792">
        <f t="shared" si="88"/>
        <v>13560436</v>
      </c>
      <c r="AY264" s="792">
        <f t="shared" si="88"/>
        <v>1489858</v>
      </c>
      <c r="AZ264" s="792">
        <f t="shared" si="88"/>
        <v>19465367</v>
      </c>
      <c r="BA264" s="792">
        <f t="shared" si="88"/>
        <v>8882961</v>
      </c>
      <c r="BB264" s="792">
        <f t="shared" si="88"/>
        <v>49846218</v>
      </c>
      <c r="BC264" s="792">
        <f t="shared" si="88"/>
        <v>1183713</v>
      </c>
      <c r="BD264" s="792">
        <f t="shared" si="88"/>
        <v>10035864</v>
      </c>
      <c r="BE264" s="792">
        <f t="shared" si="88"/>
        <v>5784410</v>
      </c>
      <c r="BF264" s="792">
        <f t="shared" si="88"/>
        <v>17561058</v>
      </c>
      <c r="BG264" s="792">
        <f t="shared" si="88"/>
        <v>3807890</v>
      </c>
      <c r="BH264" s="792">
        <f t="shared" si="88"/>
        <v>2925754</v>
      </c>
      <c r="BI264" s="792">
        <f t="shared" si="88"/>
        <v>4348515</v>
      </c>
      <c r="BJ264" s="792">
        <f t="shared" si="88"/>
        <v>4166273</v>
      </c>
      <c r="BK264" s="792">
        <f t="shared" si="88"/>
        <v>119451878</v>
      </c>
      <c r="BL264" s="792">
        <f t="shared" si="88"/>
        <v>1920481</v>
      </c>
      <c r="BM264" s="792">
        <f t="shared" si="88"/>
        <v>64789440</v>
      </c>
      <c r="BN264" s="792">
        <f t="shared" si="85"/>
        <v>4378755</v>
      </c>
      <c r="BO264" s="792">
        <f t="shared" si="85"/>
        <v>5655332</v>
      </c>
      <c r="BP264" s="792">
        <f t="shared" si="85"/>
        <v>31475527</v>
      </c>
      <c r="BQ264" s="792">
        <f t="shared" si="85"/>
        <v>1936729</v>
      </c>
      <c r="BR264" s="792">
        <f t="shared" si="85"/>
        <v>11385935</v>
      </c>
      <c r="BS264" s="792">
        <f t="shared" si="85"/>
        <v>14382053</v>
      </c>
      <c r="BT264" s="792">
        <f t="shared" si="85"/>
        <v>2471876</v>
      </c>
      <c r="BU264" s="792">
        <f t="shared" si="85"/>
        <v>9565564</v>
      </c>
      <c r="BV264" s="792">
        <f t="shared" si="85"/>
        <v>3187966</v>
      </c>
      <c r="BW264" s="792">
        <f t="shared" si="85"/>
        <v>1825774</v>
      </c>
      <c r="BX264" s="792">
        <f t="shared" si="85"/>
        <v>7316366</v>
      </c>
      <c r="BY264" s="792">
        <f t="shared" si="85"/>
        <v>13692770</v>
      </c>
      <c r="BZ264" s="792">
        <f t="shared" si="85"/>
        <v>638521</v>
      </c>
      <c r="CA264" s="792">
        <f t="shared" si="85"/>
        <v>6673943</v>
      </c>
      <c r="CB264" s="792">
        <f t="shared" si="85"/>
        <v>4960998</v>
      </c>
      <c r="CC264" s="792">
        <f t="shared" si="85"/>
        <v>13243935</v>
      </c>
      <c r="CD264" s="792">
        <f t="shared" si="85"/>
        <v>8511274</v>
      </c>
      <c r="CE264" s="792">
        <f t="shared" si="85"/>
        <v>14699312</v>
      </c>
      <c r="CF264" s="792">
        <f t="shared" si="85"/>
        <v>3955803</v>
      </c>
      <c r="CG264" s="792">
        <f t="shared" si="85"/>
        <v>9607524</v>
      </c>
      <c r="CH264" s="792">
        <f t="shared" si="85"/>
        <v>4224243</v>
      </c>
      <c r="CI264" s="792">
        <f t="shared" si="85"/>
        <v>2005256</v>
      </c>
      <c r="CJ264" s="792">
        <f t="shared" si="85"/>
        <v>19243401</v>
      </c>
      <c r="CK264" s="792">
        <f t="shared" si="85"/>
        <v>13984769</v>
      </c>
      <c r="CL264" s="792">
        <f t="shared" si="85"/>
        <v>1325222</v>
      </c>
      <c r="CM264" s="792">
        <f t="shared" si="85"/>
        <v>5629523</v>
      </c>
      <c r="CN264" s="792">
        <f t="shared" si="85"/>
        <v>425197</v>
      </c>
      <c r="CO264" s="792">
        <f t="shared" si="85"/>
        <v>33697998</v>
      </c>
      <c r="CP264" s="792">
        <f t="shared" si="85"/>
        <v>3623734</v>
      </c>
      <c r="CQ264" s="792">
        <f t="shared" si="85"/>
        <v>100097736</v>
      </c>
      <c r="CR264" s="792">
        <f t="shared" si="85"/>
        <v>4667526</v>
      </c>
      <c r="CS264" s="792">
        <f t="shared" si="85"/>
        <v>1129128</v>
      </c>
      <c r="CT264" s="792">
        <f t="shared" si="85"/>
        <v>5310051</v>
      </c>
      <c r="CU264" s="792">
        <f t="shared" si="85"/>
        <v>9122691</v>
      </c>
      <c r="CV264" s="792">
        <f t="shared" si="85"/>
        <v>6195881</v>
      </c>
      <c r="CW264" s="792">
        <f t="shared" si="85"/>
        <v>10105343</v>
      </c>
      <c r="CX264" s="792">
        <f t="shared" si="85"/>
        <v>1311576</v>
      </c>
      <c r="CY264" s="792">
        <f t="shared" ref="CY264" si="89">CY115</f>
        <v>1918713</v>
      </c>
    </row>
    <row r="265" spans="1:103" x14ac:dyDescent="0.3">
      <c r="A265" s="792">
        <f t="shared" si="82"/>
        <v>556</v>
      </c>
      <c r="B265" s="792" t="str">
        <f t="shared" si="82"/>
        <v>Single Audit Only - total amount of state awards and grants expended as found on SEFSA</v>
      </c>
      <c r="C265" s="792"/>
      <c r="D265" s="792">
        <f t="shared" ref="D265:AI265" si="90">D116</f>
        <v>13791942</v>
      </c>
      <c r="E265" s="792">
        <f t="shared" si="90"/>
        <v>1988570</v>
      </c>
      <c r="F265" s="792">
        <f t="shared" si="90"/>
        <v>1501175</v>
      </c>
      <c r="G265" s="792">
        <f t="shared" si="90"/>
        <v>796374</v>
      </c>
      <c r="H265" s="792">
        <f t="shared" si="90"/>
        <v>4112366</v>
      </c>
      <c r="I265" s="792">
        <f t="shared" si="90"/>
        <v>1620794</v>
      </c>
      <c r="J265" s="792">
        <f t="shared" si="90"/>
        <v>3586247</v>
      </c>
      <c r="K265" s="792">
        <f t="shared" si="90"/>
        <v>1527144</v>
      </c>
      <c r="L265" s="792">
        <f t="shared" si="90"/>
        <v>27138849</v>
      </c>
      <c r="M265" s="792">
        <f t="shared" si="90"/>
        <v>4209364</v>
      </c>
      <c r="N265" s="792">
        <f t="shared" si="90"/>
        <v>9373914</v>
      </c>
      <c r="O265" s="792">
        <f t="shared" si="90"/>
        <v>6797190</v>
      </c>
      <c r="P265" s="792">
        <f t="shared" si="90"/>
        <v>7860191</v>
      </c>
      <c r="Q265" s="792">
        <f t="shared" si="90"/>
        <v>7548177</v>
      </c>
      <c r="R265" s="792">
        <f t="shared" si="90"/>
        <v>589588</v>
      </c>
      <c r="S265" s="792">
        <f t="shared" si="90"/>
        <v>11568032</v>
      </c>
      <c r="T265" s="792">
        <f t="shared" si="90"/>
        <v>0</v>
      </c>
      <c r="U265" s="792">
        <f t="shared" si="90"/>
        <v>6627872</v>
      </c>
      <c r="V265" s="792">
        <f t="shared" si="90"/>
        <v>3002097</v>
      </c>
      <c r="W265" s="792">
        <f t="shared" si="90"/>
        <v>0</v>
      </c>
      <c r="X265" s="792">
        <f t="shared" si="90"/>
        <v>1812542</v>
      </c>
      <c r="Y265" s="792">
        <f t="shared" si="90"/>
        <v>2433361</v>
      </c>
      <c r="Z265" s="792">
        <f t="shared" si="90"/>
        <v>37181581</v>
      </c>
      <c r="AA265" s="792">
        <f t="shared" si="90"/>
        <v>9603180</v>
      </c>
      <c r="AB265" s="792">
        <f t="shared" si="90"/>
        <v>7963473</v>
      </c>
      <c r="AC265" s="792">
        <f t="shared" si="90"/>
        <v>12015616</v>
      </c>
      <c r="AD265" s="792">
        <f t="shared" si="90"/>
        <v>1284909</v>
      </c>
      <c r="AE265" s="792">
        <f t="shared" si="90"/>
        <v>17947177</v>
      </c>
      <c r="AF265" s="792">
        <f t="shared" si="90"/>
        <v>9463481</v>
      </c>
      <c r="AG265" s="792">
        <f t="shared" si="90"/>
        <v>3763220</v>
      </c>
      <c r="AH265" s="792">
        <f t="shared" si="90"/>
        <v>5712879</v>
      </c>
      <c r="AI265" s="792">
        <f t="shared" si="90"/>
        <v>11055692</v>
      </c>
      <c r="AJ265" s="792">
        <f t="shared" ref="AJ265:BM265" si="91">AJ116</f>
        <v>3181255</v>
      </c>
      <c r="AK265" s="792">
        <f t="shared" si="91"/>
        <v>24138678</v>
      </c>
      <c r="AL265" s="792">
        <f t="shared" si="91"/>
        <v>7287306</v>
      </c>
      <c r="AM265" s="792">
        <f t="shared" si="91"/>
        <v>10818288</v>
      </c>
      <c r="AN265" s="792">
        <f t="shared" si="91"/>
        <v>295565</v>
      </c>
      <c r="AO265" s="792">
        <f t="shared" si="91"/>
        <v>0</v>
      </c>
      <c r="AP265" s="792">
        <f t="shared" si="91"/>
        <v>1759341</v>
      </c>
      <c r="AQ265" s="792">
        <f t="shared" si="91"/>
        <v>2152523</v>
      </c>
      <c r="AR265" s="792">
        <f t="shared" si="91"/>
        <v>22279691</v>
      </c>
      <c r="AS265" s="792">
        <f t="shared" si="91"/>
        <v>2468444</v>
      </c>
      <c r="AT265" s="792">
        <f t="shared" si="91"/>
        <v>18860420</v>
      </c>
      <c r="AU265" s="792">
        <f t="shared" si="91"/>
        <v>3038409</v>
      </c>
      <c r="AV265" s="792">
        <f t="shared" si="91"/>
        <v>6288646</v>
      </c>
      <c r="AW265" s="792">
        <f t="shared" si="91"/>
        <v>836893</v>
      </c>
      <c r="AX265" s="792">
        <f t="shared" si="91"/>
        <v>6054398</v>
      </c>
      <c r="AY265" s="792">
        <f t="shared" si="91"/>
        <v>1656779</v>
      </c>
      <c r="AZ265" s="792">
        <f t="shared" si="91"/>
        <v>5303434</v>
      </c>
      <c r="BA265" s="792">
        <f t="shared" si="91"/>
        <v>1954492</v>
      </c>
      <c r="BB265" s="792">
        <f t="shared" si="91"/>
        <v>19365471</v>
      </c>
      <c r="BC265" s="792">
        <f t="shared" si="91"/>
        <v>1586516</v>
      </c>
      <c r="BD265" s="792">
        <f t="shared" si="91"/>
        <v>2092080</v>
      </c>
      <c r="BE265" s="792">
        <f t="shared" si="91"/>
        <v>2709687</v>
      </c>
      <c r="BF265" s="792">
        <f t="shared" si="91"/>
        <v>4930997</v>
      </c>
      <c r="BG265" s="792">
        <f t="shared" si="91"/>
        <v>3138960</v>
      </c>
      <c r="BH265" s="792">
        <f t="shared" si="91"/>
        <v>3247889</v>
      </c>
      <c r="BI265" s="792">
        <f t="shared" si="91"/>
        <v>1634252</v>
      </c>
      <c r="BJ265" s="792">
        <f t="shared" si="91"/>
        <v>2068490</v>
      </c>
      <c r="BK265" s="792">
        <f t="shared" si="91"/>
        <v>25086266</v>
      </c>
      <c r="BL265" s="792">
        <f t="shared" si="91"/>
        <v>6814780</v>
      </c>
      <c r="BM265" s="792">
        <f t="shared" si="91"/>
        <v>1450592</v>
      </c>
      <c r="BN265" s="792">
        <f t="shared" si="85"/>
        <v>2006780</v>
      </c>
      <c r="BO265" s="792">
        <f t="shared" si="85"/>
        <v>15904103</v>
      </c>
      <c r="BP265" s="792">
        <f t="shared" si="85"/>
        <v>7634448</v>
      </c>
      <c r="BQ265" s="792">
        <f t="shared" si="85"/>
        <v>8217252</v>
      </c>
      <c r="BR265" s="792">
        <f t="shared" si="85"/>
        <v>6666238</v>
      </c>
      <c r="BS265" s="792">
        <f t="shared" si="85"/>
        <v>4561683</v>
      </c>
      <c r="BT265" s="792">
        <f t="shared" si="85"/>
        <v>1379721</v>
      </c>
      <c r="BU265" s="792">
        <f t="shared" si="85"/>
        <v>1232158</v>
      </c>
      <c r="BV265" s="792">
        <f t="shared" si="85"/>
        <v>3743418</v>
      </c>
      <c r="BW265" s="792">
        <f t="shared" si="85"/>
        <v>7105444</v>
      </c>
      <c r="BX265" s="792">
        <f t="shared" si="85"/>
        <v>4390708</v>
      </c>
      <c r="BY265" s="792">
        <f t="shared" si="85"/>
        <v>7638116</v>
      </c>
      <c r="BZ265" s="792">
        <f t="shared" si="85"/>
        <v>2004520</v>
      </c>
      <c r="CA265" s="792">
        <f t="shared" si="85"/>
        <v>6671351</v>
      </c>
      <c r="CB265" s="792">
        <f t="shared" si="85"/>
        <v>6581202</v>
      </c>
      <c r="CC265" s="792">
        <f t="shared" si="85"/>
        <v>13460291</v>
      </c>
      <c r="CD265" s="792">
        <f t="shared" si="85"/>
        <v>7648892</v>
      </c>
      <c r="CE265" s="792">
        <f t="shared" si="85"/>
        <v>6896807</v>
      </c>
      <c r="CF265" s="792">
        <f t="shared" si="85"/>
        <v>4151053</v>
      </c>
      <c r="CG265" s="792">
        <f t="shared" si="85"/>
        <v>7910953</v>
      </c>
      <c r="CH265" s="792">
        <f t="shared" si="85"/>
        <v>4811628</v>
      </c>
      <c r="CI265" s="792">
        <f t="shared" si="85"/>
        <v>3436023</v>
      </c>
      <c r="CJ265" s="792">
        <f t="shared" si="85"/>
        <v>3238967</v>
      </c>
      <c r="CK265" s="792">
        <f t="shared" si="85"/>
        <v>4483355</v>
      </c>
      <c r="CL265" s="792">
        <f t="shared" si="85"/>
        <v>1402874</v>
      </c>
      <c r="CM265" s="792">
        <f t="shared" si="85"/>
        <v>2804306</v>
      </c>
      <c r="CN265" s="792">
        <f t="shared" si="85"/>
        <v>953973</v>
      </c>
      <c r="CO265" s="792">
        <f t="shared" si="85"/>
        <v>7116625</v>
      </c>
      <c r="CP265" s="792">
        <f t="shared" si="85"/>
        <v>2173085</v>
      </c>
      <c r="CQ265" s="792">
        <f t="shared" si="85"/>
        <v>35517325</v>
      </c>
      <c r="CR265" s="792">
        <f t="shared" si="85"/>
        <v>2195648</v>
      </c>
      <c r="CS265" s="792">
        <f t="shared" si="85"/>
        <v>2049109</v>
      </c>
      <c r="CT265" s="792">
        <f t="shared" si="85"/>
        <v>1826993</v>
      </c>
      <c r="CU265" s="792">
        <f t="shared" si="85"/>
        <v>33886338</v>
      </c>
      <c r="CV265" s="792">
        <f t="shared" si="85"/>
        <v>18465740</v>
      </c>
      <c r="CW265" s="792">
        <f t="shared" si="85"/>
        <v>7663803</v>
      </c>
      <c r="CX265" s="792">
        <f t="shared" si="85"/>
        <v>2852489</v>
      </c>
      <c r="CY265" s="792">
        <f t="shared" ref="CY265" si="92">CY116</f>
        <v>2989704</v>
      </c>
    </row>
    <row r="266" spans="1:103" x14ac:dyDescent="0.3">
      <c r="A266" s="792">
        <f t="shared" si="82"/>
        <v>557</v>
      </c>
      <c r="B266" s="792" t="str">
        <f t="shared" si="82"/>
        <v>Single Audit Only - Total amount of state awards and grants that were audited as major as found on SEFSA</v>
      </c>
      <c r="C266" s="792"/>
      <c r="D266" s="792">
        <f t="shared" ref="D266:AI266" si="93">D117</f>
        <v>11000157</v>
      </c>
      <c r="E266" s="792">
        <f t="shared" si="93"/>
        <v>690489</v>
      </c>
      <c r="F266" s="792">
        <f t="shared" si="93"/>
        <v>713880</v>
      </c>
      <c r="G266" s="792">
        <f t="shared" si="93"/>
        <v>388805</v>
      </c>
      <c r="H266" s="792">
        <f t="shared" si="93"/>
        <v>1990384</v>
      </c>
      <c r="I266" s="792">
        <f t="shared" si="93"/>
        <v>1048534</v>
      </c>
      <c r="J266" s="792">
        <f t="shared" si="93"/>
        <v>881613</v>
      </c>
      <c r="K266" s="792">
        <f t="shared" si="93"/>
        <v>687547</v>
      </c>
      <c r="L266" s="792">
        <f t="shared" si="93"/>
        <v>25514795</v>
      </c>
      <c r="M266" s="792">
        <f t="shared" si="93"/>
        <v>1878252</v>
      </c>
      <c r="N266" s="792">
        <f t="shared" si="93"/>
        <v>5364179</v>
      </c>
      <c r="O266" s="792">
        <f t="shared" si="93"/>
        <v>2300000</v>
      </c>
      <c r="P266" s="792">
        <f t="shared" si="93"/>
        <v>5872130</v>
      </c>
      <c r="Q266" s="792">
        <f t="shared" si="93"/>
        <v>5187553</v>
      </c>
      <c r="R266" s="792">
        <f t="shared" si="93"/>
        <v>417865</v>
      </c>
      <c r="S266" s="792">
        <f t="shared" si="93"/>
        <v>9206776</v>
      </c>
      <c r="T266" s="792">
        <f t="shared" si="93"/>
        <v>0</v>
      </c>
      <c r="U266" s="792">
        <f t="shared" si="93"/>
        <v>2117805</v>
      </c>
      <c r="V266" s="792">
        <f t="shared" si="93"/>
        <v>1041365</v>
      </c>
      <c r="W266" s="792">
        <f t="shared" si="93"/>
        <v>0</v>
      </c>
      <c r="X266" s="792">
        <f t="shared" si="93"/>
        <v>1303308</v>
      </c>
      <c r="Y266" s="792">
        <f t="shared" si="93"/>
        <v>1229492</v>
      </c>
      <c r="Z266" s="792">
        <f t="shared" si="93"/>
        <v>33640145</v>
      </c>
      <c r="AA266" s="792">
        <f t="shared" si="93"/>
        <v>6839773</v>
      </c>
      <c r="AB266" s="792">
        <f t="shared" si="93"/>
        <v>5219064</v>
      </c>
      <c r="AC266" s="792">
        <f t="shared" si="93"/>
        <v>7009860</v>
      </c>
      <c r="AD266" s="792">
        <f t="shared" si="93"/>
        <v>515549</v>
      </c>
      <c r="AE266" s="792">
        <f t="shared" si="93"/>
        <v>14794305</v>
      </c>
      <c r="AF266" s="792">
        <f t="shared" si="93"/>
        <v>4983882</v>
      </c>
      <c r="AG266" s="792">
        <f t="shared" si="93"/>
        <v>1934485</v>
      </c>
      <c r="AH266" s="792">
        <f t="shared" si="93"/>
        <v>2927673</v>
      </c>
      <c r="AI266" s="792">
        <f t="shared" si="93"/>
        <v>6473867</v>
      </c>
      <c r="AJ266" s="792">
        <f t="shared" ref="AJ266:BM266" si="94">AJ117</f>
        <v>1476861</v>
      </c>
      <c r="AK266" s="792">
        <f t="shared" si="94"/>
        <v>15840960</v>
      </c>
      <c r="AL266" s="792">
        <f t="shared" si="94"/>
        <v>4291829</v>
      </c>
      <c r="AM266" s="792">
        <f t="shared" si="94"/>
        <v>4933700</v>
      </c>
      <c r="AN266" s="792">
        <f t="shared" si="94"/>
        <v>1645</v>
      </c>
      <c r="AO266" s="792">
        <f t="shared" si="94"/>
        <v>0</v>
      </c>
      <c r="AP266" s="792">
        <f t="shared" si="94"/>
        <v>947088</v>
      </c>
      <c r="AQ266" s="792">
        <f t="shared" si="94"/>
        <v>1067650</v>
      </c>
      <c r="AR266" s="792">
        <f t="shared" si="94"/>
        <v>8612647</v>
      </c>
      <c r="AS266" s="792">
        <f t="shared" si="94"/>
        <v>1057121</v>
      </c>
      <c r="AT266" s="792">
        <f t="shared" si="94"/>
        <v>15671224</v>
      </c>
      <c r="AU266" s="792">
        <f t="shared" si="94"/>
        <v>1503166</v>
      </c>
      <c r="AV266" s="792">
        <f t="shared" si="94"/>
        <v>2796499</v>
      </c>
      <c r="AW266" s="792">
        <f t="shared" si="94"/>
        <v>379946</v>
      </c>
      <c r="AX266" s="792">
        <f t="shared" si="94"/>
        <v>4781931</v>
      </c>
      <c r="AY266" s="792">
        <f t="shared" si="94"/>
        <v>768997</v>
      </c>
      <c r="AZ266" s="792">
        <f t="shared" si="94"/>
        <v>2794098</v>
      </c>
      <c r="BA266" s="792">
        <f t="shared" si="94"/>
        <v>391607</v>
      </c>
      <c r="BB266" s="792">
        <f t="shared" si="94"/>
        <v>15422703</v>
      </c>
      <c r="BC266" s="792">
        <f t="shared" si="94"/>
        <v>757577</v>
      </c>
      <c r="BD266" s="792">
        <f t="shared" si="94"/>
        <v>722039</v>
      </c>
      <c r="BE266" s="792">
        <f t="shared" si="94"/>
        <v>1165809</v>
      </c>
      <c r="BF266" s="792">
        <f t="shared" si="94"/>
        <v>2166959</v>
      </c>
      <c r="BG266" s="792">
        <f t="shared" si="94"/>
        <v>1052045</v>
      </c>
      <c r="BH266" s="792">
        <f t="shared" si="94"/>
        <v>1875633</v>
      </c>
      <c r="BI266" s="792">
        <f t="shared" si="94"/>
        <v>834204</v>
      </c>
      <c r="BJ266" s="792">
        <f t="shared" si="94"/>
        <v>759543</v>
      </c>
      <c r="BK266" s="792">
        <f t="shared" si="94"/>
        <v>15162743</v>
      </c>
      <c r="BL266" s="792">
        <f t="shared" si="94"/>
        <v>6057141</v>
      </c>
      <c r="BM266" s="792">
        <f t="shared" si="94"/>
        <v>594883</v>
      </c>
      <c r="BN266" s="792">
        <f t="shared" si="85"/>
        <v>1045939</v>
      </c>
      <c r="BO266" s="792">
        <f t="shared" si="85"/>
        <v>6132238</v>
      </c>
      <c r="BP266" s="792">
        <f t="shared" si="85"/>
        <v>3356241</v>
      </c>
      <c r="BQ266" s="792">
        <f t="shared" si="85"/>
        <v>6975176</v>
      </c>
      <c r="BR266" s="792">
        <f t="shared" si="85"/>
        <v>2830992</v>
      </c>
      <c r="BS266" s="792">
        <f t="shared" si="85"/>
        <v>2395341</v>
      </c>
      <c r="BT266" s="792">
        <f t="shared" si="85"/>
        <v>649909</v>
      </c>
      <c r="BU266" s="792">
        <f t="shared" si="85"/>
        <v>642424</v>
      </c>
      <c r="BV266" s="792">
        <f t="shared" si="85"/>
        <v>1518044</v>
      </c>
      <c r="BW266" s="792">
        <f t="shared" si="85"/>
        <v>4488008</v>
      </c>
      <c r="BX266" s="792">
        <f t="shared" si="85"/>
        <v>2636767</v>
      </c>
      <c r="BY266" s="792">
        <f t="shared" si="85"/>
        <v>3457486</v>
      </c>
      <c r="BZ266" s="792">
        <f t="shared" si="85"/>
        <v>754329</v>
      </c>
      <c r="CA266" s="792">
        <f t="shared" si="85"/>
        <v>2944303</v>
      </c>
      <c r="CB266" s="792">
        <f t="shared" si="85"/>
        <v>3720490</v>
      </c>
      <c r="CC266" s="792">
        <f t="shared" si="85"/>
        <v>9658534</v>
      </c>
      <c r="CD266" s="792">
        <f t="shared" si="85"/>
        <v>3472604</v>
      </c>
      <c r="CE266" s="792">
        <f t="shared" si="85"/>
        <v>2938907</v>
      </c>
      <c r="CF266" s="792">
        <f t="shared" si="85"/>
        <v>2032364</v>
      </c>
      <c r="CG266" s="792">
        <f t="shared" si="85"/>
        <v>4608442</v>
      </c>
      <c r="CH266" s="792">
        <f t="shared" si="85"/>
        <v>2704400</v>
      </c>
      <c r="CI266" s="792">
        <f t="shared" si="85"/>
        <v>1255571</v>
      </c>
      <c r="CJ266" s="792">
        <f t="shared" si="85"/>
        <v>1418564</v>
      </c>
      <c r="CK266" s="792">
        <f t="shared" si="85"/>
        <v>2146700</v>
      </c>
      <c r="CL266" s="792">
        <f t="shared" si="85"/>
        <v>555970</v>
      </c>
      <c r="CM266" s="792">
        <f t="shared" si="85"/>
        <v>1354015</v>
      </c>
      <c r="CN266" s="792">
        <f t="shared" si="85"/>
        <v>210796</v>
      </c>
      <c r="CO266" s="792">
        <f t="shared" si="85"/>
        <v>3791812</v>
      </c>
      <c r="CP266" s="792">
        <f t="shared" si="85"/>
        <v>1078465</v>
      </c>
      <c r="CQ266" s="792">
        <f t="shared" si="85"/>
        <v>26860018</v>
      </c>
      <c r="CR266" s="792">
        <f t="shared" si="85"/>
        <v>1064115</v>
      </c>
      <c r="CS266" s="792">
        <f t="shared" si="85"/>
        <v>1472744</v>
      </c>
      <c r="CT266" s="792">
        <f t="shared" si="85"/>
        <v>1055901</v>
      </c>
      <c r="CU266" s="792">
        <f t="shared" si="85"/>
        <v>28973770</v>
      </c>
      <c r="CV266" s="792">
        <f t="shared" si="85"/>
        <v>14370793</v>
      </c>
      <c r="CW266" s="792">
        <f t="shared" si="85"/>
        <v>4879536</v>
      </c>
      <c r="CX266" s="792">
        <f t="shared" si="85"/>
        <v>650623</v>
      </c>
      <c r="CY266" s="792">
        <f t="shared" ref="CY266" si="95">CY117</f>
        <v>2169257</v>
      </c>
    </row>
    <row r="267" spans="1:103" x14ac:dyDescent="0.3">
      <c r="A267" s="792">
        <f>A134</f>
        <v>606</v>
      </c>
      <c r="B267" s="792" t="str">
        <f>B134</f>
        <v>Compliance opinion - enter "1" for clean Opinion or "2" for other than clean opinion</v>
      </c>
      <c r="C267" s="792"/>
      <c r="D267" s="792">
        <f t="shared" ref="D267:AI267" si="96">D134</f>
        <v>1</v>
      </c>
      <c r="E267" s="792">
        <f t="shared" si="96"/>
        <v>1</v>
      </c>
      <c r="F267" s="792">
        <f t="shared" si="96"/>
        <v>1</v>
      </c>
      <c r="G267" s="792">
        <f t="shared" si="96"/>
        <v>1</v>
      </c>
      <c r="H267" s="792">
        <f t="shared" si="96"/>
        <v>1</v>
      </c>
      <c r="I267" s="792">
        <f t="shared" si="96"/>
        <v>1</v>
      </c>
      <c r="J267" s="792">
        <f t="shared" si="96"/>
        <v>1</v>
      </c>
      <c r="K267" s="792">
        <f t="shared" si="96"/>
        <v>1</v>
      </c>
      <c r="L267" s="792">
        <f t="shared" si="96"/>
        <v>1</v>
      </c>
      <c r="M267" s="792">
        <f t="shared" si="96"/>
        <v>1</v>
      </c>
      <c r="N267" s="792">
        <f t="shared" si="96"/>
        <v>1</v>
      </c>
      <c r="O267" s="792">
        <f t="shared" si="96"/>
        <v>1</v>
      </c>
      <c r="P267" s="792">
        <f t="shared" si="96"/>
        <v>1</v>
      </c>
      <c r="Q267" s="792">
        <f t="shared" si="96"/>
        <v>1</v>
      </c>
      <c r="R267" s="792">
        <f t="shared" si="96"/>
        <v>1</v>
      </c>
      <c r="S267" s="792">
        <f t="shared" si="96"/>
        <v>1</v>
      </c>
      <c r="T267" s="792">
        <f t="shared" si="96"/>
        <v>0</v>
      </c>
      <c r="U267" s="792">
        <f t="shared" si="96"/>
        <v>1</v>
      </c>
      <c r="V267" s="792">
        <f t="shared" si="96"/>
        <v>1</v>
      </c>
      <c r="W267" s="792">
        <f t="shared" si="96"/>
        <v>0</v>
      </c>
      <c r="X267" s="792">
        <f t="shared" si="96"/>
        <v>1</v>
      </c>
      <c r="Y267" s="792">
        <f t="shared" si="96"/>
        <v>1</v>
      </c>
      <c r="Z267" s="792">
        <f t="shared" si="96"/>
        <v>1</v>
      </c>
      <c r="AA267" s="792">
        <f t="shared" si="96"/>
        <v>1</v>
      </c>
      <c r="AB267" s="792">
        <f t="shared" si="96"/>
        <v>1</v>
      </c>
      <c r="AC267" s="792">
        <f t="shared" si="96"/>
        <v>1</v>
      </c>
      <c r="AD267" s="792">
        <f t="shared" si="96"/>
        <v>1</v>
      </c>
      <c r="AE267" s="792">
        <f t="shared" si="96"/>
        <v>1</v>
      </c>
      <c r="AF267" s="792">
        <f t="shared" si="96"/>
        <v>1</v>
      </c>
      <c r="AG267" s="792">
        <f t="shared" si="96"/>
        <v>1</v>
      </c>
      <c r="AH267" s="792">
        <f t="shared" si="96"/>
        <v>1</v>
      </c>
      <c r="AI267" s="792">
        <f t="shared" si="96"/>
        <v>1</v>
      </c>
      <c r="AJ267" s="792">
        <f t="shared" ref="AJ267:BM267" si="97">AJ134</f>
        <v>1</v>
      </c>
      <c r="AK267" s="792">
        <f t="shared" si="97"/>
        <v>1</v>
      </c>
      <c r="AL267" s="792">
        <f t="shared" si="97"/>
        <v>1</v>
      </c>
      <c r="AM267" s="792">
        <f t="shared" si="97"/>
        <v>2</v>
      </c>
      <c r="AN267" s="792">
        <f t="shared" si="97"/>
        <v>1</v>
      </c>
      <c r="AO267" s="792">
        <f t="shared" si="97"/>
        <v>0</v>
      </c>
      <c r="AP267" s="792">
        <f t="shared" si="97"/>
        <v>1</v>
      </c>
      <c r="AQ267" s="792">
        <f t="shared" si="97"/>
        <v>1</v>
      </c>
      <c r="AR267" s="792">
        <f t="shared" si="97"/>
        <v>1</v>
      </c>
      <c r="AS267" s="792">
        <f t="shared" si="97"/>
        <v>1</v>
      </c>
      <c r="AT267" s="792">
        <f t="shared" si="97"/>
        <v>1</v>
      </c>
      <c r="AU267" s="792">
        <f t="shared" si="97"/>
        <v>1</v>
      </c>
      <c r="AV267" s="792">
        <f t="shared" si="97"/>
        <v>1</v>
      </c>
      <c r="AW267" s="792">
        <f t="shared" si="97"/>
        <v>1</v>
      </c>
      <c r="AX267" s="792">
        <f t="shared" si="97"/>
        <v>1</v>
      </c>
      <c r="AY267" s="792">
        <f t="shared" si="97"/>
        <v>1</v>
      </c>
      <c r="AZ267" s="792">
        <f t="shared" si="97"/>
        <v>1</v>
      </c>
      <c r="BA267" s="792">
        <f t="shared" si="97"/>
        <v>1</v>
      </c>
      <c r="BB267" s="792">
        <f t="shared" si="97"/>
        <v>1</v>
      </c>
      <c r="BC267" s="792">
        <f t="shared" si="97"/>
        <v>1</v>
      </c>
      <c r="BD267" s="792">
        <f t="shared" si="97"/>
        <v>1</v>
      </c>
      <c r="BE267" s="792">
        <f t="shared" si="97"/>
        <v>1</v>
      </c>
      <c r="BF267" s="792">
        <f t="shared" si="97"/>
        <v>1</v>
      </c>
      <c r="BG267" s="792">
        <f t="shared" si="97"/>
        <v>1</v>
      </c>
      <c r="BH267" s="792">
        <f t="shared" si="97"/>
        <v>1</v>
      </c>
      <c r="BI267" s="792">
        <f t="shared" si="97"/>
        <v>1</v>
      </c>
      <c r="BJ267" s="792">
        <f t="shared" si="97"/>
        <v>1</v>
      </c>
      <c r="BK267" s="792">
        <f t="shared" si="97"/>
        <v>1</v>
      </c>
      <c r="BL267" s="792">
        <f t="shared" si="97"/>
        <v>1</v>
      </c>
      <c r="BM267" s="792">
        <f t="shared" si="97"/>
        <v>1</v>
      </c>
      <c r="BN267" s="792">
        <f t="shared" ref="BN267:CX267" si="98">BN134</f>
        <v>1</v>
      </c>
      <c r="BO267" s="792">
        <f t="shared" si="98"/>
        <v>1</v>
      </c>
      <c r="BP267" s="792">
        <f t="shared" si="98"/>
        <v>1</v>
      </c>
      <c r="BQ267" s="792">
        <f t="shared" si="98"/>
        <v>1</v>
      </c>
      <c r="BR267" s="792">
        <f t="shared" si="98"/>
        <v>1</v>
      </c>
      <c r="BS267" s="792">
        <f t="shared" si="98"/>
        <v>1</v>
      </c>
      <c r="BT267" s="792">
        <f t="shared" si="98"/>
        <v>1</v>
      </c>
      <c r="BU267" s="792">
        <f t="shared" si="98"/>
        <v>1</v>
      </c>
      <c r="BV267" s="792">
        <f t="shared" si="98"/>
        <v>1</v>
      </c>
      <c r="BW267" s="792">
        <f t="shared" si="98"/>
        <v>1</v>
      </c>
      <c r="BX267" s="792">
        <f t="shared" si="98"/>
        <v>1</v>
      </c>
      <c r="BY267" s="792">
        <f t="shared" si="98"/>
        <v>1</v>
      </c>
      <c r="BZ267" s="792">
        <f t="shared" si="98"/>
        <v>1</v>
      </c>
      <c r="CA267" s="792">
        <f t="shared" si="98"/>
        <v>1</v>
      </c>
      <c r="CB267" s="792">
        <f t="shared" si="98"/>
        <v>1</v>
      </c>
      <c r="CC267" s="792">
        <f t="shared" si="98"/>
        <v>1</v>
      </c>
      <c r="CD267" s="792">
        <f t="shared" si="98"/>
        <v>1</v>
      </c>
      <c r="CE267" s="792">
        <f t="shared" si="98"/>
        <v>1</v>
      </c>
      <c r="CF267" s="792">
        <f t="shared" si="98"/>
        <v>1</v>
      </c>
      <c r="CG267" s="792">
        <f t="shared" si="98"/>
        <v>1</v>
      </c>
      <c r="CH267" s="792">
        <f t="shared" si="98"/>
        <v>1</v>
      </c>
      <c r="CI267" s="792">
        <f t="shared" si="98"/>
        <v>1</v>
      </c>
      <c r="CJ267" s="792">
        <f t="shared" si="98"/>
        <v>1</v>
      </c>
      <c r="CK267" s="792">
        <f t="shared" si="98"/>
        <v>1</v>
      </c>
      <c r="CL267" s="792">
        <f t="shared" si="98"/>
        <v>1</v>
      </c>
      <c r="CM267" s="792">
        <f t="shared" si="98"/>
        <v>1</v>
      </c>
      <c r="CN267" s="792">
        <f t="shared" si="98"/>
        <v>1</v>
      </c>
      <c r="CO267" s="792">
        <f t="shared" si="98"/>
        <v>1</v>
      </c>
      <c r="CP267" s="792">
        <f t="shared" si="98"/>
        <v>1</v>
      </c>
      <c r="CQ267" s="792">
        <f t="shared" si="98"/>
        <v>1</v>
      </c>
      <c r="CR267" s="792">
        <f t="shared" si="98"/>
        <v>1</v>
      </c>
      <c r="CS267" s="792">
        <f t="shared" si="98"/>
        <v>1</v>
      </c>
      <c r="CT267" s="792">
        <f t="shared" si="98"/>
        <v>1</v>
      </c>
      <c r="CU267" s="792">
        <f t="shared" si="98"/>
        <v>1</v>
      </c>
      <c r="CV267" s="792">
        <f t="shared" si="98"/>
        <v>1</v>
      </c>
      <c r="CW267" s="792">
        <f t="shared" si="98"/>
        <v>1</v>
      </c>
      <c r="CX267" s="792">
        <f t="shared" si="98"/>
        <v>1</v>
      </c>
      <c r="CY267" s="792">
        <f t="shared" ref="CY267" si="99">CY134</f>
        <v>1</v>
      </c>
    </row>
    <row r="268" spans="1:103" x14ac:dyDescent="0.3">
      <c r="A268" s="793">
        <f>A44</f>
        <v>336</v>
      </c>
      <c r="B268" s="793" t="str">
        <f>B44</f>
        <v>Gov - Select Current Liabilities</v>
      </c>
      <c r="C268" s="793"/>
      <c r="D268" s="793">
        <f t="shared" ref="D268:AI268" si="100">D44</f>
        <v>23014167</v>
      </c>
      <c r="E268" s="793">
        <f t="shared" si="100"/>
        <v>10594815</v>
      </c>
      <c r="F268" s="793">
        <f t="shared" si="100"/>
        <v>4243200</v>
      </c>
      <c r="G268" s="793">
        <f t="shared" si="100"/>
        <v>2051650</v>
      </c>
      <c r="H268" s="793">
        <f t="shared" si="100"/>
        <v>2825138</v>
      </c>
      <c r="I268" s="793">
        <f t="shared" si="100"/>
        <v>2449296</v>
      </c>
      <c r="J268" s="793">
        <f t="shared" si="100"/>
        <v>7338761</v>
      </c>
      <c r="K268" s="793">
        <f t="shared" si="100"/>
        <v>3583782</v>
      </c>
      <c r="L268" s="793">
        <f t="shared" si="100"/>
        <v>6610411</v>
      </c>
      <c r="M268" s="793">
        <f t="shared" si="100"/>
        <v>38241069</v>
      </c>
      <c r="N268" s="793">
        <f t="shared" si="100"/>
        <v>114596342</v>
      </c>
      <c r="O268" s="793">
        <f t="shared" si="100"/>
        <v>13565539</v>
      </c>
      <c r="P268" s="793">
        <f t="shared" si="100"/>
        <v>201467403</v>
      </c>
      <c r="Q268" s="793">
        <f t="shared" si="100"/>
        <v>8439800</v>
      </c>
      <c r="R268" s="793">
        <f t="shared" si="100"/>
        <v>912948</v>
      </c>
      <c r="S268" s="793">
        <f t="shared" si="100"/>
        <v>4744863</v>
      </c>
      <c r="T268" s="793">
        <f t="shared" si="100"/>
        <v>0</v>
      </c>
      <c r="U268" s="793">
        <f t="shared" si="100"/>
        <v>40743039</v>
      </c>
      <c r="V268" s="793">
        <f t="shared" si="100"/>
        <v>27749817</v>
      </c>
      <c r="W268" s="793">
        <f t="shared" si="100"/>
        <v>0</v>
      </c>
      <c r="X268" s="793">
        <f t="shared" si="100"/>
        <v>2181524</v>
      </c>
      <c r="Y268" s="793">
        <f t="shared" si="100"/>
        <v>6075122</v>
      </c>
      <c r="Z268" s="793">
        <f t="shared" si="100"/>
        <v>83021691</v>
      </c>
      <c r="AA268" s="793">
        <f t="shared" si="100"/>
        <v>12917262</v>
      </c>
      <c r="AB268" s="793">
        <f t="shared" si="100"/>
        <v>19756513</v>
      </c>
      <c r="AC268" s="793">
        <f t="shared" si="100"/>
        <v>75378422</v>
      </c>
      <c r="AD268" s="793">
        <f t="shared" si="100"/>
        <v>8743889</v>
      </c>
      <c r="AE268" s="793">
        <f t="shared" si="100"/>
        <v>65612159</v>
      </c>
      <c r="AF268" s="793">
        <f t="shared" si="100"/>
        <v>18226383</v>
      </c>
      <c r="AG268" s="793">
        <f t="shared" si="100"/>
        <v>11340030</v>
      </c>
      <c r="AH268" s="793">
        <f t="shared" si="100"/>
        <v>9401782</v>
      </c>
      <c r="AI268" s="793">
        <f t="shared" si="100"/>
        <v>103323554</v>
      </c>
      <c r="AJ268" s="793">
        <f t="shared" ref="AJ268:BM268" si="101">AJ44</f>
        <v>11744170</v>
      </c>
      <c r="AK268" s="793">
        <f t="shared" si="101"/>
        <v>159770727</v>
      </c>
      <c r="AL268" s="793">
        <f t="shared" si="101"/>
        <v>14668167</v>
      </c>
      <c r="AM268" s="793">
        <f t="shared" si="101"/>
        <v>95007607</v>
      </c>
      <c r="AN268" s="793">
        <f t="shared" si="101"/>
        <v>4233578</v>
      </c>
      <c r="AO268" s="793">
        <f t="shared" si="101"/>
        <v>0</v>
      </c>
      <c r="AP268" s="793">
        <f t="shared" si="101"/>
        <v>11131583</v>
      </c>
      <c r="AQ268" s="793">
        <f t="shared" si="101"/>
        <v>2442052</v>
      </c>
      <c r="AR268" s="793">
        <f t="shared" si="101"/>
        <v>212420072</v>
      </c>
      <c r="AS268" s="793">
        <f t="shared" si="101"/>
        <v>7846909</v>
      </c>
      <c r="AT268" s="793">
        <f t="shared" si="101"/>
        <v>61290148</v>
      </c>
      <c r="AU268" s="793">
        <f t="shared" si="101"/>
        <v>14332937</v>
      </c>
      <c r="AV268" s="793">
        <f t="shared" si="101"/>
        <v>28221963</v>
      </c>
      <c r="AW268" s="793">
        <f t="shared" si="101"/>
        <v>4002396</v>
      </c>
      <c r="AX268" s="793">
        <f t="shared" si="101"/>
        <v>37357260</v>
      </c>
      <c r="AY268" s="793">
        <f t="shared" si="101"/>
        <v>1750819</v>
      </c>
      <c r="AZ268" s="793">
        <f t="shared" si="101"/>
        <v>59220740</v>
      </c>
      <c r="BA268" s="793">
        <f t="shared" si="101"/>
        <v>12029115</v>
      </c>
      <c r="BB268" s="793">
        <f t="shared" si="101"/>
        <v>44057567</v>
      </c>
      <c r="BC268" s="793">
        <f t="shared" si="101"/>
        <v>1390935</v>
      </c>
      <c r="BD268" s="793">
        <f t="shared" si="101"/>
        <v>17005304</v>
      </c>
      <c r="BE268" s="793">
        <f t="shared" si="101"/>
        <v>16151795</v>
      </c>
      <c r="BF268" s="793">
        <f t="shared" si="101"/>
        <v>34669704</v>
      </c>
      <c r="BG268" s="793">
        <f t="shared" si="101"/>
        <v>7153619</v>
      </c>
      <c r="BH268" s="793">
        <f t="shared" si="101"/>
        <v>4866468</v>
      </c>
      <c r="BI268" s="793">
        <f t="shared" si="101"/>
        <v>5437452</v>
      </c>
      <c r="BJ268" s="793">
        <f t="shared" si="101"/>
        <v>2215965</v>
      </c>
      <c r="BK268" s="793">
        <f t="shared" si="101"/>
        <v>543812028</v>
      </c>
      <c r="BL268" s="793">
        <f t="shared" si="101"/>
        <v>10162128</v>
      </c>
      <c r="BM268" s="793">
        <f t="shared" si="101"/>
        <v>9524977</v>
      </c>
      <c r="BN268" s="793">
        <f t="shared" ref="BN268:CX268" si="102">BN44</f>
        <v>35241131</v>
      </c>
      <c r="BO268" s="793">
        <f t="shared" si="102"/>
        <v>12998819</v>
      </c>
      <c r="BP268" s="793">
        <f t="shared" si="102"/>
        <v>93287837</v>
      </c>
      <c r="BQ268" s="793">
        <f t="shared" si="102"/>
        <v>13225859</v>
      </c>
      <c r="BR268" s="793">
        <f t="shared" si="102"/>
        <v>72376114</v>
      </c>
      <c r="BS268" s="793">
        <f t="shared" si="102"/>
        <v>65444290</v>
      </c>
      <c r="BT268" s="793">
        <f t="shared" si="102"/>
        <v>1536042</v>
      </c>
      <c r="BU268" s="793">
        <f t="shared" si="102"/>
        <v>6651405</v>
      </c>
      <c r="BV268" s="793">
        <f t="shared" si="102"/>
        <v>26039339</v>
      </c>
      <c r="BW268" s="793">
        <f t="shared" si="102"/>
        <v>166275</v>
      </c>
      <c r="BX268" s="793">
        <f t="shared" si="102"/>
        <v>20296327</v>
      </c>
      <c r="BY268" s="793">
        <f t="shared" si="102"/>
        <v>51436002</v>
      </c>
      <c r="BZ268" s="793">
        <f t="shared" si="102"/>
        <v>11321361</v>
      </c>
      <c r="CA268" s="793">
        <f t="shared" si="102"/>
        <v>20563108</v>
      </c>
      <c r="CB268" s="793">
        <f t="shared" si="102"/>
        <v>9159800</v>
      </c>
      <c r="CC268" s="793">
        <f t="shared" si="102"/>
        <v>5327622</v>
      </c>
      <c r="CD268" s="793">
        <f t="shared" si="102"/>
        <v>30727071</v>
      </c>
      <c r="CE268" s="793">
        <f t="shared" si="102"/>
        <v>41673956</v>
      </c>
      <c r="CF268" s="793">
        <f t="shared" si="102"/>
        <v>7053520</v>
      </c>
      <c r="CG268" s="793">
        <f t="shared" si="102"/>
        <v>14687008</v>
      </c>
      <c r="CH268" s="793">
        <f t="shared" si="102"/>
        <v>4972131</v>
      </c>
      <c r="CI268" s="793">
        <f t="shared" si="102"/>
        <v>22012831</v>
      </c>
      <c r="CJ268" s="793">
        <f t="shared" si="102"/>
        <v>23071715</v>
      </c>
      <c r="CK268" s="793">
        <f t="shared" si="102"/>
        <v>12874070</v>
      </c>
      <c r="CL268" s="793">
        <f t="shared" si="102"/>
        <v>8420941</v>
      </c>
      <c r="CM268" s="793">
        <f t="shared" si="102"/>
        <v>6131308</v>
      </c>
      <c r="CN268" s="793">
        <f t="shared" si="102"/>
        <v>701755</v>
      </c>
      <c r="CO268" s="793">
        <f t="shared" si="102"/>
        <v>89396423</v>
      </c>
      <c r="CP268" s="793">
        <f t="shared" si="102"/>
        <v>11092785</v>
      </c>
      <c r="CQ268" s="793">
        <f t="shared" si="102"/>
        <v>386350115</v>
      </c>
      <c r="CR268" s="793">
        <f t="shared" si="102"/>
        <v>2550769</v>
      </c>
      <c r="CS268" s="793">
        <f t="shared" si="102"/>
        <v>2362828</v>
      </c>
      <c r="CT268" s="793">
        <f t="shared" si="102"/>
        <v>18558837</v>
      </c>
      <c r="CU268" s="793">
        <f t="shared" si="102"/>
        <v>57822055</v>
      </c>
      <c r="CV268" s="793">
        <f t="shared" si="102"/>
        <v>15902931</v>
      </c>
      <c r="CW268" s="793">
        <f t="shared" si="102"/>
        <v>6076725</v>
      </c>
      <c r="CX268" s="793">
        <f t="shared" si="102"/>
        <v>7222302</v>
      </c>
      <c r="CY268" s="793">
        <f t="shared" ref="CY268" si="103">CY44</f>
        <v>3147964</v>
      </c>
    </row>
    <row r="269" spans="1:103" x14ac:dyDescent="0.3">
      <c r="A269" s="793">
        <f>A13</f>
        <v>44</v>
      </c>
      <c r="B269" s="793" t="str">
        <f>B13</f>
        <v>WS - Total Current Assets</v>
      </c>
      <c r="C269" s="793"/>
      <c r="D269" s="793">
        <f t="shared" ref="D269:AI269" si="104">D13</f>
        <v>0</v>
      </c>
      <c r="E269" s="793">
        <f t="shared" si="104"/>
        <v>9033984</v>
      </c>
      <c r="F269" s="793">
        <f t="shared" si="104"/>
        <v>0</v>
      </c>
      <c r="G269" s="793">
        <f t="shared" si="104"/>
        <v>9213509</v>
      </c>
      <c r="H269" s="793">
        <f t="shared" si="104"/>
        <v>0</v>
      </c>
      <c r="I269" s="793">
        <f t="shared" si="104"/>
        <v>0</v>
      </c>
      <c r="J269" s="793">
        <f t="shared" si="104"/>
        <v>13578025</v>
      </c>
      <c r="K269" s="793">
        <f t="shared" si="104"/>
        <v>2266064</v>
      </c>
      <c r="L269" s="793">
        <f t="shared" si="104"/>
        <v>3545533</v>
      </c>
      <c r="M269" s="793">
        <f t="shared" si="104"/>
        <v>135844797</v>
      </c>
      <c r="N269" s="793">
        <f t="shared" si="104"/>
        <v>0</v>
      </c>
      <c r="O269" s="793">
        <f t="shared" si="104"/>
        <v>1014932</v>
      </c>
      <c r="P269" s="793">
        <f t="shared" si="104"/>
        <v>0</v>
      </c>
      <c r="Q269" s="793">
        <f t="shared" si="104"/>
        <v>8622742</v>
      </c>
      <c r="R269" s="793">
        <f t="shared" si="104"/>
        <v>3699988</v>
      </c>
      <c r="S269" s="793">
        <f t="shared" si="104"/>
        <v>2752077</v>
      </c>
      <c r="T269" s="793">
        <f t="shared" si="104"/>
        <v>0</v>
      </c>
      <c r="U269" s="793">
        <f t="shared" si="104"/>
        <v>0</v>
      </c>
      <c r="V269" s="793">
        <f t="shared" si="104"/>
        <v>28197879</v>
      </c>
      <c r="W269" s="793">
        <f t="shared" si="104"/>
        <v>0</v>
      </c>
      <c r="X269" s="793">
        <f t="shared" si="104"/>
        <v>3721403</v>
      </c>
      <c r="Y269" s="793">
        <f t="shared" si="104"/>
        <v>478324</v>
      </c>
      <c r="Z269" s="793">
        <f t="shared" si="104"/>
        <v>0</v>
      </c>
      <c r="AA269" s="793">
        <f t="shared" si="104"/>
        <v>6700550</v>
      </c>
      <c r="AB269" s="793">
        <f t="shared" si="104"/>
        <v>13747903</v>
      </c>
      <c r="AC269" s="793">
        <f t="shared" si="104"/>
        <v>2047414</v>
      </c>
      <c r="AD269" s="793">
        <f t="shared" si="104"/>
        <v>27647678</v>
      </c>
      <c r="AE269" s="793">
        <f t="shared" si="104"/>
        <v>8077342</v>
      </c>
      <c r="AF269" s="793">
        <f t="shared" si="104"/>
        <v>1877508</v>
      </c>
      <c r="AG269" s="793">
        <f t="shared" si="104"/>
        <v>16546907</v>
      </c>
      <c r="AH269" s="793">
        <f t="shared" si="104"/>
        <v>12845368</v>
      </c>
      <c r="AI269" s="793">
        <f t="shared" si="104"/>
        <v>47168861</v>
      </c>
      <c r="AJ269" s="793">
        <f t="shared" ref="AJ269:BM269" si="105">AJ13</f>
        <v>3016546</v>
      </c>
      <c r="AK269" s="793">
        <f t="shared" si="105"/>
        <v>0</v>
      </c>
      <c r="AL269" s="793">
        <f t="shared" si="105"/>
        <v>30716122</v>
      </c>
      <c r="AM269" s="793">
        <f t="shared" si="105"/>
        <v>0</v>
      </c>
      <c r="AN269" s="793">
        <f t="shared" si="105"/>
        <v>2959249</v>
      </c>
      <c r="AO269" s="793">
        <f t="shared" si="105"/>
        <v>0</v>
      </c>
      <c r="AP269" s="793">
        <f t="shared" si="105"/>
        <v>0</v>
      </c>
      <c r="AQ269" s="793">
        <f t="shared" si="105"/>
        <v>2967265</v>
      </c>
      <c r="AR269" s="793">
        <f t="shared" si="105"/>
        <v>0</v>
      </c>
      <c r="AS269" s="793">
        <f t="shared" si="105"/>
        <v>5900209</v>
      </c>
      <c r="AT269" s="793">
        <f t="shared" si="105"/>
        <v>98991240</v>
      </c>
      <c r="AU269" s="793">
        <f t="shared" si="105"/>
        <v>0</v>
      </c>
      <c r="AV269" s="793">
        <f t="shared" si="105"/>
        <v>740715</v>
      </c>
      <c r="AW269" s="793">
        <f t="shared" si="105"/>
        <v>5414422</v>
      </c>
      <c r="AX269" s="793">
        <f t="shared" si="105"/>
        <v>7115963</v>
      </c>
      <c r="AY269" s="793">
        <f t="shared" si="105"/>
        <v>1137403</v>
      </c>
      <c r="AZ269" s="793">
        <f t="shared" si="105"/>
        <v>0</v>
      </c>
      <c r="BA269" s="793">
        <f t="shared" si="105"/>
        <v>0</v>
      </c>
      <c r="BB269" s="793">
        <f t="shared" si="105"/>
        <v>76939597</v>
      </c>
      <c r="BC269" s="793">
        <f t="shared" si="105"/>
        <v>5483261</v>
      </c>
      <c r="BD269" s="793">
        <f t="shared" si="105"/>
        <v>0</v>
      </c>
      <c r="BE269" s="793">
        <f t="shared" si="105"/>
        <v>0</v>
      </c>
      <c r="BF269" s="793">
        <f t="shared" si="105"/>
        <v>41859559</v>
      </c>
      <c r="BG269" s="793">
        <f t="shared" si="105"/>
        <v>0</v>
      </c>
      <c r="BH269" s="793">
        <f t="shared" si="105"/>
        <v>0</v>
      </c>
      <c r="BI269" s="793">
        <f t="shared" si="105"/>
        <v>314400</v>
      </c>
      <c r="BJ269" s="793">
        <f t="shared" si="105"/>
        <v>275329</v>
      </c>
      <c r="BK269" s="793">
        <f t="shared" si="105"/>
        <v>0</v>
      </c>
      <c r="BL269" s="793">
        <f t="shared" si="105"/>
        <v>0</v>
      </c>
      <c r="BM269" s="793">
        <f t="shared" si="105"/>
        <v>10801071</v>
      </c>
      <c r="BN269" s="793">
        <f t="shared" ref="BN269:CX269" si="106">BN13</f>
        <v>23046459</v>
      </c>
      <c r="BO269" s="793">
        <f t="shared" si="106"/>
        <v>3665042</v>
      </c>
      <c r="BP269" s="793">
        <f t="shared" si="106"/>
        <v>0</v>
      </c>
      <c r="BQ269" s="793">
        <f t="shared" si="106"/>
        <v>2554118</v>
      </c>
      <c r="BR269" s="793">
        <f t="shared" si="106"/>
        <v>0</v>
      </c>
      <c r="BS269" s="793">
        <f t="shared" si="106"/>
        <v>0</v>
      </c>
      <c r="BT269" s="793">
        <f t="shared" si="106"/>
        <v>3537602</v>
      </c>
      <c r="BU269" s="793">
        <f t="shared" si="106"/>
        <v>11026512</v>
      </c>
      <c r="BV269" s="793">
        <f t="shared" si="106"/>
        <v>14422683</v>
      </c>
      <c r="BW269" s="793">
        <f t="shared" si="106"/>
        <v>2072140</v>
      </c>
      <c r="BX269" s="793">
        <f t="shared" si="106"/>
        <v>0</v>
      </c>
      <c r="BY269" s="793">
        <f t="shared" si="106"/>
        <v>0</v>
      </c>
      <c r="BZ269" s="793">
        <f t="shared" si="106"/>
        <v>431277</v>
      </c>
      <c r="CA269" s="793">
        <f t="shared" si="106"/>
        <v>0</v>
      </c>
      <c r="CB269" s="793">
        <f t="shared" si="106"/>
        <v>14623752</v>
      </c>
      <c r="CC269" s="793">
        <f t="shared" si="106"/>
        <v>18235656</v>
      </c>
      <c r="CD269" s="793">
        <f t="shared" si="106"/>
        <v>7159411</v>
      </c>
      <c r="CE269" s="793">
        <f t="shared" si="106"/>
        <v>766377</v>
      </c>
      <c r="CF269" s="793">
        <f t="shared" si="106"/>
        <v>0</v>
      </c>
      <c r="CG269" s="793">
        <f t="shared" si="106"/>
        <v>11835000</v>
      </c>
      <c r="CH269" s="793">
        <f t="shared" si="106"/>
        <v>4032752</v>
      </c>
      <c r="CI269" s="793">
        <f t="shared" si="106"/>
        <v>3925715</v>
      </c>
      <c r="CJ269" s="793">
        <f t="shared" si="106"/>
        <v>724843</v>
      </c>
      <c r="CK269" s="793">
        <f t="shared" si="106"/>
        <v>544186</v>
      </c>
      <c r="CL269" s="793">
        <f t="shared" si="106"/>
        <v>0</v>
      </c>
      <c r="CM269" s="793">
        <f t="shared" si="106"/>
        <v>0</v>
      </c>
      <c r="CN269" s="793">
        <f t="shared" si="106"/>
        <v>2444083</v>
      </c>
      <c r="CO269" s="793">
        <f t="shared" si="106"/>
        <v>170780501</v>
      </c>
      <c r="CP269" s="793">
        <f t="shared" si="106"/>
        <v>1593134</v>
      </c>
      <c r="CQ269" s="793">
        <f t="shared" si="106"/>
        <v>0</v>
      </c>
      <c r="CR269" s="793">
        <f t="shared" si="106"/>
        <v>8834540</v>
      </c>
      <c r="CS269" s="793">
        <f t="shared" si="106"/>
        <v>1909255</v>
      </c>
      <c r="CT269" s="793">
        <f t="shared" si="106"/>
        <v>0</v>
      </c>
      <c r="CU269" s="793">
        <f t="shared" si="106"/>
        <v>741342</v>
      </c>
      <c r="CV269" s="793">
        <f t="shared" si="106"/>
        <v>0</v>
      </c>
      <c r="CW269" s="793">
        <f t="shared" si="106"/>
        <v>6004001</v>
      </c>
      <c r="CX269" s="793">
        <f t="shared" si="106"/>
        <v>469580</v>
      </c>
      <c r="CY269" s="793">
        <f t="shared" ref="CY269" si="107">CY13</f>
        <v>22027</v>
      </c>
    </row>
    <row r="270" spans="1:103" x14ac:dyDescent="0.3">
      <c r="A270" s="793">
        <f>A14</f>
        <v>45</v>
      </c>
      <c r="B270" s="793" t="str">
        <f>B14</f>
        <v>WS - Select Current Liabilities</v>
      </c>
      <c r="C270" s="793"/>
      <c r="D270" s="793">
        <f t="shared" ref="D270:AI270" si="108">D14</f>
        <v>0</v>
      </c>
      <c r="E270" s="793">
        <f t="shared" si="108"/>
        <v>965147</v>
      </c>
      <c r="F270" s="793">
        <f t="shared" si="108"/>
        <v>0</v>
      </c>
      <c r="G270" s="793">
        <f t="shared" si="108"/>
        <v>562894</v>
      </c>
      <c r="H270" s="793">
        <f t="shared" si="108"/>
        <v>0</v>
      </c>
      <c r="I270" s="793">
        <f t="shared" si="108"/>
        <v>0</v>
      </c>
      <c r="J270" s="793">
        <f t="shared" si="108"/>
        <v>2672276</v>
      </c>
      <c r="K270" s="793">
        <f t="shared" si="108"/>
        <v>786431</v>
      </c>
      <c r="L270" s="793">
        <f t="shared" si="108"/>
        <v>120811</v>
      </c>
      <c r="M270" s="793">
        <f t="shared" si="108"/>
        <v>27834455</v>
      </c>
      <c r="N270" s="793">
        <f t="shared" si="108"/>
        <v>0</v>
      </c>
      <c r="O270" s="793">
        <f t="shared" si="108"/>
        <v>117423</v>
      </c>
      <c r="P270" s="793">
        <f t="shared" si="108"/>
        <v>0</v>
      </c>
      <c r="Q270" s="793">
        <f t="shared" si="108"/>
        <v>270039</v>
      </c>
      <c r="R270" s="793">
        <f t="shared" si="108"/>
        <v>247439</v>
      </c>
      <c r="S270" s="793">
        <f t="shared" si="108"/>
        <v>812929</v>
      </c>
      <c r="T270" s="793">
        <f t="shared" si="108"/>
        <v>0</v>
      </c>
      <c r="U270" s="793">
        <f t="shared" si="108"/>
        <v>0</v>
      </c>
      <c r="V270" s="793">
        <f t="shared" si="108"/>
        <v>574025</v>
      </c>
      <c r="W270" s="793">
        <f t="shared" si="108"/>
        <v>0</v>
      </c>
      <c r="X270" s="793">
        <f t="shared" si="108"/>
        <v>38032</v>
      </c>
      <c r="Y270" s="793">
        <f t="shared" si="108"/>
        <v>127664</v>
      </c>
      <c r="Z270" s="793">
        <f t="shared" si="108"/>
        <v>0</v>
      </c>
      <c r="AA270" s="793">
        <f t="shared" si="108"/>
        <v>1457294</v>
      </c>
      <c r="AB270" s="793">
        <f t="shared" si="108"/>
        <v>1394683</v>
      </c>
      <c r="AC270" s="793">
        <f t="shared" si="108"/>
        <v>217150</v>
      </c>
      <c r="AD270" s="793">
        <f t="shared" si="108"/>
        <v>2574446</v>
      </c>
      <c r="AE270" s="793">
        <f t="shared" si="108"/>
        <v>2361841</v>
      </c>
      <c r="AF270" s="793">
        <f t="shared" si="108"/>
        <v>739678</v>
      </c>
      <c r="AG270" s="793">
        <f t="shared" si="108"/>
        <v>1887054</v>
      </c>
      <c r="AH270" s="793">
        <f t="shared" si="108"/>
        <v>896351</v>
      </c>
      <c r="AI270" s="793">
        <f t="shared" si="108"/>
        <v>957398</v>
      </c>
      <c r="AJ270" s="793">
        <f t="shared" ref="AJ270:BM270" si="109">AJ14</f>
        <v>742239</v>
      </c>
      <c r="AK270" s="793">
        <f t="shared" si="109"/>
        <v>0</v>
      </c>
      <c r="AL270" s="793">
        <f t="shared" si="109"/>
        <v>3968074</v>
      </c>
      <c r="AM270" s="793">
        <f t="shared" si="109"/>
        <v>0</v>
      </c>
      <c r="AN270" s="793">
        <f t="shared" si="109"/>
        <v>96529</v>
      </c>
      <c r="AO270" s="793">
        <f t="shared" si="109"/>
        <v>0</v>
      </c>
      <c r="AP270" s="793">
        <f t="shared" si="109"/>
        <v>0</v>
      </c>
      <c r="AQ270" s="793">
        <f t="shared" si="109"/>
        <v>887136</v>
      </c>
      <c r="AR270" s="793">
        <f t="shared" si="109"/>
        <v>0</v>
      </c>
      <c r="AS270" s="793">
        <f t="shared" si="109"/>
        <v>2027349</v>
      </c>
      <c r="AT270" s="793">
        <f t="shared" si="109"/>
        <v>7108343</v>
      </c>
      <c r="AU270" s="793">
        <f t="shared" si="109"/>
        <v>0</v>
      </c>
      <c r="AV270" s="793">
        <f t="shared" si="109"/>
        <v>2337</v>
      </c>
      <c r="AW270" s="793">
        <f t="shared" si="109"/>
        <v>1907035</v>
      </c>
      <c r="AX270" s="793">
        <f t="shared" si="109"/>
        <v>1935224</v>
      </c>
      <c r="AY270" s="793">
        <f t="shared" si="109"/>
        <v>457656</v>
      </c>
      <c r="AZ270" s="793">
        <f t="shared" si="109"/>
        <v>0</v>
      </c>
      <c r="BA270" s="793">
        <f t="shared" si="109"/>
        <v>0</v>
      </c>
      <c r="BB270" s="793">
        <f t="shared" si="109"/>
        <v>17223894</v>
      </c>
      <c r="BC270" s="793">
        <f t="shared" si="109"/>
        <v>288759</v>
      </c>
      <c r="BD270" s="793">
        <f t="shared" si="109"/>
        <v>0</v>
      </c>
      <c r="BE270" s="793">
        <f t="shared" si="109"/>
        <v>0</v>
      </c>
      <c r="BF270" s="793">
        <f t="shared" si="109"/>
        <v>4374523</v>
      </c>
      <c r="BG270" s="793">
        <f t="shared" si="109"/>
        <v>0</v>
      </c>
      <c r="BH270" s="793">
        <f t="shared" si="109"/>
        <v>0</v>
      </c>
      <c r="BI270" s="793">
        <f t="shared" si="109"/>
        <v>2076980</v>
      </c>
      <c r="BJ270" s="793">
        <f t="shared" si="109"/>
        <v>8675</v>
      </c>
      <c r="BK270" s="793">
        <f t="shared" si="109"/>
        <v>0</v>
      </c>
      <c r="BL270" s="793">
        <f t="shared" si="109"/>
        <v>0</v>
      </c>
      <c r="BM270" s="793">
        <f t="shared" si="109"/>
        <v>1144424</v>
      </c>
      <c r="BN270" s="793">
        <f t="shared" ref="BN270:CX270" si="110">BN14</f>
        <v>4505072</v>
      </c>
      <c r="BO270" s="793">
        <f t="shared" si="110"/>
        <v>1524084</v>
      </c>
      <c r="BP270" s="793">
        <f t="shared" si="110"/>
        <v>0</v>
      </c>
      <c r="BQ270" s="793">
        <f t="shared" si="110"/>
        <v>831047</v>
      </c>
      <c r="BR270" s="793">
        <f t="shared" si="110"/>
        <v>0</v>
      </c>
      <c r="BS270" s="793">
        <f t="shared" si="110"/>
        <v>0</v>
      </c>
      <c r="BT270" s="793">
        <f t="shared" si="110"/>
        <v>343982</v>
      </c>
      <c r="BU270" s="793">
        <f t="shared" si="110"/>
        <v>1554089</v>
      </c>
      <c r="BV270" s="793">
        <f t="shared" si="110"/>
        <v>4009119</v>
      </c>
      <c r="BW270" s="793">
        <f t="shared" si="110"/>
        <v>181131</v>
      </c>
      <c r="BX270" s="793">
        <f t="shared" si="110"/>
        <v>0</v>
      </c>
      <c r="BY270" s="793">
        <f t="shared" si="110"/>
        <v>0</v>
      </c>
      <c r="BZ270" s="793">
        <f t="shared" si="110"/>
        <v>222257</v>
      </c>
      <c r="CA270" s="793">
        <f t="shared" si="110"/>
        <v>0</v>
      </c>
      <c r="CB270" s="793">
        <f t="shared" si="110"/>
        <v>994917</v>
      </c>
      <c r="CC270" s="793">
        <f t="shared" si="110"/>
        <v>2763787</v>
      </c>
      <c r="CD270" s="793">
        <f t="shared" si="110"/>
        <v>772352</v>
      </c>
      <c r="CE270" s="793">
        <f t="shared" si="110"/>
        <v>93968</v>
      </c>
      <c r="CF270" s="793">
        <f t="shared" si="110"/>
        <v>0</v>
      </c>
      <c r="CG270" s="793">
        <f t="shared" si="110"/>
        <v>1428646</v>
      </c>
      <c r="CH270" s="793">
        <f t="shared" si="110"/>
        <v>669534</v>
      </c>
      <c r="CI270" s="793">
        <f t="shared" si="110"/>
        <v>1580180</v>
      </c>
      <c r="CJ270" s="793">
        <f t="shared" si="110"/>
        <v>5997</v>
      </c>
      <c r="CK270" s="793">
        <f t="shared" si="110"/>
        <v>1950724</v>
      </c>
      <c r="CL270" s="793">
        <f t="shared" si="110"/>
        <v>0</v>
      </c>
      <c r="CM270" s="793">
        <f t="shared" si="110"/>
        <v>0</v>
      </c>
      <c r="CN270" s="793">
        <f t="shared" si="110"/>
        <v>186509</v>
      </c>
      <c r="CO270" s="793">
        <f t="shared" si="110"/>
        <v>38030389</v>
      </c>
      <c r="CP270" s="793">
        <f t="shared" si="110"/>
        <v>380294</v>
      </c>
      <c r="CQ270" s="793">
        <f t="shared" si="110"/>
        <v>0</v>
      </c>
      <c r="CR270" s="793">
        <f t="shared" si="110"/>
        <v>1245435</v>
      </c>
      <c r="CS270" s="793">
        <f t="shared" si="110"/>
        <v>592105</v>
      </c>
      <c r="CT270" s="793">
        <f t="shared" si="110"/>
        <v>0</v>
      </c>
      <c r="CU270" s="793">
        <f t="shared" si="110"/>
        <v>505690</v>
      </c>
      <c r="CV270" s="793">
        <f t="shared" si="110"/>
        <v>0</v>
      </c>
      <c r="CW270" s="793">
        <f t="shared" si="110"/>
        <v>426402</v>
      </c>
      <c r="CX270" s="793">
        <f t="shared" si="110"/>
        <v>247042</v>
      </c>
      <c r="CY270" s="793">
        <f t="shared" ref="CY270" si="111">CY14</f>
        <v>606470</v>
      </c>
    </row>
    <row r="271" spans="1:103" x14ac:dyDescent="0.3">
      <c r="A271" s="794">
        <f>A68</f>
        <v>385</v>
      </c>
      <c r="B271" s="794" t="str">
        <f>B68</f>
        <v>Gov - Total Assets and deferred outflows</v>
      </c>
      <c r="C271" s="794"/>
      <c r="D271" s="794">
        <f t="shared" ref="D271:AI271" si="112">D68</f>
        <v>334955470</v>
      </c>
      <c r="E271" s="794">
        <f t="shared" si="112"/>
        <v>79155325</v>
      </c>
      <c r="F271" s="794">
        <f t="shared" si="112"/>
        <v>43218630</v>
      </c>
      <c r="G271" s="794">
        <f t="shared" si="112"/>
        <v>67885128</v>
      </c>
      <c r="H271" s="794">
        <f t="shared" si="112"/>
        <v>95798367</v>
      </c>
      <c r="I271" s="794">
        <f t="shared" si="112"/>
        <v>100572956</v>
      </c>
      <c r="J271" s="794">
        <f t="shared" si="112"/>
        <v>104161244</v>
      </c>
      <c r="K271" s="794">
        <f t="shared" si="112"/>
        <v>51570654</v>
      </c>
      <c r="L271" s="794">
        <f t="shared" si="112"/>
        <v>140824047</v>
      </c>
      <c r="M271" s="794">
        <f t="shared" si="112"/>
        <v>537021501</v>
      </c>
      <c r="N271" s="794">
        <f t="shared" si="112"/>
        <v>673010414</v>
      </c>
      <c r="O271" s="794">
        <f t="shared" si="112"/>
        <v>182038340</v>
      </c>
      <c r="P271" s="794">
        <f t="shared" si="112"/>
        <v>756070211</v>
      </c>
      <c r="Q271" s="794">
        <f t="shared" si="112"/>
        <v>131845541</v>
      </c>
      <c r="R271" s="794">
        <f t="shared" si="112"/>
        <v>50100910</v>
      </c>
      <c r="S271" s="794">
        <f t="shared" si="112"/>
        <v>216507797</v>
      </c>
      <c r="T271" s="794">
        <f t="shared" si="112"/>
        <v>0</v>
      </c>
      <c r="U271" s="794">
        <f t="shared" si="112"/>
        <v>514727008</v>
      </c>
      <c r="V271" s="794">
        <f t="shared" si="112"/>
        <v>364317784</v>
      </c>
      <c r="W271" s="794">
        <f t="shared" si="112"/>
        <v>0</v>
      </c>
      <c r="X271" s="794">
        <f t="shared" si="112"/>
        <v>57946196</v>
      </c>
      <c r="Y271" s="794">
        <f t="shared" si="112"/>
        <v>47010827</v>
      </c>
      <c r="Z271" s="794">
        <f t="shared" si="112"/>
        <v>348215907</v>
      </c>
      <c r="AA271" s="794">
        <f t="shared" si="112"/>
        <v>223256160</v>
      </c>
      <c r="AB271" s="794">
        <f t="shared" si="112"/>
        <v>223364787</v>
      </c>
      <c r="AC271" s="794">
        <f t="shared" si="112"/>
        <v>696824950</v>
      </c>
      <c r="AD271" s="794">
        <f t="shared" si="112"/>
        <v>290485940</v>
      </c>
      <c r="AE271" s="794">
        <f t="shared" si="112"/>
        <v>510052725</v>
      </c>
      <c r="AF271" s="794">
        <f t="shared" si="112"/>
        <v>396562594</v>
      </c>
      <c r="AG271" s="794">
        <f t="shared" si="112"/>
        <v>99258992</v>
      </c>
      <c r="AH271" s="794">
        <f t="shared" si="112"/>
        <v>145751348</v>
      </c>
      <c r="AI271" s="794">
        <f t="shared" si="112"/>
        <v>1204728926</v>
      </c>
      <c r="AJ271" s="794">
        <f t="shared" ref="AJ271:BM271" si="113">AJ68</f>
        <v>101243952</v>
      </c>
      <c r="AK271" s="794">
        <f t="shared" si="113"/>
        <v>1108224799</v>
      </c>
      <c r="AL271" s="794">
        <f t="shared" si="113"/>
        <v>199721961</v>
      </c>
      <c r="AM271" s="794">
        <f t="shared" si="113"/>
        <v>559492002</v>
      </c>
      <c r="AN271" s="794">
        <f t="shared" si="113"/>
        <v>24740579</v>
      </c>
      <c r="AO271" s="794">
        <f t="shared" si="113"/>
        <v>0</v>
      </c>
      <c r="AP271" s="794">
        <f t="shared" si="113"/>
        <v>156282100</v>
      </c>
      <c r="AQ271" s="794">
        <f t="shared" si="113"/>
        <v>49073817</v>
      </c>
      <c r="AR271" s="794">
        <f t="shared" si="113"/>
        <v>967797982</v>
      </c>
      <c r="AS271" s="794">
        <f t="shared" si="113"/>
        <v>106217644</v>
      </c>
      <c r="AT271" s="794">
        <f t="shared" si="113"/>
        <v>376453561</v>
      </c>
      <c r="AU271" s="794">
        <f t="shared" si="113"/>
        <v>222113305</v>
      </c>
      <c r="AV271" s="794">
        <f t="shared" si="113"/>
        <v>335010673</v>
      </c>
      <c r="AW271" s="794">
        <f t="shared" si="113"/>
        <v>67789385</v>
      </c>
      <c r="AX271" s="794">
        <f t="shared" si="113"/>
        <v>181447277</v>
      </c>
      <c r="AY271" s="794">
        <f t="shared" si="113"/>
        <v>39870603</v>
      </c>
      <c r="AZ271" s="794">
        <f t="shared" si="113"/>
        <v>786390928</v>
      </c>
      <c r="BA271" s="794">
        <f t="shared" si="113"/>
        <v>216639713</v>
      </c>
      <c r="BB271" s="794">
        <f t="shared" si="113"/>
        <v>487091845</v>
      </c>
      <c r="BC271" s="794">
        <f t="shared" si="113"/>
        <v>72195369</v>
      </c>
      <c r="BD271" s="794">
        <f t="shared" si="113"/>
        <v>136929712</v>
      </c>
      <c r="BE271" s="794">
        <f t="shared" si="113"/>
        <v>108682693</v>
      </c>
      <c r="BF271" s="794">
        <f t="shared" si="113"/>
        <v>326888905</v>
      </c>
      <c r="BG271" s="794">
        <f t="shared" si="113"/>
        <v>134302916</v>
      </c>
      <c r="BH271" s="794">
        <f t="shared" si="113"/>
        <v>47706414</v>
      </c>
      <c r="BI271" s="794">
        <f t="shared" si="113"/>
        <v>85698097</v>
      </c>
      <c r="BJ271" s="794">
        <f t="shared" si="113"/>
        <v>103634719</v>
      </c>
      <c r="BK271" s="794">
        <f t="shared" si="113"/>
        <v>3575399700</v>
      </c>
      <c r="BL271" s="794">
        <f t="shared" si="113"/>
        <v>44815486</v>
      </c>
      <c r="BM271" s="794">
        <f t="shared" si="113"/>
        <v>177097140</v>
      </c>
      <c r="BN271" s="794">
        <f t="shared" ref="BN271:CX271" si="114">BN68</f>
        <v>331552935</v>
      </c>
      <c r="BO271" s="794">
        <f t="shared" si="114"/>
        <v>230793202</v>
      </c>
      <c r="BP271" s="794">
        <f t="shared" si="114"/>
        <v>1114512427</v>
      </c>
      <c r="BQ271" s="794">
        <f t="shared" si="114"/>
        <v>81211195</v>
      </c>
      <c r="BR271" s="794">
        <f t="shared" si="114"/>
        <v>470611057</v>
      </c>
      <c r="BS271" s="794">
        <f t="shared" si="114"/>
        <v>430181227</v>
      </c>
      <c r="BT271" s="794">
        <f t="shared" si="114"/>
        <v>31186430</v>
      </c>
      <c r="BU271" s="794">
        <f t="shared" si="114"/>
        <v>112240255</v>
      </c>
      <c r="BV271" s="794">
        <f t="shared" si="114"/>
        <v>171903961</v>
      </c>
      <c r="BW271" s="794">
        <f t="shared" si="114"/>
        <v>28010336</v>
      </c>
      <c r="BX271" s="794">
        <f t="shared" si="114"/>
        <v>150565178</v>
      </c>
      <c r="BY271" s="794">
        <f t="shared" si="114"/>
        <v>457557663</v>
      </c>
      <c r="BZ271" s="794">
        <f t="shared" si="114"/>
        <v>76351376</v>
      </c>
      <c r="CA271" s="794">
        <f t="shared" si="114"/>
        <v>341151736</v>
      </c>
      <c r="CB271" s="794">
        <f t="shared" si="114"/>
        <v>81788528</v>
      </c>
      <c r="CC271" s="794">
        <f t="shared" si="114"/>
        <v>200904006</v>
      </c>
      <c r="CD271" s="794">
        <f t="shared" si="114"/>
        <v>207864590</v>
      </c>
      <c r="CE271" s="794">
        <f t="shared" si="114"/>
        <v>321301149</v>
      </c>
      <c r="CF271" s="794">
        <f t="shared" si="114"/>
        <v>196984198</v>
      </c>
      <c r="CG271" s="794">
        <f t="shared" si="114"/>
        <v>236554377</v>
      </c>
      <c r="CH271" s="794">
        <f t="shared" si="114"/>
        <v>82180246</v>
      </c>
      <c r="CI271" s="794">
        <f t="shared" si="114"/>
        <v>140540719</v>
      </c>
      <c r="CJ271" s="794">
        <f t="shared" si="114"/>
        <v>120790456</v>
      </c>
      <c r="CK271" s="794">
        <f t="shared" si="114"/>
        <v>207851040</v>
      </c>
      <c r="CL271" s="794">
        <f t="shared" si="114"/>
        <v>99945687</v>
      </c>
      <c r="CM271" s="794">
        <f t="shared" si="114"/>
        <v>135872980</v>
      </c>
      <c r="CN271" s="794">
        <f t="shared" si="114"/>
        <v>10786276</v>
      </c>
      <c r="CO271" s="794">
        <f t="shared" si="114"/>
        <v>841818974</v>
      </c>
      <c r="CP271" s="794">
        <f t="shared" si="114"/>
        <v>96468905</v>
      </c>
      <c r="CQ271" s="794">
        <f t="shared" si="114"/>
        <v>2870819064</v>
      </c>
      <c r="CR271" s="794">
        <f t="shared" si="114"/>
        <v>59786200</v>
      </c>
      <c r="CS271" s="794">
        <f t="shared" si="114"/>
        <v>71561470</v>
      </c>
      <c r="CT271" s="794">
        <f t="shared" si="114"/>
        <v>322420746</v>
      </c>
      <c r="CU271" s="794">
        <f t="shared" si="114"/>
        <v>479699013</v>
      </c>
      <c r="CV271" s="794">
        <f t="shared" si="114"/>
        <v>155596518</v>
      </c>
      <c r="CW271" s="794">
        <f t="shared" si="114"/>
        <v>161799477</v>
      </c>
      <c r="CX271" s="794">
        <f t="shared" si="114"/>
        <v>103941908</v>
      </c>
      <c r="CY271" s="794">
        <f t="shared" ref="CY271" si="115">CY68</f>
        <v>46073895</v>
      </c>
    </row>
    <row r="272" spans="1:103" x14ac:dyDescent="0.3">
      <c r="A272" s="794">
        <f>A139</f>
        <v>626</v>
      </c>
      <c r="B272" s="794" t="str">
        <f>B139</f>
        <v>GW - Total Current Liabilities including current portion of long-term debt</v>
      </c>
      <c r="C272" s="794"/>
      <c r="D272" s="794">
        <f t="shared" ref="D272:AI272" si="116">D139</f>
        <v>70381750</v>
      </c>
      <c r="E272" s="794">
        <f t="shared" si="116"/>
        <v>11632842</v>
      </c>
      <c r="F272" s="794">
        <f t="shared" si="116"/>
        <v>4552854</v>
      </c>
      <c r="G272" s="794">
        <f t="shared" si="116"/>
        <v>2051650</v>
      </c>
      <c r="H272" s="794">
        <f t="shared" si="116"/>
        <v>3365558</v>
      </c>
      <c r="I272" s="794">
        <f t="shared" si="116"/>
        <v>2449296</v>
      </c>
      <c r="J272" s="794">
        <f t="shared" si="116"/>
        <v>7783950</v>
      </c>
      <c r="K272" s="794">
        <f t="shared" si="116"/>
        <v>4287302</v>
      </c>
      <c r="L272" s="794">
        <f t="shared" si="116"/>
        <v>7128470</v>
      </c>
      <c r="M272" s="794">
        <f t="shared" si="116"/>
        <v>41343621</v>
      </c>
      <c r="N272" s="794">
        <f t="shared" si="116"/>
        <v>124254036</v>
      </c>
      <c r="O272" s="794">
        <f t="shared" si="116"/>
        <v>16111535</v>
      </c>
      <c r="P272" s="794">
        <f t="shared" si="116"/>
        <v>206221526</v>
      </c>
      <c r="Q272" s="794">
        <f t="shared" si="116"/>
        <v>32778551</v>
      </c>
      <c r="R272" s="794">
        <f t="shared" si="116"/>
        <v>1161095</v>
      </c>
      <c r="S272" s="794">
        <f t="shared" si="116"/>
        <v>6154510</v>
      </c>
      <c r="T272" s="794">
        <f t="shared" si="116"/>
        <v>0</v>
      </c>
      <c r="U272" s="794">
        <f t="shared" si="116"/>
        <v>44795085</v>
      </c>
      <c r="V272" s="794">
        <f t="shared" si="116"/>
        <v>31436366</v>
      </c>
      <c r="W272" s="794">
        <f t="shared" si="116"/>
        <v>0</v>
      </c>
      <c r="X272" s="794">
        <f t="shared" si="116"/>
        <v>2452618</v>
      </c>
      <c r="Y272" s="794">
        <f t="shared" si="116"/>
        <v>6075122</v>
      </c>
      <c r="Z272" s="794">
        <f t="shared" si="116"/>
        <v>83486995</v>
      </c>
      <c r="AA272" s="794">
        <f t="shared" si="116"/>
        <v>13224017</v>
      </c>
      <c r="AB272" s="794">
        <f t="shared" si="116"/>
        <v>22681233</v>
      </c>
      <c r="AC272" s="794">
        <f t="shared" si="116"/>
        <v>84148328</v>
      </c>
      <c r="AD272" s="794">
        <f t="shared" si="116"/>
        <v>9334918</v>
      </c>
      <c r="AE272" s="794">
        <f t="shared" si="116"/>
        <v>66994083</v>
      </c>
      <c r="AF272" s="794">
        <f t="shared" si="116"/>
        <v>21823484</v>
      </c>
      <c r="AG272" s="794">
        <f t="shared" si="116"/>
        <v>17081728</v>
      </c>
      <c r="AH272" s="794">
        <f t="shared" si="116"/>
        <v>9740168</v>
      </c>
      <c r="AI272" s="794">
        <f t="shared" si="116"/>
        <v>163355850</v>
      </c>
      <c r="AJ272" s="794">
        <f t="shared" ref="AJ272:BM272" si="117">AJ139</f>
        <v>12061463</v>
      </c>
      <c r="AK272" s="794">
        <f t="shared" si="117"/>
        <v>166329957</v>
      </c>
      <c r="AL272" s="794">
        <f t="shared" si="117"/>
        <v>16344867</v>
      </c>
      <c r="AM272" s="794">
        <f t="shared" si="117"/>
        <v>101673897</v>
      </c>
      <c r="AN272" s="794">
        <f t="shared" si="117"/>
        <v>4432046</v>
      </c>
      <c r="AO272" s="794">
        <f t="shared" si="117"/>
        <v>0</v>
      </c>
      <c r="AP272" s="794">
        <f t="shared" si="117"/>
        <v>13867406</v>
      </c>
      <c r="AQ272" s="794">
        <f t="shared" si="117"/>
        <v>2801952</v>
      </c>
      <c r="AR272" s="794">
        <f t="shared" si="117"/>
        <v>216946409</v>
      </c>
      <c r="AS272" s="794">
        <f t="shared" si="117"/>
        <v>8724739</v>
      </c>
      <c r="AT272" s="794">
        <f t="shared" si="117"/>
        <v>63640863</v>
      </c>
      <c r="AU272" s="794">
        <f t="shared" si="117"/>
        <v>22076887</v>
      </c>
      <c r="AV272" s="794">
        <f t="shared" si="117"/>
        <v>52089220</v>
      </c>
      <c r="AW272" s="794">
        <f t="shared" si="117"/>
        <v>4154875</v>
      </c>
      <c r="AX272" s="794">
        <f t="shared" si="117"/>
        <v>38450976</v>
      </c>
      <c r="AY272" s="794">
        <f t="shared" si="117"/>
        <v>3726394</v>
      </c>
      <c r="AZ272" s="794">
        <f t="shared" si="117"/>
        <v>63661714</v>
      </c>
      <c r="BA272" s="794">
        <f t="shared" si="117"/>
        <v>12500369</v>
      </c>
      <c r="BB272" s="794">
        <f t="shared" si="117"/>
        <v>89286632</v>
      </c>
      <c r="BC272" s="794">
        <f t="shared" si="117"/>
        <v>1390935</v>
      </c>
      <c r="BD272" s="794">
        <f t="shared" si="117"/>
        <v>19384331</v>
      </c>
      <c r="BE272" s="794">
        <f t="shared" si="117"/>
        <v>16651795</v>
      </c>
      <c r="BF272" s="794">
        <f t="shared" si="117"/>
        <v>36573910</v>
      </c>
      <c r="BG272" s="794">
        <f t="shared" si="117"/>
        <v>11903552</v>
      </c>
      <c r="BH272" s="794">
        <f t="shared" si="117"/>
        <v>5445207</v>
      </c>
      <c r="BI272" s="794">
        <f t="shared" si="117"/>
        <v>5637452</v>
      </c>
      <c r="BJ272" s="794">
        <f t="shared" si="117"/>
        <v>12195485</v>
      </c>
      <c r="BK272" s="794">
        <f t="shared" si="117"/>
        <v>597025486</v>
      </c>
      <c r="BL272" s="794">
        <f t="shared" si="117"/>
        <v>10308606</v>
      </c>
      <c r="BM272" s="794">
        <f t="shared" si="117"/>
        <v>9661196</v>
      </c>
      <c r="BN272" s="794">
        <f t="shared" ref="BN272:CX272" si="118">BN139</f>
        <v>41066864</v>
      </c>
      <c r="BO272" s="794">
        <f t="shared" si="118"/>
        <v>27177644</v>
      </c>
      <c r="BP272" s="794">
        <f t="shared" si="118"/>
        <v>105280566</v>
      </c>
      <c r="BQ272" s="794">
        <f t="shared" si="118"/>
        <v>13225859</v>
      </c>
      <c r="BR272" s="794">
        <f t="shared" si="118"/>
        <v>74007695</v>
      </c>
      <c r="BS272" s="794">
        <f t="shared" si="118"/>
        <v>68589986</v>
      </c>
      <c r="BT272" s="794">
        <f t="shared" si="118"/>
        <v>1686042</v>
      </c>
      <c r="BU272" s="794">
        <f t="shared" si="118"/>
        <v>7791821</v>
      </c>
      <c r="BV272" s="794">
        <f t="shared" si="118"/>
        <v>26685406</v>
      </c>
      <c r="BW272" s="794">
        <f t="shared" si="118"/>
        <v>166275</v>
      </c>
      <c r="BX272" s="794">
        <f t="shared" si="118"/>
        <v>20933808</v>
      </c>
      <c r="BY272" s="794">
        <f t="shared" si="118"/>
        <v>55227441</v>
      </c>
      <c r="BZ272" s="794">
        <f t="shared" si="118"/>
        <v>11908572</v>
      </c>
      <c r="CA272" s="794">
        <f t="shared" si="118"/>
        <v>44373555</v>
      </c>
      <c r="CB272" s="794">
        <f t="shared" si="118"/>
        <v>9159800</v>
      </c>
      <c r="CC272" s="794">
        <f t="shared" si="118"/>
        <v>5783740</v>
      </c>
      <c r="CD272" s="794">
        <f t="shared" si="118"/>
        <v>32710191</v>
      </c>
      <c r="CE272" s="794">
        <f t="shared" si="118"/>
        <v>43016981</v>
      </c>
      <c r="CF272" s="794">
        <f t="shared" si="118"/>
        <v>13233575</v>
      </c>
      <c r="CG272" s="794">
        <f t="shared" si="118"/>
        <v>15163408</v>
      </c>
      <c r="CH272" s="794">
        <f t="shared" si="118"/>
        <v>9896909</v>
      </c>
      <c r="CI272" s="794">
        <f t="shared" si="118"/>
        <v>23295643</v>
      </c>
      <c r="CJ272" s="794">
        <f t="shared" si="118"/>
        <v>24436254</v>
      </c>
      <c r="CK272" s="794">
        <f t="shared" si="118"/>
        <v>24023217</v>
      </c>
      <c r="CL272" s="794">
        <f t="shared" si="118"/>
        <v>8885941</v>
      </c>
      <c r="CM272" s="794">
        <f t="shared" si="118"/>
        <v>7399090</v>
      </c>
      <c r="CN272" s="794">
        <f t="shared" si="118"/>
        <v>1007149</v>
      </c>
      <c r="CO272" s="794">
        <f t="shared" si="118"/>
        <v>96345315</v>
      </c>
      <c r="CP272" s="794">
        <f t="shared" si="118"/>
        <v>11092785</v>
      </c>
      <c r="CQ272" s="794">
        <f t="shared" si="118"/>
        <v>564617321</v>
      </c>
      <c r="CR272" s="794">
        <f t="shared" si="118"/>
        <v>2825769</v>
      </c>
      <c r="CS272" s="794">
        <f t="shared" si="118"/>
        <v>5943593</v>
      </c>
      <c r="CT272" s="794">
        <f t="shared" si="118"/>
        <v>19392129</v>
      </c>
      <c r="CU272" s="794">
        <f t="shared" si="118"/>
        <v>60549957</v>
      </c>
      <c r="CV272" s="794">
        <f t="shared" si="118"/>
        <v>17865128</v>
      </c>
      <c r="CW272" s="794">
        <f t="shared" si="118"/>
        <v>15524512</v>
      </c>
      <c r="CX272" s="794">
        <f t="shared" si="118"/>
        <v>7461043</v>
      </c>
      <c r="CY272" s="794">
        <f t="shared" ref="CY272" si="119">CY139</f>
        <v>10694283</v>
      </c>
    </row>
    <row r="273" spans="1:103" x14ac:dyDescent="0.3">
      <c r="A273" s="794">
        <f>A46</f>
        <v>338</v>
      </c>
      <c r="B273" s="794" t="str">
        <f>B46</f>
        <v>Gov - Total Liabilities and total deferred inflows</v>
      </c>
      <c r="C273" s="794"/>
      <c r="D273" s="794">
        <f t="shared" ref="D273:AI273" si="120">D46</f>
        <v>375082327</v>
      </c>
      <c r="E273" s="794">
        <f t="shared" si="120"/>
        <v>51930246</v>
      </c>
      <c r="F273" s="794">
        <f t="shared" si="120"/>
        <v>24724608</v>
      </c>
      <c r="G273" s="794">
        <f t="shared" si="120"/>
        <v>20940411</v>
      </c>
      <c r="H273" s="794">
        <f t="shared" si="120"/>
        <v>33983209</v>
      </c>
      <c r="I273" s="794">
        <f t="shared" si="120"/>
        <v>26224787</v>
      </c>
      <c r="J273" s="794">
        <f t="shared" si="120"/>
        <v>38630114</v>
      </c>
      <c r="K273" s="794">
        <f t="shared" si="120"/>
        <v>49933720</v>
      </c>
      <c r="L273" s="794">
        <f t="shared" si="120"/>
        <v>76819465</v>
      </c>
      <c r="M273" s="794">
        <f t="shared" si="120"/>
        <v>419857510</v>
      </c>
      <c r="N273" s="794">
        <f t="shared" si="120"/>
        <v>710897219</v>
      </c>
      <c r="O273" s="794">
        <f t="shared" si="120"/>
        <v>99106097</v>
      </c>
      <c r="P273" s="794">
        <f t="shared" si="120"/>
        <v>639242704</v>
      </c>
      <c r="Q273" s="794">
        <f t="shared" si="120"/>
        <v>88180567</v>
      </c>
      <c r="R273" s="794">
        <f t="shared" si="120"/>
        <v>17732345</v>
      </c>
      <c r="S273" s="794">
        <f t="shared" si="120"/>
        <v>81089949</v>
      </c>
      <c r="T273" s="794">
        <f t="shared" si="120"/>
        <v>0</v>
      </c>
      <c r="U273" s="794">
        <f t="shared" si="120"/>
        <v>299855799</v>
      </c>
      <c r="V273" s="794">
        <f t="shared" si="120"/>
        <v>281002569</v>
      </c>
      <c r="W273" s="794">
        <f t="shared" si="120"/>
        <v>0</v>
      </c>
      <c r="X273" s="794">
        <f t="shared" si="120"/>
        <v>23002780</v>
      </c>
      <c r="Y273" s="794">
        <f t="shared" si="120"/>
        <v>21672470</v>
      </c>
      <c r="Z273" s="794">
        <f t="shared" si="120"/>
        <v>185061809</v>
      </c>
      <c r="AA273" s="794">
        <f t="shared" si="120"/>
        <v>155757130</v>
      </c>
      <c r="AB273" s="794">
        <f t="shared" si="120"/>
        <v>87810405</v>
      </c>
      <c r="AC273" s="794">
        <f t="shared" si="120"/>
        <v>414393461</v>
      </c>
      <c r="AD273" s="794">
        <f t="shared" si="120"/>
        <v>83856166</v>
      </c>
      <c r="AE273" s="794">
        <f t="shared" si="120"/>
        <v>365906939</v>
      </c>
      <c r="AF273" s="794">
        <f t="shared" si="120"/>
        <v>169854595</v>
      </c>
      <c r="AG273" s="794">
        <f t="shared" si="120"/>
        <v>96521161</v>
      </c>
      <c r="AH273" s="794">
        <f t="shared" si="120"/>
        <v>108505475</v>
      </c>
      <c r="AI273" s="794">
        <f t="shared" si="120"/>
        <v>1156243545</v>
      </c>
      <c r="AJ273" s="794">
        <f t="shared" ref="AJ273:BM273" si="121">AJ46</f>
        <v>59489426</v>
      </c>
      <c r="AK273" s="794">
        <f t="shared" si="121"/>
        <v>1080321356</v>
      </c>
      <c r="AL273" s="794">
        <f t="shared" si="121"/>
        <v>154243467</v>
      </c>
      <c r="AM273" s="794">
        <f t="shared" si="121"/>
        <v>428766392</v>
      </c>
      <c r="AN273" s="794">
        <f t="shared" si="121"/>
        <v>17879177</v>
      </c>
      <c r="AO273" s="794">
        <f t="shared" si="121"/>
        <v>0</v>
      </c>
      <c r="AP273" s="794">
        <f t="shared" si="121"/>
        <v>122521556</v>
      </c>
      <c r="AQ273" s="794">
        <f t="shared" si="121"/>
        <v>30839490</v>
      </c>
      <c r="AR273" s="794">
        <f t="shared" si="121"/>
        <v>1191991473</v>
      </c>
      <c r="AS273" s="794">
        <f t="shared" si="121"/>
        <v>58065030</v>
      </c>
      <c r="AT273" s="794">
        <f t="shared" si="121"/>
        <v>323798986</v>
      </c>
      <c r="AU273" s="794">
        <f t="shared" si="121"/>
        <v>140802077</v>
      </c>
      <c r="AV273" s="794">
        <f t="shared" si="121"/>
        <v>297994570</v>
      </c>
      <c r="AW273" s="794">
        <f t="shared" si="121"/>
        <v>35133125</v>
      </c>
      <c r="AX273" s="794">
        <f t="shared" si="121"/>
        <v>104682010</v>
      </c>
      <c r="AY273" s="794">
        <f t="shared" si="121"/>
        <v>13167332</v>
      </c>
      <c r="AZ273" s="794">
        <f t="shared" si="121"/>
        <v>313773610</v>
      </c>
      <c r="BA273" s="794">
        <f t="shared" si="121"/>
        <v>128101528</v>
      </c>
      <c r="BB273" s="794">
        <f t="shared" si="121"/>
        <v>602547643</v>
      </c>
      <c r="BC273" s="794">
        <f t="shared" si="121"/>
        <v>19693528</v>
      </c>
      <c r="BD273" s="794">
        <f t="shared" si="121"/>
        <v>139298641</v>
      </c>
      <c r="BE273" s="794">
        <f t="shared" si="121"/>
        <v>74541123</v>
      </c>
      <c r="BF273" s="794">
        <f t="shared" si="121"/>
        <v>212352769</v>
      </c>
      <c r="BG273" s="794">
        <f t="shared" si="121"/>
        <v>129693034</v>
      </c>
      <c r="BH273" s="794">
        <f t="shared" si="121"/>
        <v>18148341</v>
      </c>
      <c r="BI273" s="794">
        <f t="shared" si="121"/>
        <v>46977985</v>
      </c>
      <c r="BJ273" s="794">
        <f t="shared" si="121"/>
        <v>55652197</v>
      </c>
      <c r="BK273" s="794">
        <f t="shared" si="121"/>
        <v>3183402117</v>
      </c>
      <c r="BL273" s="794">
        <f t="shared" si="121"/>
        <v>26588768</v>
      </c>
      <c r="BM273" s="794">
        <f t="shared" si="121"/>
        <v>88678697</v>
      </c>
      <c r="BN273" s="794">
        <f t="shared" ref="BN273:CX273" si="122">BN46</f>
        <v>348975973</v>
      </c>
      <c r="BO273" s="794">
        <f t="shared" si="122"/>
        <v>180704110</v>
      </c>
      <c r="BP273" s="794">
        <f t="shared" si="122"/>
        <v>1074219224</v>
      </c>
      <c r="BQ273" s="794">
        <f t="shared" si="122"/>
        <v>56471366</v>
      </c>
      <c r="BR273" s="794">
        <f t="shared" si="122"/>
        <v>373748905</v>
      </c>
      <c r="BS273" s="794">
        <f t="shared" si="122"/>
        <v>575659348</v>
      </c>
      <c r="BT273" s="794">
        <f t="shared" si="122"/>
        <v>14471603</v>
      </c>
      <c r="BU273" s="794">
        <f t="shared" si="122"/>
        <v>64708760</v>
      </c>
      <c r="BV273" s="794">
        <f t="shared" si="122"/>
        <v>140119823</v>
      </c>
      <c r="BW273" s="794">
        <f t="shared" si="122"/>
        <v>12641783</v>
      </c>
      <c r="BX273" s="794">
        <f t="shared" si="122"/>
        <v>58743907</v>
      </c>
      <c r="BY273" s="794">
        <f t="shared" si="122"/>
        <v>331408809</v>
      </c>
      <c r="BZ273" s="794">
        <f t="shared" si="122"/>
        <v>33562430</v>
      </c>
      <c r="CA273" s="794">
        <f t="shared" si="122"/>
        <v>251544974</v>
      </c>
      <c r="CB273" s="794">
        <f t="shared" si="122"/>
        <v>47319698</v>
      </c>
      <c r="CC273" s="794">
        <f t="shared" si="122"/>
        <v>176526342</v>
      </c>
      <c r="CD273" s="794">
        <f t="shared" si="122"/>
        <v>193674640</v>
      </c>
      <c r="CE273" s="794">
        <f t="shared" si="122"/>
        <v>155921496</v>
      </c>
      <c r="CF273" s="794">
        <f t="shared" si="122"/>
        <v>95449563</v>
      </c>
      <c r="CG273" s="794">
        <f t="shared" si="122"/>
        <v>153220243</v>
      </c>
      <c r="CH273" s="794">
        <f t="shared" si="122"/>
        <v>106327862</v>
      </c>
      <c r="CI273" s="794">
        <f t="shared" si="122"/>
        <v>75310350</v>
      </c>
      <c r="CJ273" s="794">
        <f t="shared" si="122"/>
        <v>70574986</v>
      </c>
      <c r="CK273" s="794">
        <f t="shared" si="122"/>
        <v>147768203</v>
      </c>
      <c r="CL273" s="794">
        <f t="shared" si="122"/>
        <v>29982132</v>
      </c>
      <c r="CM273" s="794">
        <f t="shared" si="122"/>
        <v>27219263</v>
      </c>
      <c r="CN273" s="794">
        <f t="shared" si="122"/>
        <v>8538057</v>
      </c>
      <c r="CO273" s="794">
        <f t="shared" si="122"/>
        <v>838558118</v>
      </c>
      <c r="CP273" s="794">
        <f t="shared" si="122"/>
        <v>69099879</v>
      </c>
      <c r="CQ273" s="794">
        <f t="shared" si="122"/>
        <v>4218924715</v>
      </c>
      <c r="CR273" s="794">
        <f t="shared" si="122"/>
        <v>16424870</v>
      </c>
      <c r="CS273" s="794">
        <f t="shared" si="122"/>
        <v>46332690</v>
      </c>
      <c r="CT273" s="794">
        <f t="shared" si="122"/>
        <v>92949777</v>
      </c>
      <c r="CU273" s="794">
        <f t="shared" si="122"/>
        <v>286337170</v>
      </c>
      <c r="CV273" s="794">
        <f t="shared" si="122"/>
        <v>112664232</v>
      </c>
      <c r="CW273" s="794">
        <f t="shared" si="122"/>
        <v>144888988</v>
      </c>
      <c r="CX273" s="794">
        <f t="shared" si="122"/>
        <v>39577990</v>
      </c>
      <c r="CY273" s="794">
        <f t="shared" ref="CY273" si="123">CY46</f>
        <v>33997315</v>
      </c>
    </row>
    <row r="274" spans="1:103" x14ac:dyDescent="0.3">
      <c r="A274" s="795">
        <f>A136</f>
        <v>620</v>
      </c>
      <c r="B274" s="795" t="str">
        <f>B136</f>
        <v>Do you expect to issue debt requiring LGC approval within 12 months from the date that the audit is submitted - select "1" for year and "2" for no</v>
      </c>
      <c r="C274" s="795"/>
      <c r="D274" s="795">
        <f t="shared" ref="D274:AI274" si="124">D136</f>
        <v>1</v>
      </c>
      <c r="E274" s="795">
        <f t="shared" si="124"/>
        <v>2</v>
      </c>
      <c r="F274" s="795">
        <f t="shared" si="124"/>
        <v>2</v>
      </c>
      <c r="G274" s="795">
        <f t="shared" si="124"/>
        <v>2</v>
      </c>
      <c r="H274" s="795">
        <f t="shared" si="124"/>
        <v>1</v>
      </c>
      <c r="I274" s="795">
        <f t="shared" si="124"/>
        <v>2</v>
      </c>
      <c r="J274" s="795">
        <f t="shared" si="124"/>
        <v>2</v>
      </c>
      <c r="K274" s="795">
        <f t="shared" si="124"/>
        <v>2</v>
      </c>
      <c r="L274" s="795">
        <f t="shared" si="124"/>
        <v>2</v>
      </c>
      <c r="M274" s="795">
        <f t="shared" si="124"/>
        <v>1</v>
      </c>
      <c r="N274" s="795">
        <f t="shared" si="124"/>
        <v>1</v>
      </c>
      <c r="O274" s="795">
        <f t="shared" si="124"/>
        <v>1</v>
      </c>
      <c r="P274" s="795">
        <f t="shared" si="124"/>
        <v>2</v>
      </c>
      <c r="Q274" s="795">
        <f t="shared" si="124"/>
        <v>2</v>
      </c>
      <c r="R274" s="795">
        <f t="shared" si="124"/>
        <v>2</v>
      </c>
      <c r="S274" s="795">
        <f t="shared" si="124"/>
        <v>2</v>
      </c>
      <c r="T274" s="795">
        <f t="shared" si="124"/>
        <v>0</v>
      </c>
      <c r="U274" s="795">
        <f t="shared" si="124"/>
        <v>2</v>
      </c>
      <c r="V274" s="795">
        <f t="shared" si="124"/>
        <v>2</v>
      </c>
      <c r="W274" s="795">
        <f t="shared" si="124"/>
        <v>0</v>
      </c>
      <c r="X274" s="795">
        <f t="shared" si="124"/>
        <v>1</v>
      </c>
      <c r="Y274" s="795">
        <f t="shared" si="124"/>
        <v>2</v>
      </c>
      <c r="Z274" s="795">
        <f t="shared" si="124"/>
        <v>1</v>
      </c>
      <c r="AA274" s="795">
        <f t="shared" si="124"/>
        <v>2</v>
      </c>
      <c r="AB274" s="795">
        <f t="shared" si="124"/>
        <v>2</v>
      </c>
      <c r="AC274" s="795">
        <f t="shared" si="124"/>
        <v>1</v>
      </c>
      <c r="AD274" s="795">
        <f t="shared" si="124"/>
        <v>2</v>
      </c>
      <c r="AE274" s="795">
        <f t="shared" si="124"/>
        <v>1</v>
      </c>
      <c r="AF274" s="795">
        <f t="shared" si="124"/>
        <v>2</v>
      </c>
      <c r="AG274" s="795">
        <f t="shared" si="124"/>
        <v>2</v>
      </c>
      <c r="AH274" s="795">
        <f t="shared" si="124"/>
        <v>2</v>
      </c>
      <c r="AI274" s="795">
        <f t="shared" si="124"/>
        <v>1</v>
      </c>
      <c r="AJ274" s="795">
        <f t="shared" ref="AJ274:BM274" si="125">AJ136</f>
        <v>2</v>
      </c>
      <c r="AK274" s="795">
        <f t="shared" si="125"/>
        <v>1</v>
      </c>
      <c r="AL274" s="795">
        <f t="shared" si="125"/>
        <v>1</v>
      </c>
      <c r="AM274" s="795">
        <f t="shared" si="125"/>
        <v>2</v>
      </c>
      <c r="AN274" s="795">
        <f t="shared" si="125"/>
        <v>2</v>
      </c>
      <c r="AO274" s="795">
        <f t="shared" si="125"/>
        <v>0</v>
      </c>
      <c r="AP274" s="795">
        <f t="shared" si="125"/>
        <v>1</v>
      </c>
      <c r="AQ274" s="795">
        <f t="shared" si="125"/>
        <v>2</v>
      </c>
      <c r="AR274" s="795">
        <f t="shared" si="125"/>
        <v>1</v>
      </c>
      <c r="AS274" s="795">
        <f t="shared" si="125"/>
        <v>2</v>
      </c>
      <c r="AT274" s="795">
        <f t="shared" si="125"/>
        <v>2</v>
      </c>
      <c r="AU274" s="795">
        <f t="shared" si="125"/>
        <v>1</v>
      </c>
      <c r="AV274" s="795">
        <f t="shared" si="125"/>
        <v>1</v>
      </c>
      <c r="AW274" s="795">
        <f t="shared" si="125"/>
        <v>2</v>
      </c>
      <c r="AX274" s="795">
        <f t="shared" si="125"/>
        <v>2</v>
      </c>
      <c r="AY274" s="795">
        <f t="shared" si="125"/>
        <v>2</v>
      </c>
      <c r="AZ274" s="795">
        <f t="shared" si="125"/>
        <v>1</v>
      </c>
      <c r="BA274" s="795">
        <f t="shared" si="125"/>
        <v>2</v>
      </c>
      <c r="BB274" s="795">
        <f t="shared" si="125"/>
        <v>1</v>
      </c>
      <c r="BC274" s="795">
        <f t="shared" si="125"/>
        <v>2</v>
      </c>
      <c r="BD274" s="795">
        <f t="shared" si="125"/>
        <v>1</v>
      </c>
      <c r="BE274" s="795">
        <f t="shared" si="125"/>
        <v>1</v>
      </c>
      <c r="BF274" s="795">
        <f t="shared" si="125"/>
        <v>1</v>
      </c>
      <c r="BG274" s="795">
        <f t="shared" si="125"/>
        <v>2</v>
      </c>
      <c r="BH274" s="795">
        <f t="shared" si="125"/>
        <v>2</v>
      </c>
      <c r="BI274" s="795">
        <f t="shared" si="125"/>
        <v>2</v>
      </c>
      <c r="BJ274" s="795">
        <f t="shared" si="125"/>
        <v>1</v>
      </c>
      <c r="BK274" s="795">
        <f t="shared" si="125"/>
        <v>1</v>
      </c>
      <c r="BL274" s="795">
        <f t="shared" si="125"/>
        <v>2</v>
      </c>
      <c r="BM274" s="795">
        <f t="shared" si="125"/>
        <v>2</v>
      </c>
      <c r="BN274" s="795">
        <f t="shared" ref="BN274:CX274" si="126">BN136</f>
        <v>1</v>
      </c>
      <c r="BO274" s="795">
        <f t="shared" si="126"/>
        <v>1</v>
      </c>
      <c r="BP274" s="795">
        <f t="shared" si="126"/>
        <v>1</v>
      </c>
      <c r="BQ274" s="795">
        <f t="shared" si="126"/>
        <v>2</v>
      </c>
      <c r="BR274" s="795">
        <f t="shared" si="126"/>
        <v>1</v>
      </c>
      <c r="BS274" s="795">
        <f t="shared" si="126"/>
        <v>1</v>
      </c>
      <c r="BT274" s="795">
        <f t="shared" si="126"/>
        <v>2</v>
      </c>
      <c r="BU274" s="795">
        <f t="shared" si="126"/>
        <v>2</v>
      </c>
      <c r="BV274" s="795">
        <f t="shared" si="126"/>
        <v>1</v>
      </c>
      <c r="BW274" s="795">
        <f t="shared" si="126"/>
        <v>2</v>
      </c>
      <c r="BX274" s="795">
        <f t="shared" si="126"/>
        <v>1</v>
      </c>
      <c r="BY274" s="795">
        <f t="shared" si="126"/>
        <v>1</v>
      </c>
      <c r="BZ274" s="795">
        <f t="shared" si="126"/>
        <v>2</v>
      </c>
      <c r="CA274" s="795">
        <f t="shared" si="126"/>
        <v>2</v>
      </c>
      <c r="CB274" s="795">
        <f t="shared" si="126"/>
        <v>2</v>
      </c>
      <c r="CC274" s="795">
        <f t="shared" si="126"/>
        <v>2</v>
      </c>
      <c r="CD274" s="795">
        <f t="shared" si="126"/>
        <v>1</v>
      </c>
      <c r="CE274" s="795">
        <f t="shared" si="126"/>
        <v>1</v>
      </c>
      <c r="CF274" s="795">
        <f t="shared" si="126"/>
        <v>1</v>
      </c>
      <c r="CG274" s="795">
        <f t="shared" si="126"/>
        <v>2</v>
      </c>
      <c r="CH274" s="795">
        <f t="shared" si="126"/>
        <v>2</v>
      </c>
      <c r="CI274" s="795">
        <f t="shared" si="126"/>
        <v>1</v>
      </c>
      <c r="CJ274" s="795">
        <f t="shared" si="126"/>
        <v>1</v>
      </c>
      <c r="CK274" s="795">
        <f t="shared" si="126"/>
        <v>2</v>
      </c>
      <c r="CL274" s="795">
        <f t="shared" si="126"/>
        <v>2</v>
      </c>
      <c r="CM274" s="795">
        <f t="shared" si="126"/>
        <v>2</v>
      </c>
      <c r="CN274" s="795">
        <f t="shared" si="126"/>
        <v>2</v>
      </c>
      <c r="CO274" s="795">
        <f t="shared" si="126"/>
        <v>1</v>
      </c>
      <c r="CP274" s="795">
        <f t="shared" si="126"/>
        <v>2</v>
      </c>
      <c r="CQ274" s="795">
        <f t="shared" si="126"/>
        <v>1</v>
      </c>
      <c r="CR274" s="795">
        <f t="shared" si="126"/>
        <v>1</v>
      </c>
      <c r="CS274" s="795">
        <f t="shared" si="126"/>
        <v>2</v>
      </c>
      <c r="CT274" s="795">
        <f t="shared" si="126"/>
        <v>2</v>
      </c>
      <c r="CU274" s="795">
        <f t="shared" si="126"/>
        <v>2</v>
      </c>
      <c r="CV274" s="795">
        <f t="shared" si="126"/>
        <v>2</v>
      </c>
      <c r="CW274" s="795">
        <f t="shared" si="126"/>
        <v>1</v>
      </c>
      <c r="CX274" s="795">
        <f t="shared" si="126"/>
        <v>2</v>
      </c>
      <c r="CY274" s="795">
        <f t="shared" ref="CY274" si="127">CY136</f>
        <v>1</v>
      </c>
    </row>
    <row r="275" spans="1:103" s="539" customFormat="1" x14ac:dyDescent="0.3">
      <c r="A275" s="796">
        <f>A111</f>
        <v>545</v>
      </c>
      <c r="B275" s="796" t="str">
        <f>B111</f>
        <v>Property Tax Increase for budget year after fiscal year being reported</v>
      </c>
      <c r="C275" s="796"/>
      <c r="D275" s="796">
        <f t="shared" ref="D275:AI275" si="128">D111</f>
        <v>0</v>
      </c>
      <c r="E275" s="796">
        <f t="shared" si="128"/>
        <v>0</v>
      </c>
      <c r="F275" s="796">
        <f t="shared" si="128"/>
        <v>0</v>
      </c>
      <c r="G275" s="796">
        <f t="shared" si="128"/>
        <v>0</v>
      </c>
      <c r="H275" s="796">
        <f t="shared" si="128"/>
        <v>0</v>
      </c>
      <c r="I275" s="796">
        <f t="shared" si="128"/>
        <v>0</v>
      </c>
      <c r="J275" s="796">
        <f t="shared" si="128"/>
        <v>0</v>
      </c>
      <c r="K275" s="796">
        <f t="shared" si="128"/>
        <v>0</v>
      </c>
      <c r="L275" s="796">
        <f t="shared" si="128"/>
        <v>0</v>
      </c>
      <c r="M275" s="796">
        <f t="shared" si="128"/>
        <v>-0.14299999999999999</v>
      </c>
      <c r="N275" s="796">
        <f t="shared" si="128"/>
        <v>0.01</v>
      </c>
      <c r="O275" s="796">
        <f t="shared" si="128"/>
        <v>3.67</v>
      </c>
      <c r="P275" s="796">
        <f t="shared" si="128"/>
        <v>0</v>
      </c>
      <c r="Q275" s="796">
        <f t="shared" si="128"/>
        <v>0</v>
      </c>
      <c r="R275" s="796">
        <f t="shared" si="128"/>
        <v>0</v>
      </c>
      <c r="S275" s="796">
        <f t="shared" si="128"/>
        <v>0</v>
      </c>
      <c r="T275" s="796">
        <f t="shared" si="128"/>
        <v>0</v>
      </c>
      <c r="U275" s="796">
        <f t="shared" si="128"/>
        <v>0</v>
      </c>
      <c r="V275" s="796">
        <f t="shared" si="128"/>
        <v>0</v>
      </c>
      <c r="W275" s="796">
        <f t="shared" si="128"/>
        <v>0</v>
      </c>
      <c r="X275" s="796">
        <f t="shared" si="128"/>
        <v>0</v>
      </c>
      <c r="Y275" s="796">
        <f t="shared" si="128"/>
        <v>0</v>
      </c>
      <c r="Z275" s="796">
        <f t="shared" si="128"/>
        <v>0</v>
      </c>
      <c r="AA275" s="796">
        <f t="shared" si="128"/>
        <v>0</v>
      </c>
      <c r="AB275" s="796">
        <f t="shared" si="128"/>
        <v>0</v>
      </c>
      <c r="AC275" s="796">
        <f t="shared" si="128"/>
        <v>0</v>
      </c>
      <c r="AD275" s="796">
        <f t="shared" si="128"/>
        <v>0.1</v>
      </c>
      <c r="AE275" s="796">
        <f t="shared" si="128"/>
        <v>0</v>
      </c>
      <c r="AF275" s="796">
        <f t="shared" si="128"/>
        <v>0</v>
      </c>
      <c r="AG275" s="796">
        <f t="shared" si="128"/>
        <v>0</v>
      </c>
      <c r="AH275" s="796">
        <f t="shared" si="128"/>
        <v>0</v>
      </c>
      <c r="AI275" s="796">
        <f t="shared" si="128"/>
        <v>0</v>
      </c>
      <c r="AJ275" s="796">
        <f t="shared" ref="AJ275:BM275" si="129">AJ111</f>
        <v>0</v>
      </c>
      <c r="AK275" s="796">
        <f t="shared" si="129"/>
        <v>0</v>
      </c>
      <c r="AL275" s="796">
        <f t="shared" si="129"/>
        <v>0</v>
      </c>
      <c r="AM275" s="796">
        <f t="shared" si="129"/>
        <v>0</v>
      </c>
      <c r="AN275" s="796">
        <f t="shared" si="129"/>
        <v>0.05</v>
      </c>
      <c r="AO275" s="796">
        <f t="shared" si="129"/>
        <v>0</v>
      </c>
      <c r="AP275" s="796">
        <f t="shared" si="129"/>
        <v>0</v>
      </c>
      <c r="AQ275" s="796">
        <f t="shared" si="129"/>
        <v>0</v>
      </c>
      <c r="AR275" s="796">
        <f t="shared" si="129"/>
        <v>0</v>
      </c>
      <c r="AS275" s="796">
        <f t="shared" si="129"/>
        <v>0</v>
      </c>
      <c r="AT275" s="796">
        <f t="shared" si="129"/>
        <v>0</v>
      </c>
      <c r="AU275" s="796">
        <f t="shared" si="129"/>
        <v>0</v>
      </c>
      <c r="AV275" s="796">
        <f t="shared" si="129"/>
        <v>0</v>
      </c>
      <c r="AW275" s="796">
        <f t="shared" si="129"/>
        <v>0</v>
      </c>
      <c r="AX275" s="796">
        <f t="shared" si="129"/>
        <v>0</v>
      </c>
      <c r="AY275" s="796">
        <f t="shared" si="129"/>
        <v>0</v>
      </c>
      <c r="AZ275" s="796">
        <f t="shared" si="129"/>
        <v>-3.75</v>
      </c>
      <c r="BA275" s="796">
        <f t="shared" si="129"/>
        <v>0</v>
      </c>
      <c r="BB275" s="796">
        <f t="shared" si="129"/>
        <v>0</v>
      </c>
      <c r="BC275" s="796">
        <f t="shared" si="129"/>
        <v>0</v>
      </c>
      <c r="BD275" s="796">
        <f t="shared" si="129"/>
        <v>0</v>
      </c>
      <c r="BE275" s="796">
        <f t="shared" si="129"/>
        <v>0</v>
      </c>
      <c r="BF275" s="796">
        <f t="shared" si="129"/>
        <v>0</v>
      </c>
      <c r="BG275" s="796">
        <f t="shared" si="129"/>
        <v>0</v>
      </c>
      <c r="BH275" s="796">
        <f t="shared" si="129"/>
        <v>0</v>
      </c>
      <c r="BI275" s="796">
        <f t="shared" si="129"/>
        <v>0</v>
      </c>
      <c r="BJ275" s="796">
        <f t="shared" si="129"/>
        <v>0</v>
      </c>
      <c r="BK275" s="796">
        <f t="shared" si="129"/>
        <v>0</v>
      </c>
      <c r="BL275" s="796">
        <f t="shared" si="129"/>
        <v>0</v>
      </c>
      <c r="BM275" s="796">
        <f t="shared" si="129"/>
        <v>0</v>
      </c>
      <c r="BN275" s="796">
        <f t="shared" ref="BN275:CX275" si="130">BN111</f>
        <v>0</v>
      </c>
      <c r="BO275" s="796">
        <f t="shared" si="130"/>
        <v>0</v>
      </c>
      <c r="BP275" s="796">
        <f t="shared" si="130"/>
        <v>0</v>
      </c>
      <c r="BQ275" s="796">
        <f t="shared" si="130"/>
        <v>0</v>
      </c>
      <c r="BR275" s="796">
        <f t="shared" si="130"/>
        <v>0</v>
      </c>
      <c r="BS275" s="796">
        <f t="shared" si="130"/>
        <v>4.5999999999999999E-3</v>
      </c>
      <c r="BT275" s="796">
        <f t="shared" si="130"/>
        <v>0</v>
      </c>
      <c r="BU275" s="796">
        <f t="shared" si="130"/>
        <v>0</v>
      </c>
      <c r="BV275" s="796">
        <f t="shared" si="130"/>
        <v>9.2499999999999999E-2</v>
      </c>
      <c r="BW275" s="796">
        <f t="shared" si="130"/>
        <v>0</v>
      </c>
      <c r="BX275" s="796">
        <f t="shared" si="130"/>
        <v>2.5000000000000001E-3</v>
      </c>
      <c r="BY275" s="796">
        <f t="shared" si="130"/>
        <v>0</v>
      </c>
      <c r="BZ275" s="796">
        <f t="shared" si="130"/>
        <v>0</v>
      </c>
      <c r="CA275" s="796">
        <f t="shared" si="130"/>
        <v>0</v>
      </c>
      <c r="CB275" s="796">
        <f t="shared" si="130"/>
        <v>0</v>
      </c>
      <c r="CC275" s="796">
        <f t="shared" si="130"/>
        <v>0</v>
      </c>
      <c r="CD275" s="796">
        <f t="shared" si="130"/>
        <v>0</v>
      </c>
      <c r="CE275" s="796">
        <f t="shared" si="130"/>
        <v>0</v>
      </c>
      <c r="CF275" s="796">
        <f t="shared" si="130"/>
        <v>0</v>
      </c>
      <c r="CG275" s="796">
        <f t="shared" si="130"/>
        <v>0</v>
      </c>
      <c r="CH275" s="796">
        <f t="shared" si="130"/>
        <v>0</v>
      </c>
      <c r="CI275" s="796">
        <f t="shared" si="130"/>
        <v>0</v>
      </c>
      <c r="CJ275" s="796">
        <f t="shared" si="130"/>
        <v>0</v>
      </c>
      <c r="CK275" s="796">
        <f t="shared" si="130"/>
        <v>0</v>
      </c>
      <c r="CL275" s="796">
        <f t="shared" si="130"/>
        <v>0</v>
      </c>
      <c r="CM275" s="796">
        <f t="shared" si="130"/>
        <v>0</v>
      </c>
      <c r="CN275" s="796">
        <f t="shared" si="130"/>
        <v>0</v>
      </c>
      <c r="CO275" s="796">
        <f t="shared" si="130"/>
        <v>0</v>
      </c>
      <c r="CP275" s="796">
        <f t="shared" si="130"/>
        <v>0</v>
      </c>
      <c r="CQ275" s="796">
        <f t="shared" si="130"/>
        <v>3.25</v>
      </c>
      <c r="CR275" s="796">
        <f t="shared" si="130"/>
        <v>0</v>
      </c>
      <c r="CS275" s="796">
        <f t="shared" si="130"/>
        <v>0</v>
      </c>
      <c r="CT275" s="796">
        <f t="shared" si="130"/>
        <v>0</v>
      </c>
      <c r="CU275" s="796">
        <f t="shared" si="130"/>
        <v>0</v>
      </c>
      <c r="CV275" s="796">
        <f t="shared" si="130"/>
        <v>0</v>
      </c>
      <c r="CW275" s="796">
        <f t="shared" si="130"/>
        <v>0</v>
      </c>
      <c r="CX275" s="796">
        <f t="shared" si="130"/>
        <v>0</v>
      </c>
      <c r="CY275" s="796">
        <f t="shared" ref="CY275" si="131">CY111</f>
        <v>0</v>
      </c>
    </row>
    <row r="276" spans="1:103" s="173" customFormat="1" x14ac:dyDescent="0.3">
      <c r="A276" s="795">
        <f>A120</f>
        <v>577</v>
      </c>
      <c r="B276" s="795" t="str">
        <f>B120</f>
        <v>Yes  or "1" indicates unit has defined benefit other than the ones adm. By the state</v>
      </c>
      <c r="C276" s="795"/>
      <c r="D276" s="795">
        <f t="shared" ref="D276:AI276" si="132">D120</f>
        <v>2</v>
      </c>
      <c r="E276" s="795">
        <f t="shared" si="132"/>
        <v>2</v>
      </c>
      <c r="F276" s="795">
        <f t="shared" si="132"/>
        <v>2</v>
      </c>
      <c r="G276" s="795">
        <f t="shared" si="132"/>
        <v>2</v>
      </c>
      <c r="H276" s="795">
        <f t="shared" si="132"/>
        <v>2</v>
      </c>
      <c r="I276" s="795">
        <f t="shared" si="132"/>
        <v>2</v>
      </c>
      <c r="J276" s="795">
        <f t="shared" si="132"/>
        <v>2</v>
      </c>
      <c r="K276" s="795">
        <f t="shared" si="132"/>
        <v>2</v>
      </c>
      <c r="L276" s="795">
        <f t="shared" si="132"/>
        <v>1</v>
      </c>
      <c r="M276" s="795">
        <f t="shared" si="132"/>
        <v>1</v>
      </c>
      <c r="N276" s="795">
        <f t="shared" si="132"/>
        <v>2</v>
      </c>
      <c r="O276" s="795">
        <f t="shared" si="132"/>
        <v>2</v>
      </c>
      <c r="P276" s="795">
        <f t="shared" si="132"/>
        <v>2</v>
      </c>
      <c r="Q276" s="795">
        <f t="shared" si="132"/>
        <v>2</v>
      </c>
      <c r="R276" s="795">
        <f t="shared" si="132"/>
        <v>2</v>
      </c>
      <c r="S276" s="795">
        <f t="shared" si="132"/>
        <v>2</v>
      </c>
      <c r="T276" s="795">
        <f t="shared" si="132"/>
        <v>0</v>
      </c>
      <c r="U276" s="795">
        <f t="shared" si="132"/>
        <v>0</v>
      </c>
      <c r="V276" s="795">
        <f t="shared" si="132"/>
        <v>2</v>
      </c>
      <c r="W276" s="795">
        <f t="shared" si="132"/>
        <v>0</v>
      </c>
      <c r="X276" s="795">
        <f t="shared" si="132"/>
        <v>2</v>
      </c>
      <c r="Y276" s="795">
        <f t="shared" si="132"/>
        <v>2</v>
      </c>
      <c r="Z276" s="795">
        <f t="shared" si="132"/>
        <v>2</v>
      </c>
      <c r="AA276" s="795">
        <f t="shared" si="132"/>
        <v>2</v>
      </c>
      <c r="AB276" s="795">
        <f t="shared" si="132"/>
        <v>2</v>
      </c>
      <c r="AC276" s="795">
        <f t="shared" si="132"/>
        <v>2</v>
      </c>
      <c r="AD276" s="795">
        <f t="shared" si="132"/>
        <v>2</v>
      </c>
      <c r="AE276" s="795">
        <f t="shared" si="132"/>
        <v>2</v>
      </c>
      <c r="AF276" s="795">
        <f t="shared" si="132"/>
        <v>2</v>
      </c>
      <c r="AG276" s="795">
        <f t="shared" si="132"/>
        <v>2</v>
      </c>
      <c r="AH276" s="795">
        <f t="shared" si="132"/>
        <v>2</v>
      </c>
      <c r="AI276" s="795">
        <f t="shared" si="132"/>
        <v>0</v>
      </c>
      <c r="AJ276" s="795">
        <f t="shared" ref="AJ276:BM276" si="133">AJ120</f>
        <v>2</v>
      </c>
      <c r="AK276" s="795">
        <f t="shared" si="133"/>
        <v>1</v>
      </c>
      <c r="AL276" s="795">
        <f t="shared" si="133"/>
        <v>1</v>
      </c>
      <c r="AM276" s="795">
        <f t="shared" si="133"/>
        <v>2</v>
      </c>
      <c r="AN276" s="795">
        <f t="shared" si="133"/>
        <v>2</v>
      </c>
      <c r="AO276" s="795">
        <f t="shared" si="133"/>
        <v>0</v>
      </c>
      <c r="AP276" s="795">
        <f t="shared" si="133"/>
        <v>2</v>
      </c>
      <c r="AQ276" s="795">
        <f t="shared" si="133"/>
        <v>2</v>
      </c>
      <c r="AR276" s="795">
        <f t="shared" si="133"/>
        <v>2</v>
      </c>
      <c r="AS276" s="795">
        <f t="shared" si="133"/>
        <v>2</v>
      </c>
      <c r="AT276" s="795">
        <f t="shared" si="133"/>
        <v>2</v>
      </c>
      <c r="AU276" s="795">
        <f t="shared" si="133"/>
        <v>2</v>
      </c>
      <c r="AV276" s="795">
        <f t="shared" si="133"/>
        <v>2</v>
      </c>
      <c r="AW276" s="795">
        <f t="shared" si="133"/>
        <v>2</v>
      </c>
      <c r="AX276" s="795">
        <f t="shared" si="133"/>
        <v>2</v>
      </c>
      <c r="AY276" s="795">
        <f t="shared" si="133"/>
        <v>2</v>
      </c>
      <c r="AZ276" s="795">
        <f t="shared" si="133"/>
        <v>2</v>
      </c>
      <c r="BA276" s="795">
        <f t="shared" si="133"/>
        <v>2</v>
      </c>
      <c r="BB276" s="795">
        <f t="shared" si="133"/>
        <v>2</v>
      </c>
      <c r="BC276" s="795">
        <f t="shared" si="133"/>
        <v>2</v>
      </c>
      <c r="BD276" s="795">
        <f t="shared" si="133"/>
        <v>2</v>
      </c>
      <c r="BE276" s="795">
        <f t="shared" si="133"/>
        <v>2</v>
      </c>
      <c r="BF276" s="795">
        <f t="shared" si="133"/>
        <v>2</v>
      </c>
      <c r="BG276" s="795">
        <f t="shared" si="133"/>
        <v>2</v>
      </c>
      <c r="BH276" s="795">
        <f t="shared" si="133"/>
        <v>2</v>
      </c>
      <c r="BI276" s="795">
        <f t="shared" si="133"/>
        <v>2</v>
      </c>
      <c r="BJ276" s="795">
        <f t="shared" si="133"/>
        <v>2</v>
      </c>
      <c r="BK276" s="795">
        <f t="shared" si="133"/>
        <v>1</v>
      </c>
      <c r="BL276" s="795">
        <f t="shared" si="133"/>
        <v>2</v>
      </c>
      <c r="BM276" s="795">
        <f t="shared" si="133"/>
        <v>2</v>
      </c>
      <c r="BN276" s="795">
        <f t="shared" ref="BN276:CX276" si="134">BN120</f>
        <v>2</v>
      </c>
      <c r="BO276" s="795">
        <f t="shared" si="134"/>
        <v>2</v>
      </c>
      <c r="BP276" s="795">
        <f t="shared" si="134"/>
        <v>2</v>
      </c>
      <c r="BQ276" s="795">
        <f t="shared" si="134"/>
        <v>2</v>
      </c>
      <c r="BR276" s="795">
        <f t="shared" si="134"/>
        <v>2</v>
      </c>
      <c r="BS276" s="795">
        <f t="shared" si="134"/>
        <v>2</v>
      </c>
      <c r="BT276" s="795">
        <f t="shared" si="134"/>
        <v>2</v>
      </c>
      <c r="BU276" s="795">
        <f t="shared" si="134"/>
        <v>2</v>
      </c>
      <c r="BV276" s="795">
        <f t="shared" si="134"/>
        <v>2</v>
      </c>
      <c r="BW276" s="795">
        <f t="shared" si="134"/>
        <v>2</v>
      </c>
      <c r="BX276" s="795">
        <f t="shared" si="134"/>
        <v>2</v>
      </c>
      <c r="BY276" s="795">
        <f t="shared" si="134"/>
        <v>2</v>
      </c>
      <c r="BZ276" s="795">
        <f t="shared" si="134"/>
        <v>2</v>
      </c>
      <c r="CA276" s="795">
        <f t="shared" si="134"/>
        <v>2</v>
      </c>
      <c r="CB276" s="795">
        <f t="shared" si="134"/>
        <v>2</v>
      </c>
      <c r="CC276" s="795">
        <f t="shared" si="134"/>
        <v>2</v>
      </c>
      <c r="CD276" s="795">
        <f t="shared" si="134"/>
        <v>2</v>
      </c>
      <c r="CE276" s="795">
        <f t="shared" si="134"/>
        <v>2</v>
      </c>
      <c r="CF276" s="795">
        <f t="shared" si="134"/>
        <v>1</v>
      </c>
      <c r="CG276" s="795">
        <f t="shared" si="134"/>
        <v>2</v>
      </c>
      <c r="CH276" s="795">
        <f t="shared" si="134"/>
        <v>2</v>
      </c>
      <c r="CI276" s="795">
        <f t="shared" si="134"/>
        <v>0</v>
      </c>
      <c r="CJ276" s="795">
        <f t="shared" si="134"/>
        <v>2</v>
      </c>
      <c r="CK276" s="795">
        <f t="shared" si="134"/>
        <v>2</v>
      </c>
      <c r="CL276" s="795">
        <f t="shared" si="134"/>
        <v>2</v>
      </c>
      <c r="CM276" s="795">
        <f t="shared" si="134"/>
        <v>2</v>
      </c>
      <c r="CN276" s="795">
        <f t="shared" si="134"/>
        <v>2</v>
      </c>
      <c r="CO276" s="795">
        <f t="shared" si="134"/>
        <v>1</v>
      </c>
      <c r="CP276" s="795">
        <f t="shared" si="134"/>
        <v>2</v>
      </c>
      <c r="CQ276" s="795">
        <f t="shared" si="134"/>
        <v>1</v>
      </c>
      <c r="CR276" s="795">
        <f t="shared" si="134"/>
        <v>2</v>
      </c>
      <c r="CS276" s="795">
        <f t="shared" si="134"/>
        <v>1</v>
      </c>
      <c r="CT276" s="795">
        <f t="shared" si="134"/>
        <v>2</v>
      </c>
      <c r="CU276" s="795">
        <f t="shared" si="134"/>
        <v>2</v>
      </c>
      <c r="CV276" s="795">
        <f t="shared" si="134"/>
        <v>2</v>
      </c>
      <c r="CW276" s="795">
        <f t="shared" si="134"/>
        <v>2</v>
      </c>
      <c r="CX276" s="795">
        <f t="shared" si="134"/>
        <v>2</v>
      </c>
      <c r="CY276" s="795">
        <f t="shared" ref="CY276" si="135">CY120</f>
        <v>2</v>
      </c>
    </row>
    <row r="277" spans="1:103" s="173" customFormat="1" x14ac:dyDescent="0.3">
      <c r="A277" s="796"/>
      <c r="D277">
        <f>SUM(D238:D276)</f>
        <v>855516099</v>
      </c>
      <c r="E277" s="173">
        <f t="shared" ref="E277:BP277" si="136">SUM(E238:E276)</f>
        <v>173016287.00999999</v>
      </c>
      <c r="F277" s="173">
        <f t="shared" si="136"/>
        <v>84560596</v>
      </c>
      <c r="G277" s="173">
        <f t="shared" si="136"/>
        <v>123321872.00999999</v>
      </c>
      <c r="H277" s="173">
        <f t="shared" si="136"/>
        <v>164998957</v>
      </c>
      <c r="I277" s="173">
        <f t="shared" si="136"/>
        <v>137999598</v>
      </c>
      <c r="J277" s="173">
        <f t="shared" si="136"/>
        <v>188361206.00999999</v>
      </c>
      <c r="K277" s="173">
        <f t="shared" si="136"/>
        <v>124053049.00999999</v>
      </c>
      <c r="L277" s="173">
        <f t="shared" si="136"/>
        <v>298194921.00999999</v>
      </c>
      <c r="M277" s="173">
        <f t="shared" si="136"/>
        <v>1234865876.8670001</v>
      </c>
      <c r="N277" s="173">
        <f t="shared" si="136"/>
        <v>1737075509.01</v>
      </c>
      <c r="O277" s="173">
        <f t="shared" si="136"/>
        <v>380949386.68000001</v>
      </c>
      <c r="P277" s="173">
        <f t="shared" si="136"/>
        <v>1875013937</v>
      </c>
      <c r="Q277" s="173">
        <f t="shared" si="136"/>
        <v>298052685.00999999</v>
      </c>
      <c r="R277" s="173">
        <f t="shared" si="136"/>
        <v>80196242.00999999</v>
      </c>
      <c r="S277" s="173">
        <f t="shared" si="136"/>
        <v>368238456.00999999</v>
      </c>
      <c r="T277" s="173">
        <f t="shared" si="136"/>
        <v>5167</v>
      </c>
      <c r="U277" s="173">
        <f t="shared" si="136"/>
        <v>955997509</v>
      </c>
      <c r="V277" s="173">
        <f t="shared" si="136"/>
        <v>787169272.00999999</v>
      </c>
      <c r="W277" s="173">
        <f t="shared" si="136"/>
        <v>5170</v>
      </c>
      <c r="X277" s="173">
        <f t="shared" si="136"/>
        <v>95560961.010000005</v>
      </c>
      <c r="Y277" s="173">
        <f t="shared" si="136"/>
        <v>93452247.00999999</v>
      </c>
      <c r="Z277" s="173">
        <f t="shared" si="136"/>
        <v>814476461</v>
      </c>
      <c r="AA277" s="173">
        <f t="shared" si="136"/>
        <v>557460116.00999999</v>
      </c>
      <c r="AB277" s="173">
        <f t="shared" si="136"/>
        <v>472703529.00999999</v>
      </c>
      <c r="AC277" s="173">
        <f t="shared" si="136"/>
        <v>1418829415.01</v>
      </c>
      <c r="AD277" s="173">
        <f t="shared" si="136"/>
        <v>438311346.11000001</v>
      </c>
      <c r="AE277" s="173">
        <f t="shared" si="136"/>
        <v>1068791371.01</v>
      </c>
      <c r="AF277" s="173">
        <f t="shared" si="136"/>
        <v>750136171.00999999</v>
      </c>
      <c r="AG277" s="173">
        <f t="shared" si="136"/>
        <v>270257056.00999999</v>
      </c>
      <c r="AH277" s="173">
        <f t="shared" si="136"/>
        <v>342189364.00999999</v>
      </c>
      <c r="AI277" s="173">
        <f t="shared" si="136"/>
        <v>2755287971.0100002</v>
      </c>
      <c r="AJ277" s="173">
        <f t="shared" si="136"/>
        <v>220669189.00999999</v>
      </c>
      <c r="AK277" s="173">
        <f t="shared" si="136"/>
        <v>2700324809</v>
      </c>
      <c r="AL277" s="173">
        <f t="shared" si="136"/>
        <v>479416595.00999999</v>
      </c>
      <c r="AM277" s="173">
        <f t="shared" si="136"/>
        <v>1283748364</v>
      </c>
      <c r="AN277" s="173">
        <f t="shared" si="136"/>
        <v>57425715.059999995</v>
      </c>
      <c r="AO277" s="173">
        <f t="shared" si="136"/>
        <v>5188</v>
      </c>
      <c r="AP277" s="173">
        <f t="shared" si="136"/>
        <v>343202932</v>
      </c>
      <c r="AQ277" s="173">
        <f t="shared" si="136"/>
        <v>97005322.00999999</v>
      </c>
      <c r="AR277" s="173">
        <f t="shared" si="136"/>
        <v>2828845158</v>
      </c>
      <c r="AS277" s="173">
        <f t="shared" si="136"/>
        <v>228327591.00999999</v>
      </c>
      <c r="AT277" s="173">
        <f t="shared" si="136"/>
        <v>1001600266.01</v>
      </c>
      <c r="AU277" s="173">
        <f t="shared" si="136"/>
        <v>430977283</v>
      </c>
      <c r="AV277" s="173">
        <f t="shared" si="136"/>
        <v>743203407.00999999</v>
      </c>
      <c r="AW277" s="173">
        <f t="shared" si="136"/>
        <v>130383824.00999999</v>
      </c>
      <c r="AX277" s="173">
        <f t="shared" si="136"/>
        <v>423354900.00999999</v>
      </c>
      <c r="AY277" s="173">
        <f t="shared" si="136"/>
        <v>67316664.00999999</v>
      </c>
      <c r="AZ277" s="173">
        <f t="shared" si="136"/>
        <v>1284172788.25</v>
      </c>
      <c r="BA277" s="173">
        <f t="shared" si="136"/>
        <v>400852486</v>
      </c>
      <c r="BB277" s="173">
        <f t="shared" si="136"/>
        <v>1471268513.01</v>
      </c>
      <c r="BC277" s="173">
        <f t="shared" si="136"/>
        <v>106640904.01000001</v>
      </c>
      <c r="BD277" s="173">
        <f t="shared" si="136"/>
        <v>346149052</v>
      </c>
      <c r="BE277" s="173">
        <f t="shared" si="136"/>
        <v>238956241</v>
      </c>
      <c r="BF277" s="173">
        <f t="shared" si="136"/>
        <v>716493967.00999999</v>
      </c>
      <c r="BG277" s="173">
        <f t="shared" si="136"/>
        <v>300823577</v>
      </c>
      <c r="BH277" s="173">
        <f t="shared" si="136"/>
        <v>91654669</v>
      </c>
      <c r="BI277" s="173">
        <f t="shared" si="136"/>
        <v>159671191.00999999</v>
      </c>
      <c r="BJ277" s="173">
        <f t="shared" si="136"/>
        <v>193142924.00999999</v>
      </c>
      <c r="BK277" s="173">
        <f t="shared" si="136"/>
        <v>8304223786</v>
      </c>
      <c r="BL277" s="173">
        <f t="shared" si="136"/>
        <v>111425748</v>
      </c>
      <c r="BM277" s="173">
        <f t="shared" si="136"/>
        <v>431454698.00999999</v>
      </c>
      <c r="BN277" s="173">
        <f t="shared" si="136"/>
        <v>800397255.00999999</v>
      </c>
      <c r="BO277" s="173">
        <f t="shared" si="136"/>
        <v>497299095.00999999</v>
      </c>
      <c r="BP277" s="173">
        <f t="shared" si="136"/>
        <v>2491302597</v>
      </c>
      <c r="BQ277" s="173">
        <f t="shared" ref="BQ277:CY277" si="137">SUM(BQ238:BQ276)</f>
        <v>188817215.00999999</v>
      </c>
      <c r="BR277" s="173">
        <f t="shared" si="137"/>
        <v>1043356937</v>
      </c>
      <c r="BS277" s="173">
        <f t="shared" si="137"/>
        <v>1196787482.0046</v>
      </c>
      <c r="BT277" s="173">
        <f t="shared" si="137"/>
        <v>64589515.009999998</v>
      </c>
      <c r="BU277" s="173">
        <f t="shared" si="137"/>
        <v>235353440.00999999</v>
      </c>
      <c r="BV277" s="173">
        <f t="shared" si="137"/>
        <v>399291954.10249996</v>
      </c>
      <c r="BW277" s="173">
        <f t="shared" si="137"/>
        <v>60714294.009999998</v>
      </c>
      <c r="BX277" s="173">
        <f t="shared" si="137"/>
        <v>280998854.0025</v>
      </c>
      <c r="BY277" s="173">
        <f t="shared" si="137"/>
        <v>947299661</v>
      </c>
      <c r="BZ277" s="173">
        <f t="shared" si="137"/>
        <v>139800347</v>
      </c>
      <c r="CA277" s="173">
        <f t="shared" si="137"/>
        <v>706556434</v>
      </c>
      <c r="CB277" s="173">
        <f t="shared" si="137"/>
        <v>189270543.00999999</v>
      </c>
      <c r="CC277" s="173">
        <f t="shared" si="137"/>
        <v>471568755.00999999</v>
      </c>
      <c r="CD277" s="173">
        <f t="shared" si="137"/>
        <v>509628175.00999999</v>
      </c>
      <c r="CE277" s="173">
        <f t="shared" si="137"/>
        <v>617744252.00999999</v>
      </c>
      <c r="CF277" s="173">
        <f t="shared" si="137"/>
        <v>331774428</v>
      </c>
      <c r="CG277" s="173">
        <f t="shared" si="137"/>
        <v>471469682.00999999</v>
      </c>
      <c r="CH277" s="173">
        <f t="shared" si="137"/>
        <v>229388752.00999999</v>
      </c>
      <c r="CI277" s="173">
        <f t="shared" si="137"/>
        <v>280347395.00999999</v>
      </c>
      <c r="CJ277" s="173">
        <f t="shared" si="137"/>
        <v>292555650.00999999</v>
      </c>
      <c r="CK277" s="173">
        <f t="shared" si="137"/>
        <v>444100539.00999999</v>
      </c>
      <c r="CL277" s="173">
        <f t="shared" si="137"/>
        <v>154011679</v>
      </c>
      <c r="CM277" s="173">
        <f t="shared" si="137"/>
        <v>198412534</v>
      </c>
      <c r="CN277" s="173">
        <f t="shared" si="137"/>
        <v>26648257.009999998</v>
      </c>
      <c r="CO277" s="173">
        <f t="shared" si="137"/>
        <v>2173137098.0100002</v>
      </c>
      <c r="CP277" s="173">
        <f t="shared" si="137"/>
        <v>205676551.00999999</v>
      </c>
      <c r="CQ277" s="173">
        <f t="shared" si="137"/>
        <v>8386524462.25</v>
      </c>
      <c r="CR277" s="173">
        <f t="shared" si="137"/>
        <v>110826275.00999999</v>
      </c>
      <c r="CS277" s="173">
        <f t="shared" si="137"/>
        <v>136517126.00999999</v>
      </c>
      <c r="CT277" s="173">
        <f t="shared" si="137"/>
        <v>473180704</v>
      </c>
      <c r="CU277" s="173">
        <f t="shared" si="137"/>
        <v>982472510.00999999</v>
      </c>
      <c r="CV277" s="173">
        <f t="shared" si="137"/>
        <v>353508974</v>
      </c>
      <c r="CW277" s="173">
        <f t="shared" si="137"/>
        <v>377814289.00999999</v>
      </c>
      <c r="CX277" s="173">
        <f t="shared" si="137"/>
        <v>167517534.00999999</v>
      </c>
      <c r="CY277" s="173">
        <f t="shared" si="137"/>
        <v>105321660</v>
      </c>
    </row>
    <row r="278" spans="1:103" s="539" customFormat="1" x14ac:dyDescent="0.3">
      <c r="A278" s="796"/>
      <c r="B278"/>
      <c r="C278" s="173"/>
      <c r="D278">
        <f>D215-D277</f>
        <v>2471865078.0799999</v>
      </c>
      <c r="E278" s="173">
        <f t="shared" ref="E278:BP278" si="138">E215-E277</f>
        <v>774241388.02999997</v>
      </c>
      <c r="F278" s="173">
        <f t="shared" si="138"/>
        <v>308431814.13</v>
      </c>
      <c r="G278" s="173">
        <f t="shared" si="138"/>
        <v>776878867.39999998</v>
      </c>
      <c r="H278" s="173">
        <f t="shared" si="138"/>
        <v>636868239.75999999</v>
      </c>
      <c r="I278" s="173">
        <f t="shared" si="138"/>
        <v>587418975.80999994</v>
      </c>
      <c r="J278" s="173">
        <f t="shared" si="138"/>
        <v>1285568810.3599999</v>
      </c>
      <c r="K278" s="173">
        <f t="shared" si="138"/>
        <v>468446583.02999997</v>
      </c>
      <c r="L278" s="173">
        <f t="shared" si="138"/>
        <v>1015717734.71</v>
      </c>
      <c r="M278" s="173">
        <f t="shared" si="138"/>
        <v>8038345915.539999</v>
      </c>
      <c r="N278" s="173">
        <f t="shared" si="138"/>
        <v>5234083003.1999998</v>
      </c>
      <c r="O278" s="173">
        <f t="shared" si="138"/>
        <v>1498843445.45</v>
      </c>
      <c r="P278" s="173">
        <f t="shared" si="138"/>
        <v>4959484967.8000002</v>
      </c>
      <c r="Q278" s="173">
        <f t="shared" si="138"/>
        <v>1168002051.4100001</v>
      </c>
      <c r="R278" s="173">
        <f t="shared" si="138"/>
        <v>438518420.15000004</v>
      </c>
      <c r="S278" s="173">
        <f t="shared" si="138"/>
        <v>1744239896.9200001</v>
      </c>
      <c r="T278" s="173">
        <f t="shared" si="138"/>
        <v>0</v>
      </c>
      <c r="U278" s="173">
        <f t="shared" si="138"/>
        <v>2603945827.8099999</v>
      </c>
      <c r="V278" s="173">
        <f t="shared" si="138"/>
        <v>2637963839.1099997</v>
      </c>
      <c r="W278" s="173">
        <f t="shared" si="138"/>
        <v>0</v>
      </c>
      <c r="X278" s="173">
        <f t="shared" si="138"/>
        <v>437056524.61000001</v>
      </c>
      <c r="Y278" s="173">
        <f t="shared" si="138"/>
        <v>370175697.71000004</v>
      </c>
      <c r="Z278" s="173">
        <f t="shared" si="138"/>
        <v>2099301179.3899999</v>
      </c>
      <c r="AA278" s="173">
        <f t="shared" si="138"/>
        <v>1315062121.95</v>
      </c>
      <c r="AB278" s="173">
        <f t="shared" si="138"/>
        <v>2027683328.1499999</v>
      </c>
      <c r="AC278" s="173">
        <f t="shared" si="138"/>
        <v>5568881743.1999998</v>
      </c>
      <c r="AD278" s="173">
        <f t="shared" si="138"/>
        <v>1984742705.5999999</v>
      </c>
      <c r="AE278" s="173">
        <f t="shared" si="138"/>
        <v>3286147210.1499996</v>
      </c>
      <c r="AF278" s="173">
        <f t="shared" si="138"/>
        <v>2998764414.9700003</v>
      </c>
      <c r="AG278" s="173">
        <f t="shared" si="138"/>
        <v>1223424287.3700001</v>
      </c>
      <c r="AH278" s="173">
        <f t="shared" si="138"/>
        <v>1321186029.01</v>
      </c>
      <c r="AI278" s="173">
        <f t="shared" si="138"/>
        <v>8772833858.0100002</v>
      </c>
      <c r="AJ278" s="173">
        <f t="shared" si="138"/>
        <v>1097972768.29</v>
      </c>
      <c r="AK278" s="173">
        <f t="shared" si="138"/>
        <v>6990183952.9799995</v>
      </c>
      <c r="AL278" s="173">
        <f t="shared" si="138"/>
        <v>1960164182.1000001</v>
      </c>
      <c r="AM278" s="173">
        <f t="shared" si="138"/>
        <v>4276283264.1999998</v>
      </c>
      <c r="AN278" s="173">
        <f t="shared" si="138"/>
        <v>248749337.70999998</v>
      </c>
      <c r="AO278" s="173">
        <f t="shared" si="138"/>
        <v>0</v>
      </c>
      <c r="AP278" s="173">
        <f t="shared" si="138"/>
        <v>1143961182.8299999</v>
      </c>
      <c r="AQ278" s="173">
        <f t="shared" si="138"/>
        <v>579849280.58000004</v>
      </c>
      <c r="AR278" s="173">
        <f t="shared" si="138"/>
        <v>8471287790.3799992</v>
      </c>
      <c r="AS278" s="173">
        <f t="shared" si="138"/>
        <v>1167702541.8299999</v>
      </c>
      <c r="AT278" s="173">
        <f t="shared" si="138"/>
        <v>4834387735.29</v>
      </c>
      <c r="AU278" s="173">
        <f t="shared" si="138"/>
        <v>1400835924.72</v>
      </c>
      <c r="AV278" s="173">
        <f t="shared" si="138"/>
        <v>2400098176.4099998</v>
      </c>
      <c r="AW278" s="173">
        <f t="shared" si="138"/>
        <v>470486753.79999995</v>
      </c>
      <c r="AX278" s="173">
        <f t="shared" si="138"/>
        <v>1435652814.27</v>
      </c>
      <c r="AY278" s="173">
        <f t="shared" si="138"/>
        <v>303346062.24000001</v>
      </c>
      <c r="AZ278" s="173">
        <f t="shared" si="138"/>
        <v>4730011488.75</v>
      </c>
      <c r="BA278" s="173">
        <f t="shared" si="138"/>
        <v>1204223737.3900001</v>
      </c>
      <c r="BB278" s="173">
        <f t="shared" si="138"/>
        <v>7138912264.8699989</v>
      </c>
      <c r="BC278" s="173">
        <f t="shared" si="138"/>
        <v>421824887.11000001</v>
      </c>
      <c r="BD278" s="173">
        <f t="shared" si="138"/>
        <v>1083957406.47</v>
      </c>
      <c r="BE278" s="173">
        <f t="shared" si="138"/>
        <v>985496986.44000006</v>
      </c>
      <c r="BF278" s="173">
        <f t="shared" si="138"/>
        <v>2921774122.9200001</v>
      </c>
      <c r="BG278" s="173">
        <f t="shared" si="138"/>
        <v>928514745.53999996</v>
      </c>
      <c r="BH278" s="173">
        <f t="shared" si="138"/>
        <v>447841455.5</v>
      </c>
      <c r="BI278" s="173">
        <f t="shared" si="138"/>
        <v>600840821.53999996</v>
      </c>
      <c r="BJ278" s="173">
        <f t="shared" si="138"/>
        <v>756201728.24000001</v>
      </c>
      <c r="BK278" s="173">
        <f t="shared" si="138"/>
        <v>23525904307.150002</v>
      </c>
      <c r="BL278" s="173">
        <f t="shared" si="138"/>
        <v>309084016.42000002</v>
      </c>
      <c r="BM278" s="173">
        <f t="shared" si="138"/>
        <v>1004472475.24</v>
      </c>
      <c r="BN278" s="173">
        <f t="shared" si="138"/>
        <v>2750566353.6999998</v>
      </c>
      <c r="BO278" s="173">
        <f t="shared" si="138"/>
        <v>1468684004.3299999</v>
      </c>
      <c r="BP278" s="173">
        <f t="shared" si="138"/>
        <v>6722165340.1100006</v>
      </c>
      <c r="BQ278" s="173">
        <f t="shared" ref="BQ278:CY278" si="139">BQ215-BQ277</f>
        <v>667591612.84000003</v>
      </c>
      <c r="BR278" s="173">
        <f t="shared" si="139"/>
        <v>3774953080.6350002</v>
      </c>
      <c r="BS278" s="173">
        <f t="shared" si="139"/>
        <v>3272028230.9822001</v>
      </c>
      <c r="BT278" s="173">
        <f t="shared" si="139"/>
        <v>390582331.82999998</v>
      </c>
      <c r="BU278" s="173">
        <f t="shared" si="139"/>
        <v>1195561557.3199999</v>
      </c>
      <c r="BV278" s="173">
        <f t="shared" si="139"/>
        <v>2000904865.3000002</v>
      </c>
      <c r="BW278" s="173">
        <f t="shared" si="139"/>
        <v>314662301.16000003</v>
      </c>
      <c r="BX278" s="173">
        <f t="shared" si="139"/>
        <v>1091268164.8899999</v>
      </c>
      <c r="BY278" s="173">
        <f t="shared" si="139"/>
        <v>2694576216.5799999</v>
      </c>
      <c r="BZ278" s="173">
        <f t="shared" si="139"/>
        <v>490131345.57000005</v>
      </c>
      <c r="CA278" s="173">
        <f t="shared" si="139"/>
        <v>2185751878.6100001</v>
      </c>
      <c r="CB278" s="173">
        <f t="shared" si="139"/>
        <v>1053606897.6400001</v>
      </c>
      <c r="CC278" s="173">
        <f t="shared" si="139"/>
        <v>2177753693.4700003</v>
      </c>
      <c r="CD278" s="173">
        <f t="shared" si="139"/>
        <v>1813234647.4599998</v>
      </c>
      <c r="CE278" s="173">
        <f t="shared" si="139"/>
        <v>2643984920.4300003</v>
      </c>
      <c r="CF278" s="173">
        <f t="shared" si="139"/>
        <v>1258003409.55</v>
      </c>
      <c r="CG278" s="173">
        <f t="shared" si="139"/>
        <v>1612438410.47</v>
      </c>
      <c r="CH278" s="173">
        <f t="shared" si="139"/>
        <v>655283215.07000005</v>
      </c>
      <c r="CI278" s="173">
        <f t="shared" si="139"/>
        <v>1331959923.52</v>
      </c>
      <c r="CJ278" s="173">
        <f t="shared" si="139"/>
        <v>848126252.05999994</v>
      </c>
      <c r="CK278" s="173">
        <f t="shared" si="139"/>
        <v>1390009373.98</v>
      </c>
      <c r="CL278" s="173">
        <f t="shared" si="139"/>
        <v>427510559.17999995</v>
      </c>
      <c r="CM278" s="173">
        <f t="shared" si="139"/>
        <v>1000548308.5699999</v>
      </c>
      <c r="CN278" s="173">
        <f t="shared" si="139"/>
        <v>177837966.35000002</v>
      </c>
      <c r="CO278" s="173">
        <f t="shared" si="139"/>
        <v>10518113998.4</v>
      </c>
      <c r="CP278" s="173">
        <f t="shared" si="139"/>
        <v>750884824.85000002</v>
      </c>
      <c r="CQ278" s="173">
        <f t="shared" si="139"/>
        <v>22867961870.060001</v>
      </c>
      <c r="CR278" s="173">
        <f t="shared" si="139"/>
        <v>736290664.63999999</v>
      </c>
      <c r="CS278" s="173">
        <f t="shared" si="139"/>
        <v>388391676.17000002</v>
      </c>
      <c r="CT278" s="173">
        <f t="shared" si="139"/>
        <v>1630859515.55</v>
      </c>
      <c r="CU278" s="173">
        <f t="shared" si="139"/>
        <v>2370162496.1599998</v>
      </c>
      <c r="CV278" s="173">
        <f t="shared" si="139"/>
        <v>1148086233.29</v>
      </c>
      <c r="CW278" s="173">
        <f t="shared" si="139"/>
        <v>1493254893.1099999</v>
      </c>
      <c r="CX278" s="173">
        <f t="shared" si="139"/>
        <v>674968910.96000004</v>
      </c>
      <c r="CY278" s="173">
        <f t="shared" si="139"/>
        <v>361027467.10000002</v>
      </c>
    </row>
    <row r="279" spans="1:103" s="539" customFormat="1" x14ac:dyDescent="0.3">
      <c r="A279" s="796" t="s">
        <v>703</v>
      </c>
      <c r="B279"/>
      <c r="C279" s="173"/>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row>
    <row r="280" spans="1:103" s="539" customFormat="1" x14ac:dyDescent="0.3">
      <c r="A280" s="796"/>
      <c r="B280"/>
      <c r="C280" s="173"/>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row>
    <row r="281" spans="1:103" s="539" customFormat="1" x14ac:dyDescent="0.3">
      <c r="A281" s="794">
        <f>A216</f>
        <v>9001</v>
      </c>
      <c r="B281" s="794" t="str">
        <f t="shared" ref="B281:BM282" si="140">B216</f>
        <v>Total Assets less Internal Balances Formula: =385-576</v>
      </c>
      <c r="C281" s="794" t="str">
        <f t="shared" si="140"/>
        <v>Reverse import tab calculation to value reported on DIW unit data from audit worksheet tab for account 385</v>
      </c>
      <c r="D281" s="794">
        <f t="shared" si="140"/>
        <v>334955470</v>
      </c>
      <c r="E281" s="794">
        <f t="shared" si="140"/>
        <v>79155325</v>
      </c>
      <c r="F281" s="794">
        <f t="shared" si="140"/>
        <v>43218630</v>
      </c>
      <c r="G281" s="794">
        <f t="shared" si="140"/>
        <v>67885128</v>
      </c>
      <c r="H281" s="794">
        <f t="shared" si="140"/>
        <v>95798367</v>
      </c>
      <c r="I281" s="794">
        <f t="shared" si="140"/>
        <v>100572956</v>
      </c>
      <c r="J281" s="794">
        <f t="shared" si="140"/>
        <v>104161244</v>
      </c>
      <c r="K281" s="794">
        <f t="shared" si="140"/>
        <v>51570654</v>
      </c>
      <c r="L281" s="794">
        <f t="shared" si="140"/>
        <v>140824047</v>
      </c>
      <c r="M281" s="794">
        <f t="shared" si="140"/>
        <v>537021501</v>
      </c>
      <c r="N281" s="794">
        <f t="shared" si="140"/>
        <v>673010414</v>
      </c>
      <c r="O281" s="794">
        <f t="shared" si="140"/>
        <v>182038340</v>
      </c>
      <c r="P281" s="794">
        <f t="shared" si="140"/>
        <v>756070211</v>
      </c>
      <c r="Q281" s="794">
        <f t="shared" si="140"/>
        <v>131845541</v>
      </c>
      <c r="R281" s="794">
        <f t="shared" si="140"/>
        <v>50100910</v>
      </c>
      <c r="S281" s="794">
        <f t="shared" si="140"/>
        <v>216507797</v>
      </c>
      <c r="T281" s="794">
        <f t="shared" si="140"/>
        <v>0</v>
      </c>
      <c r="U281" s="794">
        <f t="shared" si="140"/>
        <v>514727008</v>
      </c>
      <c r="V281" s="794">
        <f t="shared" si="140"/>
        <v>364317784</v>
      </c>
      <c r="W281" s="794">
        <f t="shared" si="140"/>
        <v>0</v>
      </c>
      <c r="X281" s="794">
        <f t="shared" si="140"/>
        <v>57946196</v>
      </c>
      <c r="Y281" s="794">
        <f t="shared" si="140"/>
        <v>47010827</v>
      </c>
      <c r="Z281" s="794">
        <f t="shared" si="140"/>
        <v>348215907</v>
      </c>
      <c r="AA281" s="794">
        <f t="shared" si="140"/>
        <v>223256160</v>
      </c>
      <c r="AB281" s="794">
        <f t="shared" si="140"/>
        <v>223364787</v>
      </c>
      <c r="AC281" s="794">
        <f t="shared" si="140"/>
        <v>696824950</v>
      </c>
      <c r="AD281" s="794">
        <f t="shared" si="140"/>
        <v>290485940</v>
      </c>
      <c r="AE281" s="794">
        <f t="shared" si="140"/>
        <v>509561369</v>
      </c>
      <c r="AF281" s="794">
        <f t="shared" si="140"/>
        <v>396562594</v>
      </c>
      <c r="AG281" s="794">
        <f t="shared" si="140"/>
        <v>99258992</v>
      </c>
      <c r="AH281" s="794">
        <f t="shared" si="140"/>
        <v>145751348</v>
      </c>
      <c r="AI281" s="794">
        <f t="shared" si="140"/>
        <v>1204728926</v>
      </c>
      <c r="AJ281" s="794">
        <f t="shared" si="140"/>
        <v>101243952</v>
      </c>
      <c r="AK281" s="794">
        <f t="shared" si="140"/>
        <v>1108224799</v>
      </c>
      <c r="AL281" s="794">
        <f t="shared" si="140"/>
        <v>199721961</v>
      </c>
      <c r="AM281" s="794">
        <f t="shared" si="140"/>
        <v>559492002</v>
      </c>
      <c r="AN281" s="794">
        <f t="shared" si="140"/>
        <v>24740579</v>
      </c>
      <c r="AO281" s="794">
        <f t="shared" si="140"/>
        <v>0</v>
      </c>
      <c r="AP281" s="794">
        <f t="shared" si="140"/>
        <v>156282100</v>
      </c>
      <c r="AQ281" s="794">
        <f t="shared" si="140"/>
        <v>49073817</v>
      </c>
      <c r="AR281" s="794">
        <f t="shared" si="140"/>
        <v>967797982</v>
      </c>
      <c r="AS281" s="794">
        <f t="shared" si="140"/>
        <v>106217644</v>
      </c>
      <c r="AT281" s="794">
        <f t="shared" si="140"/>
        <v>373610750</v>
      </c>
      <c r="AU281" s="794">
        <f t="shared" si="140"/>
        <v>222113305</v>
      </c>
      <c r="AV281" s="794">
        <f t="shared" si="140"/>
        <v>335010673</v>
      </c>
      <c r="AW281" s="794">
        <f t="shared" si="140"/>
        <v>67789385</v>
      </c>
      <c r="AX281" s="794">
        <f t="shared" si="140"/>
        <v>181447277</v>
      </c>
      <c r="AY281" s="794">
        <f t="shared" si="140"/>
        <v>39870603</v>
      </c>
      <c r="AZ281" s="794">
        <f t="shared" si="140"/>
        <v>786390928</v>
      </c>
      <c r="BA281" s="794">
        <f t="shared" si="140"/>
        <v>216639713</v>
      </c>
      <c r="BB281" s="794">
        <f t="shared" si="140"/>
        <v>487091845</v>
      </c>
      <c r="BC281" s="794">
        <f t="shared" si="140"/>
        <v>72195369</v>
      </c>
      <c r="BD281" s="794">
        <f t="shared" si="140"/>
        <v>136929712</v>
      </c>
      <c r="BE281" s="794">
        <f t="shared" si="140"/>
        <v>108682693</v>
      </c>
      <c r="BF281" s="794">
        <f t="shared" si="140"/>
        <v>326888905</v>
      </c>
      <c r="BG281" s="794">
        <f t="shared" si="140"/>
        <v>134302916</v>
      </c>
      <c r="BH281" s="794">
        <f t="shared" si="140"/>
        <v>45673912</v>
      </c>
      <c r="BI281" s="794">
        <f t="shared" si="140"/>
        <v>85698097</v>
      </c>
      <c r="BJ281" s="794">
        <f t="shared" si="140"/>
        <v>103634719</v>
      </c>
      <c r="BK281" s="794">
        <f t="shared" si="140"/>
        <v>3575315821</v>
      </c>
      <c r="BL281" s="794">
        <f t="shared" si="140"/>
        <v>44815486</v>
      </c>
      <c r="BM281" s="794">
        <f t="shared" si="140"/>
        <v>177097140</v>
      </c>
      <c r="BN281" s="794">
        <f t="shared" ref="BN281:CY283" si="141">BN216</f>
        <v>331552935</v>
      </c>
      <c r="BO281" s="794">
        <f t="shared" si="141"/>
        <v>230793202</v>
      </c>
      <c r="BP281" s="794">
        <f t="shared" si="141"/>
        <v>1114512427</v>
      </c>
      <c r="BQ281" s="794">
        <f t="shared" si="141"/>
        <v>81211195</v>
      </c>
      <c r="BR281" s="794">
        <f t="shared" si="141"/>
        <v>470611057</v>
      </c>
      <c r="BS281" s="794">
        <f t="shared" si="141"/>
        <v>430181227</v>
      </c>
      <c r="BT281" s="794">
        <f t="shared" si="141"/>
        <v>31186430</v>
      </c>
      <c r="BU281" s="794">
        <f t="shared" si="141"/>
        <v>112240255</v>
      </c>
      <c r="BV281" s="794">
        <f t="shared" si="141"/>
        <v>171903961</v>
      </c>
      <c r="BW281" s="794">
        <f t="shared" si="141"/>
        <v>28010336</v>
      </c>
      <c r="BX281" s="794">
        <f t="shared" si="141"/>
        <v>150565178</v>
      </c>
      <c r="BY281" s="794">
        <f t="shared" si="141"/>
        <v>457557663</v>
      </c>
      <c r="BZ281" s="794">
        <f t="shared" si="141"/>
        <v>76351376</v>
      </c>
      <c r="CA281" s="794">
        <f t="shared" si="141"/>
        <v>341151736</v>
      </c>
      <c r="CB281" s="794">
        <f t="shared" si="141"/>
        <v>81788528</v>
      </c>
      <c r="CC281" s="794">
        <f t="shared" si="141"/>
        <v>200421620</v>
      </c>
      <c r="CD281" s="794">
        <f t="shared" si="141"/>
        <v>207864590</v>
      </c>
      <c r="CE281" s="794">
        <f t="shared" si="141"/>
        <v>321301149</v>
      </c>
      <c r="CF281" s="794">
        <f t="shared" si="141"/>
        <v>196984198</v>
      </c>
      <c r="CG281" s="794">
        <f t="shared" si="141"/>
        <v>236554377</v>
      </c>
      <c r="CH281" s="794">
        <f t="shared" si="141"/>
        <v>82180246</v>
      </c>
      <c r="CI281" s="794">
        <f t="shared" si="141"/>
        <v>140540719</v>
      </c>
      <c r="CJ281" s="794">
        <f t="shared" si="141"/>
        <v>120790456</v>
      </c>
      <c r="CK281" s="794">
        <f t="shared" si="141"/>
        <v>207851040</v>
      </c>
      <c r="CL281" s="794">
        <f t="shared" si="141"/>
        <v>99945687</v>
      </c>
      <c r="CM281" s="794">
        <f t="shared" si="141"/>
        <v>135872980</v>
      </c>
      <c r="CN281" s="794">
        <f t="shared" si="141"/>
        <v>10784276</v>
      </c>
      <c r="CO281" s="794">
        <f t="shared" si="141"/>
        <v>841760492</v>
      </c>
      <c r="CP281" s="794">
        <f t="shared" si="141"/>
        <v>96468905</v>
      </c>
      <c r="CQ281" s="794">
        <f t="shared" si="141"/>
        <v>2870819064</v>
      </c>
      <c r="CR281" s="794">
        <f t="shared" si="141"/>
        <v>59756423</v>
      </c>
      <c r="CS281" s="794">
        <f t="shared" si="141"/>
        <v>71561470</v>
      </c>
      <c r="CT281" s="794">
        <f t="shared" si="141"/>
        <v>322420746</v>
      </c>
      <c r="CU281" s="794">
        <f t="shared" si="141"/>
        <v>479699013</v>
      </c>
      <c r="CV281" s="794">
        <f t="shared" si="141"/>
        <v>155596518</v>
      </c>
      <c r="CW281" s="794">
        <f t="shared" si="141"/>
        <v>161623315</v>
      </c>
      <c r="CX281" s="794">
        <f t="shared" si="141"/>
        <v>103941908</v>
      </c>
      <c r="CY281" s="794">
        <f t="shared" si="141"/>
        <v>46073895</v>
      </c>
    </row>
    <row r="282" spans="1:103" x14ac:dyDescent="0.3">
      <c r="A282" s="794">
        <f t="shared" ref="A282:P283" si="142">A217</f>
        <v>9002</v>
      </c>
      <c r="B282" s="794" t="str">
        <f t="shared" si="142"/>
        <v>Total Current Liabilites less Internal Balances Formula: =626-576</v>
      </c>
      <c r="C282" s="794" t="str">
        <f t="shared" si="142"/>
        <v>Reverse import tab calculation to value reported on unit DIW data from audit worksheet tab for account 626</v>
      </c>
      <c r="D282" s="794">
        <f t="shared" si="142"/>
        <v>70381750</v>
      </c>
      <c r="E282" s="794">
        <f t="shared" si="142"/>
        <v>11632842</v>
      </c>
      <c r="F282" s="794">
        <f t="shared" si="142"/>
        <v>4552854</v>
      </c>
      <c r="G282" s="794">
        <f t="shared" si="142"/>
        <v>2051650</v>
      </c>
      <c r="H282" s="794">
        <f t="shared" si="142"/>
        <v>3365558</v>
      </c>
      <c r="I282" s="794">
        <f t="shared" si="142"/>
        <v>2449296</v>
      </c>
      <c r="J282" s="794">
        <f t="shared" si="142"/>
        <v>7783950</v>
      </c>
      <c r="K282" s="794">
        <f t="shared" si="142"/>
        <v>4287302</v>
      </c>
      <c r="L282" s="794">
        <f t="shared" si="142"/>
        <v>7128470</v>
      </c>
      <c r="M282" s="794">
        <f t="shared" si="142"/>
        <v>41343621</v>
      </c>
      <c r="N282" s="794">
        <f t="shared" si="142"/>
        <v>124254036</v>
      </c>
      <c r="O282" s="794">
        <f t="shared" si="142"/>
        <v>16111535</v>
      </c>
      <c r="P282" s="794">
        <f t="shared" si="142"/>
        <v>206221526</v>
      </c>
      <c r="Q282" s="794">
        <f t="shared" si="140"/>
        <v>32778551</v>
      </c>
      <c r="R282" s="794">
        <f t="shared" si="140"/>
        <v>1161095</v>
      </c>
      <c r="S282" s="794">
        <f t="shared" si="140"/>
        <v>6154510</v>
      </c>
      <c r="T282" s="794">
        <f t="shared" si="140"/>
        <v>0</v>
      </c>
      <c r="U282" s="794">
        <f t="shared" si="140"/>
        <v>44795085</v>
      </c>
      <c r="V282" s="794">
        <f t="shared" si="140"/>
        <v>31436366</v>
      </c>
      <c r="W282" s="794">
        <f t="shared" si="140"/>
        <v>0</v>
      </c>
      <c r="X282" s="794">
        <f t="shared" si="140"/>
        <v>2452618</v>
      </c>
      <c r="Y282" s="794">
        <f t="shared" si="140"/>
        <v>6075122</v>
      </c>
      <c r="Z282" s="794">
        <f t="shared" si="140"/>
        <v>83486995</v>
      </c>
      <c r="AA282" s="794">
        <f t="shared" si="140"/>
        <v>13224017</v>
      </c>
      <c r="AB282" s="794">
        <f t="shared" si="140"/>
        <v>22681233</v>
      </c>
      <c r="AC282" s="794">
        <f t="shared" si="140"/>
        <v>84148328</v>
      </c>
      <c r="AD282" s="794">
        <f t="shared" si="140"/>
        <v>9334918</v>
      </c>
      <c r="AE282" s="794">
        <f t="shared" si="140"/>
        <v>66502727</v>
      </c>
      <c r="AF282" s="794">
        <f t="shared" si="140"/>
        <v>21823484</v>
      </c>
      <c r="AG282" s="794">
        <f t="shared" si="140"/>
        <v>17081728</v>
      </c>
      <c r="AH282" s="794">
        <f t="shared" si="140"/>
        <v>9740168</v>
      </c>
      <c r="AI282" s="794">
        <f t="shared" si="140"/>
        <v>163355850</v>
      </c>
      <c r="AJ282" s="794">
        <f t="shared" si="140"/>
        <v>12061463</v>
      </c>
      <c r="AK282" s="794">
        <f t="shared" si="140"/>
        <v>166329957</v>
      </c>
      <c r="AL282" s="794">
        <f t="shared" si="140"/>
        <v>16344867</v>
      </c>
      <c r="AM282" s="794">
        <f t="shared" si="140"/>
        <v>101673897</v>
      </c>
      <c r="AN282" s="794">
        <f t="shared" si="140"/>
        <v>4432046</v>
      </c>
      <c r="AO282" s="794">
        <f t="shared" si="140"/>
        <v>0</v>
      </c>
      <c r="AP282" s="794">
        <f t="shared" si="140"/>
        <v>13867406</v>
      </c>
      <c r="AQ282" s="794">
        <f t="shared" si="140"/>
        <v>2801952</v>
      </c>
      <c r="AR282" s="794">
        <f t="shared" si="140"/>
        <v>216946409</v>
      </c>
      <c r="AS282" s="794">
        <f t="shared" si="140"/>
        <v>8724739</v>
      </c>
      <c r="AT282" s="794">
        <f t="shared" si="140"/>
        <v>60798052</v>
      </c>
      <c r="AU282" s="794">
        <f t="shared" si="140"/>
        <v>22076887</v>
      </c>
      <c r="AV282" s="794">
        <f t="shared" si="140"/>
        <v>52089220</v>
      </c>
      <c r="AW282" s="794">
        <f t="shared" si="140"/>
        <v>4154875</v>
      </c>
      <c r="AX282" s="794">
        <f t="shared" si="140"/>
        <v>38450976</v>
      </c>
      <c r="AY282" s="794">
        <f t="shared" si="140"/>
        <v>3726394</v>
      </c>
      <c r="AZ282" s="794">
        <f t="shared" si="140"/>
        <v>63661714</v>
      </c>
      <c r="BA282" s="794">
        <f t="shared" si="140"/>
        <v>12500369</v>
      </c>
      <c r="BB282" s="794">
        <f t="shared" si="140"/>
        <v>89286632</v>
      </c>
      <c r="BC282" s="794">
        <f t="shared" si="140"/>
        <v>1390935</v>
      </c>
      <c r="BD282" s="794">
        <f t="shared" si="140"/>
        <v>19384331</v>
      </c>
      <c r="BE282" s="794">
        <f t="shared" si="140"/>
        <v>16651795</v>
      </c>
      <c r="BF282" s="794">
        <f t="shared" si="140"/>
        <v>36573910</v>
      </c>
      <c r="BG282" s="794">
        <f t="shared" si="140"/>
        <v>11903552</v>
      </c>
      <c r="BH282" s="794">
        <f t="shared" si="140"/>
        <v>3412705</v>
      </c>
      <c r="BI282" s="794">
        <f t="shared" si="140"/>
        <v>5637452</v>
      </c>
      <c r="BJ282" s="794">
        <f t="shared" si="140"/>
        <v>12195485</v>
      </c>
      <c r="BK282" s="794">
        <f t="shared" si="140"/>
        <v>596941607</v>
      </c>
      <c r="BL282" s="794">
        <f t="shared" si="140"/>
        <v>10308606</v>
      </c>
      <c r="BM282" s="794">
        <f t="shared" si="140"/>
        <v>9661196</v>
      </c>
      <c r="BN282" s="794">
        <f t="shared" si="141"/>
        <v>41066864</v>
      </c>
      <c r="BO282" s="794">
        <f t="shared" si="141"/>
        <v>27177644</v>
      </c>
      <c r="BP282" s="794">
        <f t="shared" si="141"/>
        <v>105280566</v>
      </c>
      <c r="BQ282" s="794">
        <f t="shared" si="141"/>
        <v>13225859</v>
      </c>
      <c r="BR282" s="794">
        <f t="shared" si="141"/>
        <v>74007695</v>
      </c>
      <c r="BS282" s="794">
        <f t="shared" si="141"/>
        <v>68589986</v>
      </c>
      <c r="BT282" s="794">
        <f t="shared" si="141"/>
        <v>1686042</v>
      </c>
      <c r="BU282" s="794">
        <f t="shared" si="141"/>
        <v>7791821</v>
      </c>
      <c r="BV282" s="794">
        <f t="shared" si="141"/>
        <v>26685406</v>
      </c>
      <c r="BW282" s="794">
        <f t="shared" si="141"/>
        <v>166275</v>
      </c>
      <c r="BX282" s="794">
        <f t="shared" si="141"/>
        <v>20933808</v>
      </c>
      <c r="BY282" s="794">
        <f t="shared" si="141"/>
        <v>55227441</v>
      </c>
      <c r="BZ282" s="794">
        <f t="shared" si="141"/>
        <v>11908572</v>
      </c>
      <c r="CA282" s="794">
        <f t="shared" si="141"/>
        <v>44373555</v>
      </c>
      <c r="CB282" s="794">
        <f t="shared" si="141"/>
        <v>9159800</v>
      </c>
      <c r="CC282" s="794">
        <f t="shared" si="141"/>
        <v>5301354</v>
      </c>
      <c r="CD282" s="794">
        <f t="shared" si="141"/>
        <v>32710191</v>
      </c>
      <c r="CE282" s="794">
        <f t="shared" si="141"/>
        <v>43016981</v>
      </c>
      <c r="CF282" s="794">
        <f t="shared" si="141"/>
        <v>13233575</v>
      </c>
      <c r="CG282" s="794">
        <f t="shared" si="141"/>
        <v>15163408</v>
      </c>
      <c r="CH282" s="794">
        <f t="shared" si="141"/>
        <v>9896909</v>
      </c>
      <c r="CI282" s="794">
        <f t="shared" si="141"/>
        <v>23295643</v>
      </c>
      <c r="CJ282" s="794">
        <f t="shared" si="141"/>
        <v>24436254</v>
      </c>
      <c r="CK282" s="794">
        <f t="shared" si="141"/>
        <v>24023217</v>
      </c>
      <c r="CL282" s="794">
        <f t="shared" si="141"/>
        <v>8885941</v>
      </c>
      <c r="CM282" s="794">
        <f t="shared" si="141"/>
        <v>7399090</v>
      </c>
      <c r="CN282" s="794">
        <f t="shared" si="141"/>
        <v>1005149</v>
      </c>
      <c r="CO282" s="794">
        <f t="shared" si="141"/>
        <v>96286833</v>
      </c>
      <c r="CP282" s="794">
        <f t="shared" si="141"/>
        <v>11092785</v>
      </c>
      <c r="CQ282" s="794">
        <f t="shared" si="141"/>
        <v>564617321</v>
      </c>
      <c r="CR282" s="794">
        <f t="shared" si="141"/>
        <v>2795992</v>
      </c>
      <c r="CS282" s="794">
        <f t="shared" si="141"/>
        <v>5943593</v>
      </c>
      <c r="CT282" s="794">
        <f t="shared" si="141"/>
        <v>19392129</v>
      </c>
      <c r="CU282" s="794">
        <f t="shared" si="141"/>
        <v>60549957</v>
      </c>
      <c r="CV282" s="794">
        <f t="shared" si="141"/>
        <v>17865128</v>
      </c>
      <c r="CW282" s="794">
        <f t="shared" si="141"/>
        <v>15348350</v>
      </c>
      <c r="CX282" s="794">
        <f t="shared" si="141"/>
        <v>7461043</v>
      </c>
      <c r="CY282" s="794">
        <f t="shared" si="141"/>
        <v>10694283</v>
      </c>
    </row>
    <row r="283" spans="1:103" x14ac:dyDescent="0.3">
      <c r="A283" s="794">
        <f t="shared" si="142"/>
        <v>9003</v>
      </c>
      <c r="B283" s="794" t="str">
        <f t="shared" ref="B283:BM283" si="143">B218</f>
        <v>Total Liabilities and total deferred inflows less internal balances Formula: =338-576</v>
      </c>
      <c r="C283" s="794" t="str">
        <f t="shared" si="143"/>
        <v>Reverse import tab calculation to value reported on DIW unit data from audit worksheet tab for account 338</v>
      </c>
      <c r="D283" s="794">
        <f t="shared" si="143"/>
        <v>375082327</v>
      </c>
      <c r="E283" s="794">
        <f t="shared" si="143"/>
        <v>51930246</v>
      </c>
      <c r="F283" s="794">
        <f t="shared" si="143"/>
        <v>24724608</v>
      </c>
      <c r="G283" s="794">
        <f t="shared" si="143"/>
        <v>20940411</v>
      </c>
      <c r="H283" s="794">
        <f t="shared" si="143"/>
        <v>33983209</v>
      </c>
      <c r="I283" s="794">
        <f t="shared" si="143"/>
        <v>26224787</v>
      </c>
      <c r="J283" s="794">
        <f t="shared" si="143"/>
        <v>38630114</v>
      </c>
      <c r="K283" s="794">
        <f t="shared" si="143"/>
        <v>49933720</v>
      </c>
      <c r="L283" s="794">
        <f t="shared" si="143"/>
        <v>76819465</v>
      </c>
      <c r="M283" s="794">
        <f t="shared" si="143"/>
        <v>419857510</v>
      </c>
      <c r="N283" s="794">
        <f t="shared" si="143"/>
        <v>710897219</v>
      </c>
      <c r="O283" s="794">
        <f t="shared" si="143"/>
        <v>99106097</v>
      </c>
      <c r="P283" s="794">
        <f t="shared" si="143"/>
        <v>639242704</v>
      </c>
      <c r="Q283" s="794">
        <f t="shared" si="143"/>
        <v>88180567</v>
      </c>
      <c r="R283" s="794">
        <f t="shared" si="143"/>
        <v>17732345</v>
      </c>
      <c r="S283" s="794">
        <f t="shared" si="143"/>
        <v>81089949</v>
      </c>
      <c r="T283" s="794">
        <f t="shared" si="143"/>
        <v>0</v>
      </c>
      <c r="U283" s="794">
        <f t="shared" si="143"/>
        <v>299855799</v>
      </c>
      <c r="V283" s="794">
        <f t="shared" si="143"/>
        <v>281002569</v>
      </c>
      <c r="W283" s="794">
        <f t="shared" si="143"/>
        <v>0</v>
      </c>
      <c r="X283" s="794">
        <f t="shared" si="143"/>
        <v>23002780</v>
      </c>
      <c r="Y283" s="794">
        <f t="shared" si="143"/>
        <v>21672470</v>
      </c>
      <c r="Z283" s="794">
        <f t="shared" si="143"/>
        <v>185061809</v>
      </c>
      <c r="AA283" s="794">
        <f t="shared" si="143"/>
        <v>155757130</v>
      </c>
      <c r="AB283" s="794">
        <f t="shared" si="143"/>
        <v>87810405</v>
      </c>
      <c r="AC283" s="794">
        <f t="shared" si="143"/>
        <v>414393461</v>
      </c>
      <c r="AD283" s="794">
        <f t="shared" si="143"/>
        <v>83856166</v>
      </c>
      <c r="AE283" s="794">
        <f t="shared" si="143"/>
        <v>365415583</v>
      </c>
      <c r="AF283" s="794">
        <f t="shared" si="143"/>
        <v>169854595</v>
      </c>
      <c r="AG283" s="794">
        <f t="shared" si="143"/>
        <v>96521161</v>
      </c>
      <c r="AH283" s="794">
        <f t="shared" si="143"/>
        <v>108505475</v>
      </c>
      <c r="AI283" s="794">
        <f t="shared" si="143"/>
        <v>1156243545</v>
      </c>
      <c r="AJ283" s="794">
        <f t="shared" si="143"/>
        <v>59489426</v>
      </c>
      <c r="AK283" s="794">
        <f t="shared" si="143"/>
        <v>1080321356</v>
      </c>
      <c r="AL283" s="794">
        <f t="shared" si="143"/>
        <v>154243467</v>
      </c>
      <c r="AM283" s="794">
        <f t="shared" si="143"/>
        <v>428766392</v>
      </c>
      <c r="AN283" s="794">
        <f t="shared" si="143"/>
        <v>17879177</v>
      </c>
      <c r="AO283" s="794">
        <f t="shared" si="143"/>
        <v>0</v>
      </c>
      <c r="AP283" s="794">
        <f t="shared" si="143"/>
        <v>122521556</v>
      </c>
      <c r="AQ283" s="794">
        <f t="shared" si="143"/>
        <v>30839490</v>
      </c>
      <c r="AR283" s="794">
        <f t="shared" si="143"/>
        <v>1191991473</v>
      </c>
      <c r="AS283" s="794">
        <f t="shared" si="143"/>
        <v>58065030</v>
      </c>
      <c r="AT283" s="794">
        <f t="shared" si="143"/>
        <v>320956175</v>
      </c>
      <c r="AU283" s="794">
        <f t="shared" si="143"/>
        <v>140802077</v>
      </c>
      <c r="AV283" s="794">
        <f t="shared" si="143"/>
        <v>297994570</v>
      </c>
      <c r="AW283" s="794">
        <f t="shared" si="143"/>
        <v>35133125</v>
      </c>
      <c r="AX283" s="794">
        <f t="shared" si="143"/>
        <v>104682010</v>
      </c>
      <c r="AY283" s="794">
        <f t="shared" si="143"/>
        <v>13167332</v>
      </c>
      <c r="AZ283" s="794">
        <f t="shared" si="143"/>
        <v>313773610</v>
      </c>
      <c r="BA283" s="794">
        <f t="shared" si="143"/>
        <v>128101528</v>
      </c>
      <c r="BB283" s="794">
        <f t="shared" si="143"/>
        <v>602547643</v>
      </c>
      <c r="BC283" s="794">
        <f t="shared" si="143"/>
        <v>19693528</v>
      </c>
      <c r="BD283" s="794">
        <f t="shared" si="143"/>
        <v>139298641</v>
      </c>
      <c r="BE283" s="794">
        <f t="shared" si="143"/>
        <v>74541123</v>
      </c>
      <c r="BF283" s="794">
        <f t="shared" si="143"/>
        <v>212352769</v>
      </c>
      <c r="BG283" s="794">
        <f t="shared" si="143"/>
        <v>129693034</v>
      </c>
      <c r="BH283" s="794">
        <f t="shared" si="143"/>
        <v>16115839</v>
      </c>
      <c r="BI283" s="794">
        <f t="shared" si="143"/>
        <v>46977985</v>
      </c>
      <c r="BJ283" s="794">
        <f t="shared" si="143"/>
        <v>55652197</v>
      </c>
      <c r="BK283" s="794">
        <f t="shared" si="143"/>
        <v>3183318238</v>
      </c>
      <c r="BL283" s="794">
        <f t="shared" si="143"/>
        <v>26588768</v>
      </c>
      <c r="BM283" s="794">
        <f t="shared" si="143"/>
        <v>88678697</v>
      </c>
      <c r="BN283" s="794">
        <f t="shared" si="141"/>
        <v>348975973</v>
      </c>
      <c r="BO283" s="794">
        <f t="shared" si="141"/>
        <v>180704110</v>
      </c>
      <c r="BP283" s="794">
        <f t="shared" si="141"/>
        <v>1074219224</v>
      </c>
      <c r="BQ283" s="794">
        <f t="shared" si="141"/>
        <v>56471366</v>
      </c>
      <c r="BR283" s="794">
        <f t="shared" si="141"/>
        <v>373748905</v>
      </c>
      <c r="BS283" s="794">
        <f t="shared" si="141"/>
        <v>575659348</v>
      </c>
      <c r="BT283" s="794">
        <f t="shared" si="141"/>
        <v>14471603</v>
      </c>
      <c r="BU283" s="794">
        <f t="shared" si="141"/>
        <v>64708760</v>
      </c>
      <c r="BV283" s="794">
        <f t="shared" si="141"/>
        <v>140119823</v>
      </c>
      <c r="BW283" s="794">
        <f t="shared" si="141"/>
        <v>12641783</v>
      </c>
      <c r="BX283" s="794">
        <f t="shared" si="141"/>
        <v>58743907</v>
      </c>
      <c r="BY283" s="794">
        <f t="shared" si="141"/>
        <v>331408809</v>
      </c>
      <c r="BZ283" s="794">
        <f t="shared" si="141"/>
        <v>33562430</v>
      </c>
      <c r="CA283" s="794">
        <f t="shared" si="141"/>
        <v>251544974</v>
      </c>
      <c r="CB283" s="794">
        <f t="shared" si="141"/>
        <v>47319698</v>
      </c>
      <c r="CC283" s="794">
        <f t="shared" si="141"/>
        <v>176043956</v>
      </c>
      <c r="CD283" s="794">
        <f t="shared" si="141"/>
        <v>193674640</v>
      </c>
      <c r="CE283" s="794">
        <f t="shared" si="141"/>
        <v>155921496</v>
      </c>
      <c r="CF283" s="794">
        <f t="shared" si="141"/>
        <v>95449563</v>
      </c>
      <c r="CG283" s="794">
        <f t="shared" si="141"/>
        <v>153220243</v>
      </c>
      <c r="CH283" s="794">
        <f t="shared" si="141"/>
        <v>106327862</v>
      </c>
      <c r="CI283" s="794">
        <f t="shared" si="141"/>
        <v>75310350</v>
      </c>
      <c r="CJ283" s="794">
        <f t="shared" si="141"/>
        <v>70574986</v>
      </c>
      <c r="CK283" s="794">
        <f t="shared" si="141"/>
        <v>147768203</v>
      </c>
      <c r="CL283" s="794">
        <f t="shared" si="141"/>
        <v>29982132</v>
      </c>
      <c r="CM283" s="794">
        <f t="shared" si="141"/>
        <v>27219263</v>
      </c>
      <c r="CN283" s="794">
        <f t="shared" si="141"/>
        <v>8536057</v>
      </c>
      <c r="CO283" s="794">
        <f t="shared" si="141"/>
        <v>838499636</v>
      </c>
      <c r="CP283" s="794">
        <f t="shared" si="141"/>
        <v>69099879</v>
      </c>
      <c r="CQ283" s="794">
        <f t="shared" si="141"/>
        <v>4218924715</v>
      </c>
      <c r="CR283" s="794">
        <f t="shared" si="141"/>
        <v>16395093</v>
      </c>
      <c r="CS283" s="794">
        <f t="shared" si="141"/>
        <v>46332690</v>
      </c>
      <c r="CT283" s="794">
        <f t="shared" si="141"/>
        <v>92949777</v>
      </c>
      <c r="CU283" s="794">
        <f t="shared" si="141"/>
        <v>286337170</v>
      </c>
      <c r="CV283" s="794">
        <f t="shared" si="141"/>
        <v>112664232</v>
      </c>
      <c r="CW283" s="794">
        <f t="shared" si="141"/>
        <v>144712826</v>
      </c>
      <c r="CX283" s="794">
        <f t="shared" si="141"/>
        <v>39577990</v>
      </c>
      <c r="CY283" s="794">
        <f t="shared" si="141"/>
        <v>33997315</v>
      </c>
    </row>
    <row r="285" spans="1:103" x14ac:dyDescent="0.3">
      <c r="D285">
        <f>D278+D281+D282+D283</f>
        <v>3252284625.0799999</v>
      </c>
      <c r="E285" s="173">
        <f t="shared" ref="E285:BP285" si="144">E278+E281+E282+E283</f>
        <v>916959801.02999997</v>
      </c>
      <c r="F285" s="173">
        <f t="shared" si="144"/>
        <v>380927906.13</v>
      </c>
      <c r="G285" s="173">
        <f t="shared" si="144"/>
        <v>867756056.39999998</v>
      </c>
      <c r="H285" s="173">
        <f t="shared" si="144"/>
        <v>770015373.75999999</v>
      </c>
      <c r="I285" s="173">
        <f t="shared" si="144"/>
        <v>716666014.80999994</v>
      </c>
      <c r="J285" s="173">
        <f t="shared" si="144"/>
        <v>1436144118.3599999</v>
      </c>
      <c r="K285" s="173">
        <f t="shared" si="144"/>
        <v>574238259.02999997</v>
      </c>
      <c r="L285" s="173">
        <f t="shared" si="144"/>
        <v>1240489716.71</v>
      </c>
      <c r="M285" s="173">
        <f t="shared" si="144"/>
        <v>9036568547.539999</v>
      </c>
      <c r="N285" s="173">
        <f t="shared" si="144"/>
        <v>6742244672.1999998</v>
      </c>
      <c r="O285" s="173">
        <f t="shared" si="144"/>
        <v>1796099417.45</v>
      </c>
      <c r="P285" s="173">
        <f t="shared" si="144"/>
        <v>6561019408.8000002</v>
      </c>
      <c r="Q285" s="173">
        <f t="shared" si="144"/>
        <v>1420806710.4100001</v>
      </c>
      <c r="R285" s="173">
        <f t="shared" si="144"/>
        <v>507512770.15000004</v>
      </c>
      <c r="S285" s="173">
        <f t="shared" si="144"/>
        <v>2047992152.9200001</v>
      </c>
      <c r="T285" s="173">
        <f t="shared" si="144"/>
        <v>0</v>
      </c>
      <c r="U285" s="173">
        <f t="shared" si="144"/>
        <v>3463323719.8099999</v>
      </c>
      <c r="V285" s="173">
        <f t="shared" si="144"/>
        <v>3314720558.1099997</v>
      </c>
      <c r="W285" s="173">
        <f t="shared" si="144"/>
        <v>0</v>
      </c>
      <c r="X285" s="173">
        <f t="shared" si="144"/>
        <v>520458118.61000001</v>
      </c>
      <c r="Y285" s="173">
        <f t="shared" si="144"/>
        <v>444934116.71000004</v>
      </c>
      <c r="Z285" s="173">
        <f t="shared" si="144"/>
        <v>2716065890.3899999</v>
      </c>
      <c r="AA285" s="173">
        <f t="shared" si="144"/>
        <v>1707299428.95</v>
      </c>
      <c r="AB285" s="173">
        <f t="shared" si="144"/>
        <v>2361539753.1499996</v>
      </c>
      <c r="AC285" s="173">
        <f t="shared" si="144"/>
        <v>6764248482.1999998</v>
      </c>
      <c r="AD285" s="173">
        <f t="shared" si="144"/>
        <v>2368419729.5999999</v>
      </c>
      <c r="AE285" s="173">
        <f t="shared" si="144"/>
        <v>4227626889.1499996</v>
      </c>
      <c r="AF285" s="173">
        <f t="shared" si="144"/>
        <v>3587005087.9700003</v>
      </c>
      <c r="AG285" s="173">
        <f t="shared" si="144"/>
        <v>1436286168.3700001</v>
      </c>
      <c r="AH285" s="173">
        <f t="shared" si="144"/>
        <v>1585183020.01</v>
      </c>
      <c r="AI285" s="173">
        <f t="shared" si="144"/>
        <v>11297162179.01</v>
      </c>
      <c r="AJ285" s="173">
        <f t="shared" si="144"/>
        <v>1270767609.29</v>
      </c>
      <c r="AK285" s="173">
        <f t="shared" si="144"/>
        <v>9345060064.9799995</v>
      </c>
      <c r="AL285" s="173">
        <f t="shared" si="144"/>
        <v>2330474477.1000004</v>
      </c>
      <c r="AM285" s="173">
        <f t="shared" si="144"/>
        <v>5366215555.1999998</v>
      </c>
      <c r="AN285" s="173">
        <f t="shared" si="144"/>
        <v>295801139.70999998</v>
      </c>
      <c r="AO285" s="173">
        <f t="shared" si="144"/>
        <v>0</v>
      </c>
      <c r="AP285" s="173">
        <f t="shared" si="144"/>
        <v>1436632244.8299999</v>
      </c>
      <c r="AQ285" s="173">
        <f t="shared" si="144"/>
        <v>662564539.58000004</v>
      </c>
      <c r="AR285" s="173">
        <f t="shared" si="144"/>
        <v>10848023654.379999</v>
      </c>
      <c r="AS285" s="173">
        <f t="shared" si="144"/>
        <v>1340709954.8299999</v>
      </c>
      <c r="AT285" s="173">
        <f t="shared" si="144"/>
        <v>5589752712.29</v>
      </c>
      <c r="AU285" s="173">
        <f t="shared" si="144"/>
        <v>1785828193.72</v>
      </c>
      <c r="AV285" s="173">
        <f t="shared" si="144"/>
        <v>3085192639.4099998</v>
      </c>
      <c r="AW285" s="173">
        <f t="shared" si="144"/>
        <v>577564138.79999995</v>
      </c>
      <c r="AX285" s="173">
        <f t="shared" si="144"/>
        <v>1760233077.27</v>
      </c>
      <c r="AY285" s="173">
        <f t="shared" si="144"/>
        <v>360110391.24000001</v>
      </c>
      <c r="AZ285" s="173">
        <f t="shared" si="144"/>
        <v>5893837740.75</v>
      </c>
      <c r="BA285" s="173">
        <f t="shared" si="144"/>
        <v>1561465347.3900001</v>
      </c>
      <c r="BB285" s="173">
        <f t="shared" si="144"/>
        <v>8317838384.8699989</v>
      </c>
      <c r="BC285" s="173">
        <f t="shared" si="144"/>
        <v>515104719.11000001</v>
      </c>
      <c r="BD285" s="173">
        <f t="shared" si="144"/>
        <v>1379570090.47</v>
      </c>
      <c r="BE285" s="173">
        <f t="shared" si="144"/>
        <v>1185372597.4400001</v>
      </c>
      <c r="BF285" s="173">
        <f t="shared" si="144"/>
        <v>3497589706.9200001</v>
      </c>
      <c r="BG285" s="173">
        <f t="shared" si="144"/>
        <v>1204414247.54</v>
      </c>
      <c r="BH285" s="173">
        <f t="shared" si="144"/>
        <v>513043911.5</v>
      </c>
      <c r="BI285" s="173">
        <f t="shared" si="144"/>
        <v>739154355.53999996</v>
      </c>
      <c r="BJ285" s="173">
        <f t="shared" si="144"/>
        <v>927684129.24000001</v>
      </c>
      <c r="BK285" s="173">
        <f t="shared" si="144"/>
        <v>30881479973.150002</v>
      </c>
      <c r="BL285" s="173">
        <f t="shared" si="144"/>
        <v>390796876.42000002</v>
      </c>
      <c r="BM285" s="173">
        <f t="shared" si="144"/>
        <v>1279909508.24</v>
      </c>
      <c r="BN285" s="173">
        <f t="shared" si="144"/>
        <v>3472162125.6999998</v>
      </c>
      <c r="BO285" s="173">
        <f t="shared" si="144"/>
        <v>1907358960.3299999</v>
      </c>
      <c r="BP285" s="173">
        <f t="shared" si="144"/>
        <v>9016177557.1100006</v>
      </c>
      <c r="BQ285" s="173">
        <f t="shared" ref="BQ285:CY285" si="145">BQ278+BQ281+BQ282+BQ283</f>
        <v>818500032.84000003</v>
      </c>
      <c r="BR285" s="173">
        <f t="shared" si="145"/>
        <v>4693320737.6350002</v>
      </c>
      <c r="BS285" s="173">
        <f t="shared" si="145"/>
        <v>4346458791.9822006</v>
      </c>
      <c r="BT285" s="173">
        <f t="shared" si="145"/>
        <v>437926406.82999998</v>
      </c>
      <c r="BU285" s="173">
        <f t="shared" si="145"/>
        <v>1380302393.3199999</v>
      </c>
      <c r="BV285" s="173">
        <f t="shared" si="145"/>
        <v>2339614055.3000002</v>
      </c>
      <c r="BW285" s="173">
        <f t="shared" si="145"/>
        <v>355480695.16000003</v>
      </c>
      <c r="BX285" s="173">
        <f t="shared" si="145"/>
        <v>1321511057.8899999</v>
      </c>
      <c r="BY285" s="173">
        <f t="shared" si="145"/>
        <v>3538770129.5799999</v>
      </c>
      <c r="BZ285" s="173">
        <f t="shared" si="145"/>
        <v>611953723.57000005</v>
      </c>
      <c r="CA285" s="173">
        <f t="shared" si="145"/>
        <v>2822822143.6100001</v>
      </c>
      <c r="CB285" s="173">
        <f t="shared" si="145"/>
        <v>1191874923.6400001</v>
      </c>
      <c r="CC285" s="173">
        <f t="shared" si="145"/>
        <v>2559520623.4700003</v>
      </c>
      <c r="CD285" s="173">
        <f t="shared" si="145"/>
        <v>2247484068.46</v>
      </c>
      <c r="CE285" s="173">
        <f t="shared" si="145"/>
        <v>3164224546.4300003</v>
      </c>
      <c r="CF285" s="173">
        <f t="shared" si="145"/>
        <v>1563670745.55</v>
      </c>
      <c r="CG285" s="173">
        <f t="shared" si="145"/>
        <v>2017376438.47</v>
      </c>
      <c r="CH285" s="173">
        <f t="shared" si="145"/>
        <v>853688232.07000005</v>
      </c>
      <c r="CI285" s="173">
        <f t="shared" si="145"/>
        <v>1571106635.52</v>
      </c>
      <c r="CJ285" s="173">
        <f t="shared" si="145"/>
        <v>1063927948.0599999</v>
      </c>
      <c r="CK285" s="173">
        <f t="shared" si="145"/>
        <v>1769651833.98</v>
      </c>
      <c r="CL285" s="173">
        <f t="shared" si="145"/>
        <v>566324319.17999995</v>
      </c>
      <c r="CM285" s="173">
        <f t="shared" si="145"/>
        <v>1171039641.5699999</v>
      </c>
      <c r="CN285" s="173">
        <f t="shared" si="145"/>
        <v>198163448.35000002</v>
      </c>
      <c r="CO285" s="173">
        <f t="shared" si="145"/>
        <v>12294660959.4</v>
      </c>
      <c r="CP285" s="173">
        <f t="shared" si="145"/>
        <v>927546393.85000002</v>
      </c>
      <c r="CQ285" s="173">
        <f t="shared" si="145"/>
        <v>30522322970.060001</v>
      </c>
      <c r="CR285" s="173">
        <f t="shared" si="145"/>
        <v>815238172.63999999</v>
      </c>
      <c r="CS285" s="173">
        <f t="shared" si="145"/>
        <v>512229429.17000002</v>
      </c>
      <c r="CT285" s="173">
        <f t="shared" si="145"/>
        <v>2065622167.55</v>
      </c>
      <c r="CU285" s="173">
        <f t="shared" si="145"/>
        <v>3196748636.1599998</v>
      </c>
      <c r="CV285" s="173">
        <f t="shared" si="145"/>
        <v>1434212111.29</v>
      </c>
      <c r="CW285" s="173">
        <f t="shared" si="145"/>
        <v>1814939384.1099999</v>
      </c>
      <c r="CX285" s="173">
        <f t="shared" si="145"/>
        <v>825949851.96000004</v>
      </c>
      <c r="CY285" s="173">
        <f t="shared" si="145"/>
        <v>451792960.10000002</v>
      </c>
    </row>
    <row r="287" spans="1:103" x14ac:dyDescent="0.3">
      <c r="D287">
        <v>3252284625.0799999</v>
      </c>
      <c r="J287">
        <v>1436144118.3599999</v>
      </c>
      <c r="M287">
        <v>9036568547.539999</v>
      </c>
      <c r="CQ287">
        <v>30522322970.060001</v>
      </c>
      <c r="CY287">
        <v>451792960.10000002</v>
      </c>
    </row>
    <row r="289" spans="2:104" x14ac:dyDescent="0.3">
      <c r="D289">
        <f>D285-D287</f>
        <v>0</v>
      </c>
      <c r="E289" s="173">
        <f t="shared" ref="E289:BP289" si="146">E285-E287</f>
        <v>916959801.02999997</v>
      </c>
      <c r="F289" s="173">
        <f t="shared" si="146"/>
        <v>380927906.13</v>
      </c>
      <c r="G289" s="173">
        <f t="shared" si="146"/>
        <v>867756056.39999998</v>
      </c>
      <c r="H289" s="173">
        <f t="shared" si="146"/>
        <v>770015373.75999999</v>
      </c>
      <c r="I289" s="173">
        <f t="shared" si="146"/>
        <v>716666014.80999994</v>
      </c>
      <c r="J289" s="173">
        <f t="shared" si="146"/>
        <v>0</v>
      </c>
      <c r="K289" s="173">
        <f t="shared" si="146"/>
        <v>574238259.02999997</v>
      </c>
      <c r="L289" s="173">
        <f t="shared" si="146"/>
        <v>1240489716.71</v>
      </c>
      <c r="M289" s="173">
        <f t="shared" si="146"/>
        <v>0</v>
      </c>
      <c r="N289" s="173">
        <f t="shared" si="146"/>
        <v>6742244672.1999998</v>
      </c>
      <c r="O289" s="173">
        <f t="shared" si="146"/>
        <v>1796099417.45</v>
      </c>
      <c r="P289" s="173">
        <f t="shared" si="146"/>
        <v>6561019408.8000002</v>
      </c>
      <c r="Q289" s="173">
        <f t="shared" si="146"/>
        <v>1420806710.4100001</v>
      </c>
      <c r="R289" s="173">
        <f t="shared" si="146"/>
        <v>507512770.15000004</v>
      </c>
      <c r="S289" s="173">
        <f t="shared" si="146"/>
        <v>2047992152.9200001</v>
      </c>
      <c r="T289" s="173">
        <f t="shared" si="146"/>
        <v>0</v>
      </c>
      <c r="U289" s="173">
        <f t="shared" si="146"/>
        <v>3463323719.8099999</v>
      </c>
      <c r="V289" s="173">
        <f t="shared" si="146"/>
        <v>3314720558.1099997</v>
      </c>
      <c r="W289" s="173">
        <f t="shared" si="146"/>
        <v>0</v>
      </c>
      <c r="X289" s="173">
        <f t="shared" si="146"/>
        <v>520458118.61000001</v>
      </c>
      <c r="Y289" s="173">
        <f t="shared" si="146"/>
        <v>444934116.71000004</v>
      </c>
      <c r="Z289" s="173">
        <f t="shared" si="146"/>
        <v>2716065890.3899999</v>
      </c>
      <c r="AA289" s="173">
        <f t="shared" si="146"/>
        <v>1707299428.95</v>
      </c>
      <c r="AB289" s="173">
        <f t="shared" si="146"/>
        <v>2361539753.1499996</v>
      </c>
      <c r="AC289" s="173">
        <f t="shared" si="146"/>
        <v>6764248482.1999998</v>
      </c>
      <c r="AD289" s="173">
        <f t="shared" si="146"/>
        <v>2368419729.5999999</v>
      </c>
      <c r="AE289" s="173">
        <f t="shared" si="146"/>
        <v>4227626889.1499996</v>
      </c>
      <c r="AF289" s="173">
        <f t="shared" si="146"/>
        <v>3587005087.9700003</v>
      </c>
      <c r="AG289" s="173">
        <f t="shared" si="146"/>
        <v>1436286168.3700001</v>
      </c>
      <c r="AH289" s="173">
        <f t="shared" si="146"/>
        <v>1585183020.01</v>
      </c>
      <c r="AI289" s="173">
        <f t="shared" si="146"/>
        <v>11297162179.01</v>
      </c>
      <c r="AJ289" s="173">
        <f t="shared" si="146"/>
        <v>1270767609.29</v>
      </c>
      <c r="AK289" s="173">
        <f t="shared" si="146"/>
        <v>9345060064.9799995</v>
      </c>
      <c r="AL289" s="173">
        <f t="shared" si="146"/>
        <v>2330474477.1000004</v>
      </c>
      <c r="AM289" s="173">
        <f t="shared" si="146"/>
        <v>5366215555.1999998</v>
      </c>
      <c r="AN289" s="173">
        <f t="shared" si="146"/>
        <v>295801139.70999998</v>
      </c>
      <c r="AO289" s="173">
        <f t="shared" si="146"/>
        <v>0</v>
      </c>
      <c r="AP289" s="173">
        <f t="shared" si="146"/>
        <v>1436632244.8299999</v>
      </c>
      <c r="AQ289" s="173">
        <f t="shared" si="146"/>
        <v>662564539.58000004</v>
      </c>
      <c r="AR289" s="173">
        <f t="shared" si="146"/>
        <v>10848023654.379999</v>
      </c>
      <c r="AS289" s="173">
        <f t="shared" si="146"/>
        <v>1340709954.8299999</v>
      </c>
      <c r="AT289" s="173">
        <f t="shared" si="146"/>
        <v>5589752712.29</v>
      </c>
      <c r="AU289" s="173">
        <f t="shared" si="146"/>
        <v>1785828193.72</v>
      </c>
      <c r="AV289" s="173">
        <f t="shared" si="146"/>
        <v>3085192639.4099998</v>
      </c>
      <c r="AW289" s="173">
        <f t="shared" si="146"/>
        <v>577564138.79999995</v>
      </c>
      <c r="AX289" s="173">
        <f t="shared" si="146"/>
        <v>1760233077.27</v>
      </c>
      <c r="AY289" s="173">
        <f t="shared" si="146"/>
        <v>360110391.24000001</v>
      </c>
      <c r="AZ289" s="173">
        <f t="shared" si="146"/>
        <v>5893837740.75</v>
      </c>
      <c r="BA289" s="173">
        <f t="shared" si="146"/>
        <v>1561465347.3900001</v>
      </c>
      <c r="BB289" s="173">
        <f t="shared" si="146"/>
        <v>8317838384.8699989</v>
      </c>
      <c r="BC289" s="173">
        <f t="shared" si="146"/>
        <v>515104719.11000001</v>
      </c>
      <c r="BD289" s="173">
        <f t="shared" si="146"/>
        <v>1379570090.47</v>
      </c>
      <c r="BE289" s="173">
        <f t="shared" si="146"/>
        <v>1185372597.4400001</v>
      </c>
      <c r="BF289" s="173">
        <f t="shared" si="146"/>
        <v>3497589706.9200001</v>
      </c>
      <c r="BG289" s="173">
        <f t="shared" si="146"/>
        <v>1204414247.54</v>
      </c>
      <c r="BH289" s="173">
        <f t="shared" si="146"/>
        <v>513043911.5</v>
      </c>
      <c r="BI289" s="173">
        <f t="shared" si="146"/>
        <v>739154355.53999996</v>
      </c>
      <c r="BJ289" s="173">
        <f t="shared" si="146"/>
        <v>927684129.24000001</v>
      </c>
      <c r="BK289" s="173">
        <f t="shared" si="146"/>
        <v>30881479973.150002</v>
      </c>
      <c r="BL289" s="173">
        <f t="shared" si="146"/>
        <v>390796876.42000002</v>
      </c>
      <c r="BM289" s="173">
        <f t="shared" si="146"/>
        <v>1279909508.24</v>
      </c>
      <c r="BN289" s="173">
        <f t="shared" si="146"/>
        <v>3472162125.6999998</v>
      </c>
      <c r="BO289" s="173">
        <f t="shared" si="146"/>
        <v>1907358960.3299999</v>
      </c>
      <c r="BP289" s="173">
        <f t="shared" si="146"/>
        <v>9016177557.1100006</v>
      </c>
      <c r="BQ289" s="173">
        <f t="shared" ref="BQ289:CY289" si="147">BQ285-BQ287</f>
        <v>818500032.84000003</v>
      </c>
      <c r="BR289" s="173">
        <f t="shared" si="147"/>
        <v>4693320737.6350002</v>
      </c>
      <c r="BS289" s="173">
        <f t="shared" si="147"/>
        <v>4346458791.9822006</v>
      </c>
      <c r="BT289" s="173">
        <f t="shared" si="147"/>
        <v>437926406.82999998</v>
      </c>
      <c r="BU289" s="173">
        <f t="shared" si="147"/>
        <v>1380302393.3199999</v>
      </c>
      <c r="BV289" s="173">
        <f t="shared" si="147"/>
        <v>2339614055.3000002</v>
      </c>
      <c r="BW289" s="173">
        <f t="shared" si="147"/>
        <v>355480695.16000003</v>
      </c>
      <c r="BX289" s="173">
        <f t="shared" si="147"/>
        <v>1321511057.8899999</v>
      </c>
      <c r="BY289" s="173">
        <f t="shared" si="147"/>
        <v>3538770129.5799999</v>
      </c>
      <c r="BZ289" s="173">
        <f t="shared" si="147"/>
        <v>611953723.57000005</v>
      </c>
      <c r="CA289" s="173">
        <f t="shared" si="147"/>
        <v>2822822143.6100001</v>
      </c>
      <c r="CB289" s="173">
        <f t="shared" si="147"/>
        <v>1191874923.6400001</v>
      </c>
      <c r="CC289" s="173">
        <f t="shared" si="147"/>
        <v>2559520623.4700003</v>
      </c>
      <c r="CD289" s="173">
        <f t="shared" si="147"/>
        <v>2247484068.46</v>
      </c>
      <c r="CE289" s="173">
        <f t="shared" si="147"/>
        <v>3164224546.4300003</v>
      </c>
      <c r="CF289" s="173">
        <f t="shared" si="147"/>
        <v>1563670745.55</v>
      </c>
      <c r="CG289" s="173">
        <f t="shared" si="147"/>
        <v>2017376438.47</v>
      </c>
      <c r="CH289" s="173">
        <f t="shared" si="147"/>
        <v>853688232.07000005</v>
      </c>
      <c r="CI289" s="173">
        <f t="shared" si="147"/>
        <v>1571106635.52</v>
      </c>
      <c r="CJ289" s="173">
        <f t="shared" si="147"/>
        <v>1063927948.0599999</v>
      </c>
      <c r="CK289" s="173">
        <f t="shared" si="147"/>
        <v>1769651833.98</v>
      </c>
      <c r="CL289" s="173">
        <f t="shared" si="147"/>
        <v>566324319.17999995</v>
      </c>
      <c r="CM289" s="173">
        <f t="shared" si="147"/>
        <v>1171039641.5699999</v>
      </c>
      <c r="CN289" s="173">
        <f t="shared" si="147"/>
        <v>198163448.35000002</v>
      </c>
      <c r="CO289" s="173">
        <f t="shared" si="147"/>
        <v>12294660959.4</v>
      </c>
      <c r="CP289" s="173">
        <f t="shared" si="147"/>
        <v>927546393.85000002</v>
      </c>
      <c r="CQ289" s="173">
        <f t="shared" si="147"/>
        <v>0</v>
      </c>
      <c r="CR289" s="173">
        <f t="shared" si="147"/>
        <v>815238172.63999999</v>
      </c>
      <c r="CS289" s="173">
        <f t="shared" si="147"/>
        <v>512229429.17000002</v>
      </c>
      <c r="CT289" s="173">
        <f t="shared" si="147"/>
        <v>2065622167.55</v>
      </c>
      <c r="CU289" s="173">
        <f t="shared" si="147"/>
        <v>3196748636.1599998</v>
      </c>
      <c r="CV289" s="173">
        <f t="shared" si="147"/>
        <v>1434212111.29</v>
      </c>
      <c r="CW289" s="173">
        <f t="shared" si="147"/>
        <v>1814939384.1099999</v>
      </c>
      <c r="CX289" s="173">
        <f t="shared" si="147"/>
        <v>825949851.96000004</v>
      </c>
      <c r="CY289" s="173">
        <f t="shared" si="147"/>
        <v>0</v>
      </c>
      <c r="CZ289" s="173"/>
    </row>
    <row r="293" spans="2:104" x14ac:dyDescent="0.3">
      <c r="B293" t="s">
        <v>2101</v>
      </c>
      <c r="D293" s="543">
        <v>3327381177.0799999</v>
      </c>
      <c r="E293" s="543">
        <v>947257675.03999996</v>
      </c>
      <c r="F293" s="543">
        <v>392992410.13</v>
      </c>
      <c r="G293" s="543">
        <v>900200739.40999997</v>
      </c>
      <c r="H293" s="543">
        <v>801867196.75999999</v>
      </c>
      <c r="I293" s="543">
        <v>725418573.80999994</v>
      </c>
      <c r="J293" s="543">
        <v>1473930016.3699999</v>
      </c>
      <c r="K293" s="543">
        <v>592499632.03999996</v>
      </c>
      <c r="L293" s="543">
        <v>1313912655.72</v>
      </c>
      <c r="M293" s="543">
        <v>9273211792.4099998</v>
      </c>
      <c r="N293" s="543">
        <v>6971158512.21</v>
      </c>
      <c r="O293" s="543">
        <v>1879792832.1300001</v>
      </c>
      <c r="P293" s="543">
        <v>6834498904.8000002</v>
      </c>
      <c r="Q293" s="543">
        <v>1466054736.4200001</v>
      </c>
      <c r="R293" s="543">
        <v>518714662.16000003</v>
      </c>
      <c r="S293" s="543">
        <v>2112478352.9300001</v>
      </c>
      <c r="T293" t="s">
        <v>2098</v>
      </c>
      <c r="U293" s="543">
        <v>3559943336.8099999</v>
      </c>
      <c r="V293" s="543">
        <v>3425133111.1199999</v>
      </c>
      <c r="W293" t="s">
        <v>2099</v>
      </c>
      <c r="X293" s="543">
        <v>532617485.62</v>
      </c>
      <c r="Y293" s="543">
        <v>463627944.72000003</v>
      </c>
      <c r="Z293" s="543">
        <v>2913777640.3899999</v>
      </c>
      <c r="AA293" s="543">
        <v>1872522237.96</v>
      </c>
      <c r="AB293" s="543">
        <v>2500386857.1599998</v>
      </c>
      <c r="AC293" s="543">
        <v>6987711158.21</v>
      </c>
      <c r="AD293" s="543">
        <v>2423054051.71</v>
      </c>
      <c r="AE293" s="543">
        <v>4354938581.1599998</v>
      </c>
      <c r="AF293" s="543">
        <v>3748900585.98</v>
      </c>
      <c r="AG293" s="543">
        <v>1493681343.3800001</v>
      </c>
      <c r="AH293" s="543">
        <v>1663375393.02</v>
      </c>
      <c r="AI293" s="543">
        <v>11528121829.02</v>
      </c>
      <c r="AJ293" s="543">
        <v>1318641957.3</v>
      </c>
      <c r="AK293" s="543">
        <v>9690508761.9799995</v>
      </c>
      <c r="AL293" s="543">
        <v>2439580777.1100001</v>
      </c>
      <c r="AM293" s="543">
        <v>5560031628.1999998</v>
      </c>
      <c r="AN293" s="543">
        <v>306175052.76999998</v>
      </c>
      <c r="AO293" t="s">
        <v>2100</v>
      </c>
      <c r="AP293" s="543">
        <v>1487164114.8299999</v>
      </c>
      <c r="AQ293" s="543">
        <v>676854602.59000003</v>
      </c>
      <c r="AR293" s="543">
        <v>11300132948.379999</v>
      </c>
      <c r="AS293" s="543">
        <v>1396030132.8399999</v>
      </c>
      <c r="AT293" s="543">
        <v>5835988001.3000002</v>
      </c>
      <c r="AU293" s="543">
        <v>1831813207.72</v>
      </c>
      <c r="AV293" s="543">
        <v>3143301583.4200001</v>
      </c>
      <c r="AW293" s="543">
        <v>600870577.80999994</v>
      </c>
      <c r="AX293" s="543">
        <v>1859007714.28</v>
      </c>
      <c r="AY293" s="543">
        <v>370662726.25</v>
      </c>
      <c r="AZ293" s="543">
        <v>6014184277</v>
      </c>
      <c r="BA293" s="543">
        <v>1605076223.3900001</v>
      </c>
      <c r="BB293" s="543">
        <v>8610180777.8799992</v>
      </c>
      <c r="BC293" s="543">
        <v>528465791.12</v>
      </c>
      <c r="BD293" s="543">
        <v>1430106458.47</v>
      </c>
      <c r="BE293" s="543">
        <v>1224453227.4400001</v>
      </c>
      <c r="BF293" s="543">
        <v>3638268089.9299998</v>
      </c>
      <c r="BG293" s="543">
        <v>1229338322.54</v>
      </c>
      <c r="BH293" s="543">
        <v>539496124.5</v>
      </c>
      <c r="BI293" s="543">
        <v>760512012.54999995</v>
      </c>
      <c r="BJ293" s="543">
        <v>949344652.25</v>
      </c>
      <c r="BK293" s="543">
        <v>31830128093.150002</v>
      </c>
      <c r="BL293" s="543">
        <v>420509764.42000002</v>
      </c>
      <c r="BM293" s="543">
        <v>1435927173.25</v>
      </c>
      <c r="BN293" s="543">
        <v>3550963608.71</v>
      </c>
      <c r="BO293" s="543">
        <v>1965983099.3399999</v>
      </c>
      <c r="BP293" s="543">
        <v>9213467937.1100006</v>
      </c>
      <c r="BQ293" s="543">
        <v>856408827.85000002</v>
      </c>
      <c r="BR293" s="543">
        <v>4818310017.6400003</v>
      </c>
      <c r="BS293" s="543">
        <v>4468815712.9799995</v>
      </c>
      <c r="BT293" s="543">
        <v>455171846.83999997</v>
      </c>
      <c r="BU293" s="543">
        <v>1430914997.3299999</v>
      </c>
      <c r="BV293" s="543">
        <v>2400196819.4000001</v>
      </c>
      <c r="BW293" s="543">
        <v>375376595.17000002</v>
      </c>
      <c r="BX293" s="543">
        <v>1372267018.8900001</v>
      </c>
      <c r="BY293" s="543">
        <v>3641875877.5799999</v>
      </c>
      <c r="BZ293" s="543">
        <v>629931692.57000005</v>
      </c>
      <c r="CA293" s="543">
        <v>2892308312.6100001</v>
      </c>
      <c r="CB293" s="543">
        <v>1242877440.6500001</v>
      </c>
      <c r="CC293" s="543">
        <v>2649322448.48</v>
      </c>
      <c r="CD293" s="543">
        <v>2322862822.4699998</v>
      </c>
      <c r="CE293" s="543">
        <v>3261729172.4299998</v>
      </c>
      <c r="CF293" s="543">
        <v>1589777837.55</v>
      </c>
      <c r="CG293" s="543">
        <v>2083908092.48</v>
      </c>
      <c r="CH293" s="543">
        <v>884671967.08000004</v>
      </c>
      <c r="CI293" s="543">
        <v>1612307318.53</v>
      </c>
      <c r="CJ293" s="543">
        <v>1140681902.0699999</v>
      </c>
      <c r="CK293" s="543">
        <v>1834109912.99</v>
      </c>
      <c r="CL293" s="543">
        <v>581522238.17999995</v>
      </c>
      <c r="CM293" s="543">
        <v>1198960842.5699999</v>
      </c>
      <c r="CN293" s="543">
        <v>204486223.36000001</v>
      </c>
      <c r="CO293" s="543">
        <v>12691251096.41</v>
      </c>
      <c r="CP293" s="543">
        <v>956561375.86000001</v>
      </c>
      <c r="CQ293" s="543">
        <v>31254486332.310001</v>
      </c>
      <c r="CR293" s="543">
        <v>847116939.64999998</v>
      </c>
      <c r="CS293" s="543">
        <v>524908802.18000001</v>
      </c>
      <c r="CT293" s="543">
        <v>2104040219.55</v>
      </c>
      <c r="CU293" s="543">
        <v>3352635006.1700001</v>
      </c>
      <c r="CV293" s="543">
        <v>1501595207.29</v>
      </c>
      <c r="CW293" s="543">
        <v>1871069182.1199999</v>
      </c>
      <c r="CX293" s="543">
        <v>842486444.97000003</v>
      </c>
      <c r="CY293" s="543">
        <v>466349127.10000002</v>
      </c>
    </row>
    <row r="294" spans="2:104" x14ac:dyDescent="0.3">
      <c r="D294" s="543"/>
    </row>
    <row r="295" spans="2:104" x14ac:dyDescent="0.3">
      <c r="D295" s="543">
        <f>D215-D293</f>
        <v>0</v>
      </c>
      <c r="E295" s="543">
        <f t="shared" ref="E295:BP295" si="148">E215-E293</f>
        <v>0</v>
      </c>
      <c r="F295" s="543">
        <f t="shared" si="148"/>
        <v>0</v>
      </c>
      <c r="G295" s="543">
        <f t="shared" si="148"/>
        <v>0</v>
      </c>
      <c r="H295" s="543">
        <f t="shared" si="148"/>
        <v>0</v>
      </c>
      <c r="I295" s="543">
        <f t="shared" si="148"/>
        <v>0</v>
      </c>
      <c r="J295" s="543">
        <f t="shared" si="148"/>
        <v>0</v>
      </c>
      <c r="K295" s="543">
        <f t="shared" si="148"/>
        <v>0</v>
      </c>
      <c r="L295" s="543">
        <f t="shared" si="148"/>
        <v>0</v>
      </c>
      <c r="M295" s="543">
        <f t="shared" si="148"/>
        <v>-3.0002593994140625E-3</v>
      </c>
      <c r="N295" s="543">
        <f t="shared" si="148"/>
        <v>0</v>
      </c>
      <c r="O295" s="543">
        <f t="shared" si="148"/>
        <v>0</v>
      </c>
      <c r="P295" s="543">
        <f t="shared" si="148"/>
        <v>0</v>
      </c>
      <c r="Q295" s="543">
        <f t="shared" si="148"/>
        <v>0</v>
      </c>
      <c r="R295" s="543">
        <f t="shared" si="148"/>
        <v>0</v>
      </c>
      <c r="S295" s="931">
        <f t="shared" si="148"/>
        <v>0</v>
      </c>
      <c r="T295" s="543" t="e">
        <f t="shared" si="148"/>
        <v>#VALUE!</v>
      </c>
      <c r="U295" s="543">
        <f t="shared" si="148"/>
        <v>0</v>
      </c>
      <c r="V295" s="543">
        <f t="shared" si="148"/>
        <v>0</v>
      </c>
      <c r="W295" s="543" t="e">
        <f t="shared" si="148"/>
        <v>#VALUE!</v>
      </c>
      <c r="X295" s="543">
        <f t="shared" si="148"/>
        <v>0</v>
      </c>
      <c r="Y295" s="543">
        <f t="shared" si="148"/>
        <v>0</v>
      </c>
      <c r="Z295" s="543">
        <f t="shared" si="148"/>
        <v>0</v>
      </c>
      <c r="AA295" s="543">
        <f t="shared" si="148"/>
        <v>0</v>
      </c>
      <c r="AB295" s="543">
        <f t="shared" si="148"/>
        <v>0</v>
      </c>
      <c r="AC295" s="543">
        <f t="shared" si="148"/>
        <v>0</v>
      </c>
      <c r="AD295" s="543">
        <f t="shared" si="148"/>
        <v>0</v>
      </c>
      <c r="AE295" s="543">
        <f t="shared" si="148"/>
        <v>0</v>
      </c>
      <c r="AF295" s="543">
        <f t="shared" si="148"/>
        <v>0</v>
      </c>
      <c r="AG295" s="543">
        <f t="shared" si="148"/>
        <v>0</v>
      </c>
      <c r="AH295" s="543">
        <f t="shared" si="148"/>
        <v>0</v>
      </c>
      <c r="AI295" s="543">
        <f t="shared" si="148"/>
        <v>0</v>
      </c>
      <c r="AJ295" s="543">
        <f t="shared" si="148"/>
        <v>0</v>
      </c>
      <c r="AK295" s="543">
        <f t="shared" si="148"/>
        <v>0</v>
      </c>
      <c r="AL295" s="543">
        <f t="shared" si="148"/>
        <v>0</v>
      </c>
      <c r="AM295" s="543">
        <f t="shared" si="148"/>
        <v>0</v>
      </c>
      <c r="AN295" s="543">
        <f t="shared" si="148"/>
        <v>0</v>
      </c>
      <c r="AO295" s="543" t="e">
        <f t="shared" si="148"/>
        <v>#VALUE!</v>
      </c>
      <c r="AP295" s="543">
        <f t="shared" si="148"/>
        <v>0</v>
      </c>
      <c r="AQ295" s="543">
        <f t="shared" si="148"/>
        <v>0</v>
      </c>
      <c r="AR295" s="543">
        <f t="shared" si="148"/>
        <v>0</v>
      </c>
      <c r="AS295" s="543">
        <f t="shared" si="148"/>
        <v>0</v>
      </c>
      <c r="AT295" s="543">
        <f t="shared" si="148"/>
        <v>0</v>
      </c>
      <c r="AU295" s="543">
        <f t="shared" si="148"/>
        <v>0</v>
      </c>
      <c r="AV295" s="543">
        <f t="shared" si="148"/>
        <v>0</v>
      </c>
      <c r="AW295" s="543">
        <f t="shared" si="148"/>
        <v>0</v>
      </c>
      <c r="AX295" s="543">
        <f t="shared" si="148"/>
        <v>0</v>
      </c>
      <c r="AY295" s="543">
        <f t="shared" si="148"/>
        <v>0</v>
      </c>
      <c r="AZ295" s="543">
        <f t="shared" si="148"/>
        <v>0</v>
      </c>
      <c r="BA295" s="543">
        <f t="shared" si="148"/>
        <v>0</v>
      </c>
      <c r="BB295" s="543">
        <f t="shared" si="148"/>
        <v>0</v>
      </c>
      <c r="BC295" s="543">
        <f t="shared" si="148"/>
        <v>0</v>
      </c>
      <c r="BD295" s="543">
        <f t="shared" si="148"/>
        <v>0</v>
      </c>
      <c r="BE295" s="543">
        <f t="shared" si="148"/>
        <v>0</v>
      </c>
      <c r="BF295" s="543">
        <f t="shared" si="148"/>
        <v>0</v>
      </c>
      <c r="BG295" s="543">
        <f t="shared" si="148"/>
        <v>0</v>
      </c>
      <c r="BH295" s="543">
        <f t="shared" si="148"/>
        <v>0</v>
      </c>
      <c r="BI295" s="543">
        <f t="shared" si="148"/>
        <v>0</v>
      </c>
      <c r="BJ295" s="543">
        <f t="shared" si="148"/>
        <v>0</v>
      </c>
      <c r="BK295" s="543">
        <f t="shared" si="148"/>
        <v>0</v>
      </c>
      <c r="BL295" s="543">
        <f t="shared" si="148"/>
        <v>0</v>
      </c>
      <c r="BM295" s="543">
        <f t="shared" si="148"/>
        <v>0</v>
      </c>
      <c r="BN295" s="543">
        <f t="shared" si="148"/>
        <v>0</v>
      </c>
      <c r="BO295" s="543">
        <f t="shared" si="148"/>
        <v>0</v>
      </c>
      <c r="BP295" s="543">
        <f t="shared" si="148"/>
        <v>0</v>
      </c>
      <c r="BQ295" s="543">
        <f t="shared" ref="BQ295:CY295" si="149">BQ215-BQ293</f>
        <v>0</v>
      </c>
      <c r="BR295" s="931">
        <f t="shared" si="149"/>
        <v>-5.0001144409179688E-3</v>
      </c>
      <c r="BS295" s="543">
        <f t="shared" si="149"/>
        <v>6.8006515502929688E-3</v>
      </c>
      <c r="BT295" s="543">
        <f t="shared" si="149"/>
        <v>0</v>
      </c>
      <c r="BU295" s="543">
        <f t="shared" si="149"/>
        <v>0</v>
      </c>
      <c r="BV295" s="543">
        <f t="shared" si="149"/>
        <v>2.5000572204589844E-3</v>
      </c>
      <c r="BW295" s="543">
        <f t="shared" si="149"/>
        <v>0</v>
      </c>
      <c r="BX295" s="543">
        <f t="shared" si="149"/>
        <v>2.4998188018798828E-3</v>
      </c>
      <c r="BY295" s="543">
        <f t="shared" si="149"/>
        <v>0</v>
      </c>
      <c r="BZ295" s="543">
        <f t="shared" si="149"/>
        <v>0</v>
      </c>
      <c r="CA295" s="543">
        <f t="shared" si="149"/>
        <v>0</v>
      </c>
      <c r="CB295" s="543">
        <f t="shared" si="149"/>
        <v>0</v>
      </c>
      <c r="CC295" s="543">
        <f t="shared" si="149"/>
        <v>0</v>
      </c>
      <c r="CD295" s="543">
        <f t="shared" si="149"/>
        <v>0</v>
      </c>
      <c r="CE295" s="543">
        <f t="shared" si="149"/>
        <v>1.0000228881835938E-2</v>
      </c>
      <c r="CF295" s="543">
        <f t="shared" si="149"/>
        <v>0</v>
      </c>
      <c r="CG295" s="543">
        <f t="shared" si="149"/>
        <v>0</v>
      </c>
      <c r="CH295" s="543">
        <f t="shared" si="149"/>
        <v>0</v>
      </c>
      <c r="CI295" s="543">
        <f t="shared" si="149"/>
        <v>0</v>
      </c>
      <c r="CJ295" s="543">
        <f t="shared" si="149"/>
        <v>0</v>
      </c>
      <c r="CK295" s="543">
        <f t="shared" si="149"/>
        <v>0</v>
      </c>
      <c r="CL295" s="543">
        <f t="shared" si="149"/>
        <v>0</v>
      </c>
      <c r="CM295" s="543">
        <f>CM215-CM293</f>
        <v>0</v>
      </c>
      <c r="CN295" s="543">
        <f t="shared" si="149"/>
        <v>0</v>
      </c>
      <c r="CO295" s="543">
        <f t="shared" si="149"/>
        <v>0</v>
      </c>
      <c r="CP295" s="543">
        <f t="shared" si="149"/>
        <v>0</v>
      </c>
      <c r="CQ295" s="543">
        <f t="shared" si="149"/>
        <v>0</v>
      </c>
      <c r="CR295" s="543">
        <f t="shared" si="149"/>
        <v>0</v>
      </c>
      <c r="CS295" s="543">
        <f t="shared" si="149"/>
        <v>0</v>
      </c>
      <c r="CT295" s="543">
        <f t="shared" si="149"/>
        <v>0</v>
      </c>
      <c r="CU295" s="543">
        <f t="shared" si="149"/>
        <v>0</v>
      </c>
      <c r="CV295" s="543">
        <f t="shared" si="149"/>
        <v>0</v>
      </c>
      <c r="CW295" s="543">
        <f t="shared" si="149"/>
        <v>0</v>
      </c>
      <c r="CX295" s="543">
        <f t="shared" si="149"/>
        <v>0</v>
      </c>
      <c r="CY295" s="543">
        <f t="shared" si="149"/>
        <v>0</v>
      </c>
    </row>
  </sheetData>
  <sheetProtection algorithmName="SHA-512" hashValue="7OvW2KZzXyZbBWi1ohMZHka4MJFNWGmF6ps7PxmimM2qKFZRXD+dpCIaOn2jKod11OAbDC0/3Z4046jNY7FBQA==" saltValue="p4bpQWCjAjMuzcL58q+96g==" spinCount="100000" sheet="1" objects="1" scenarios="1"/>
  <phoneticPr fontId="54" type="noConversion"/>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dimension ref="A1:CY235"/>
  <sheetViews>
    <sheetView workbookViewId="0">
      <pane xSplit="3" ySplit="1" topLeftCell="K197" activePane="bottomRight" state="frozen"/>
      <selection activeCell="B8" sqref="B8"/>
      <selection pane="topRight" activeCell="B8" sqref="B8"/>
      <selection pane="bottomLeft" activeCell="B8" sqref="B8"/>
      <selection pane="bottomRight" activeCell="B8" sqref="B8"/>
    </sheetView>
  </sheetViews>
  <sheetFormatPr defaultRowHeight="14.4" x14ac:dyDescent="0.3"/>
  <cols>
    <col min="2" max="2" width="48.88671875" customWidth="1"/>
    <col min="3" max="3" width="22.44140625" customWidth="1"/>
    <col min="4" max="97" width="20.6640625" customWidth="1"/>
    <col min="98" max="103" width="20.77734375" customWidth="1"/>
  </cols>
  <sheetData>
    <row r="1" spans="1:103" x14ac:dyDescent="0.3">
      <c r="A1" t="s">
        <v>2093</v>
      </c>
      <c r="B1" t="s">
        <v>2094</v>
      </c>
      <c r="C1" t="s">
        <v>300</v>
      </c>
      <c r="D1" t="s">
        <v>816</v>
      </c>
      <c r="E1" t="s">
        <v>817</v>
      </c>
      <c r="F1" t="s">
        <v>818</v>
      </c>
      <c r="G1" t="s">
        <v>391</v>
      </c>
      <c r="H1" t="s">
        <v>819</v>
      </c>
      <c r="I1" t="s">
        <v>820</v>
      </c>
      <c r="J1" t="s">
        <v>821</v>
      </c>
      <c r="K1" t="s">
        <v>392</v>
      </c>
      <c r="L1" t="s">
        <v>822</v>
      </c>
      <c r="M1" t="s">
        <v>823</v>
      </c>
      <c r="N1" t="s">
        <v>824</v>
      </c>
      <c r="O1" t="s">
        <v>825</v>
      </c>
      <c r="P1" t="s">
        <v>826</v>
      </c>
      <c r="Q1" t="s">
        <v>827</v>
      </c>
      <c r="R1" t="s">
        <v>828</v>
      </c>
      <c r="S1" t="s">
        <v>829</v>
      </c>
      <c r="T1" t="s">
        <v>568</v>
      </c>
      <c r="U1" t="s">
        <v>830</v>
      </c>
      <c r="V1" t="s">
        <v>831</v>
      </c>
      <c r="W1" t="s">
        <v>569</v>
      </c>
      <c r="X1" t="s">
        <v>832</v>
      </c>
      <c r="Y1" t="s">
        <v>833</v>
      </c>
      <c r="Z1" t="s">
        <v>834</v>
      </c>
      <c r="AA1" t="s">
        <v>570</v>
      </c>
      <c r="AB1" t="s">
        <v>835</v>
      </c>
      <c r="AC1" t="s">
        <v>836</v>
      </c>
      <c r="AD1" t="s">
        <v>837</v>
      </c>
      <c r="AE1" t="s">
        <v>838</v>
      </c>
      <c r="AF1" t="s">
        <v>839</v>
      </c>
      <c r="AG1" t="s">
        <v>571</v>
      </c>
      <c r="AH1" t="s">
        <v>840</v>
      </c>
      <c r="AI1" t="s">
        <v>841</v>
      </c>
      <c r="AJ1" t="s">
        <v>393</v>
      </c>
      <c r="AK1" t="s">
        <v>842</v>
      </c>
      <c r="AL1" t="s">
        <v>843</v>
      </c>
      <c r="AM1" t="s">
        <v>844</v>
      </c>
      <c r="AN1" t="s">
        <v>845</v>
      </c>
      <c r="AO1" t="s">
        <v>572</v>
      </c>
      <c r="AP1" t="s">
        <v>846</v>
      </c>
      <c r="AQ1" t="s">
        <v>847</v>
      </c>
      <c r="AR1" t="s">
        <v>848</v>
      </c>
      <c r="AS1" t="s">
        <v>849</v>
      </c>
      <c r="AT1" t="s">
        <v>850</v>
      </c>
      <c r="AU1" t="s">
        <v>851</v>
      </c>
      <c r="AV1" t="s">
        <v>852</v>
      </c>
      <c r="AW1" t="s">
        <v>853</v>
      </c>
      <c r="AX1" t="s">
        <v>854</v>
      </c>
      <c r="AY1" t="s">
        <v>394</v>
      </c>
      <c r="AZ1" t="s">
        <v>855</v>
      </c>
      <c r="BA1" t="s">
        <v>856</v>
      </c>
      <c r="BB1" t="s">
        <v>857</v>
      </c>
      <c r="BC1" t="s">
        <v>858</v>
      </c>
      <c r="BD1" t="s">
        <v>859</v>
      </c>
      <c r="BE1" t="s">
        <v>860</v>
      </c>
      <c r="BF1" t="s">
        <v>861</v>
      </c>
      <c r="BG1" t="s">
        <v>862</v>
      </c>
      <c r="BH1" t="s">
        <v>395</v>
      </c>
      <c r="BI1" t="s">
        <v>573</v>
      </c>
      <c r="BJ1" t="s">
        <v>863</v>
      </c>
      <c r="BK1" t="s">
        <v>864</v>
      </c>
      <c r="BL1" t="s">
        <v>865</v>
      </c>
      <c r="BM1" t="s">
        <v>866</v>
      </c>
      <c r="BN1" t="s">
        <v>867</v>
      </c>
      <c r="BO1" t="s">
        <v>868</v>
      </c>
      <c r="BP1" t="s">
        <v>869</v>
      </c>
      <c r="BQ1" t="s">
        <v>396</v>
      </c>
      <c r="BR1" t="s">
        <v>870</v>
      </c>
      <c r="BS1" t="s">
        <v>397</v>
      </c>
      <c r="BT1" t="s">
        <v>871</v>
      </c>
      <c r="BU1" t="s">
        <v>872</v>
      </c>
      <c r="BV1" t="s">
        <v>398</v>
      </c>
      <c r="BW1" t="s">
        <v>873</v>
      </c>
      <c r="BX1" t="s">
        <v>574</v>
      </c>
      <c r="BY1" t="s">
        <v>874</v>
      </c>
      <c r="BZ1" t="s">
        <v>875</v>
      </c>
      <c r="CA1" t="s">
        <v>876</v>
      </c>
      <c r="CB1" t="s">
        <v>877</v>
      </c>
      <c r="CC1" t="s">
        <v>878</v>
      </c>
      <c r="CD1" t="s">
        <v>879</v>
      </c>
      <c r="CE1" t="s">
        <v>880</v>
      </c>
      <c r="CF1" t="s">
        <v>881</v>
      </c>
      <c r="CG1" t="s">
        <v>882</v>
      </c>
      <c r="CH1" t="s">
        <v>399</v>
      </c>
      <c r="CI1" t="s">
        <v>883</v>
      </c>
      <c r="CJ1" t="s">
        <v>884</v>
      </c>
      <c r="CK1" t="s">
        <v>885</v>
      </c>
      <c r="CL1" t="s">
        <v>886</v>
      </c>
      <c r="CM1" t="s">
        <v>887</v>
      </c>
      <c r="CN1" t="s">
        <v>400</v>
      </c>
      <c r="CO1" t="s">
        <v>888</v>
      </c>
      <c r="CP1" t="s">
        <v>889</v>
      </c>
      <c r="CQ1" t="s">
        <v>890</v>
      </c>
      <c r="CR1" t="s">
        <v>891</v>
      </c>
      <c r="CS1" t="s">
        <v>892</v>
      </c>
      <c r="CT1" t="s">
        <v>893</v>
      </c>
      <c r="CU1" t="s">
        <v>894</v>
      </c>
      <c r="CV1" t="s">
        <v>895</v>
      </c>
      <c r="CW1" t="s">
        <v>896</v>
      </c>
      <c r="CX1" t="s">
        <v>897</v>
      </c>
      <c r="CY1" t="s">
        <v>898</v>
      </c>
    </row>
    <row r="2" spans="1:103" x14ac:dyDescent="0.3">
      <c r="A2" t="s">
        <v>602</v>
      </c>
      <c r="B2" t="s">
        <v>37</v>
      </c>
      <c r="C2" t="s">
        <v>11</v>
      </c>
      <c r="D2" s="687">
        <v>5100</v>
      </c>
      <c r="E2" s="687">
        <v>5101</v>
      </c>
      <c r="F2" s="687">
        <v>5102</v>
      </c>
      <c r="G2" s="687">
        <v>5103</v>
      </c>
      <c r="H2" s="687">
        <v>5104</v>
      </c>
      <c r="I2" s="687">
        <v>5105</v>
      </c>
      <c r="J2" s="687">
        <v>5106</v>
      </c>
      <c r="K2" s="687">
        <v>5107</v>
      </c>
      <c r="L2" s="687">
        <v>5108</v>
      </c>
      <c r="M2" s="687">
        <v>5109</v>
      </c>
      <c r="N2" s="687">
        <v>5110</v>
      </c>
      <c r="O2" s="687">
        <v>5111</v>
      </c>
      <c r="P2" s="687">
        <v>5112</v>
      </c>
      <c r="Q2" s="687">
        <v>5113</v>
      </c>
      <c r="R2" s="687">
        <v>5114</v>
      </c>
      <c r="S2" s="687">
        <v>5115</v>
      </c>
      <c r="T2" s="687">
        <v>5116</v>
      </c>
      <c r="U2" s="687">
        <v>5117</v>
      </c>
      <c r="V2" s="687">
        <v>5118</v>
      </c>
      <c r="W2" s="687">
        <v>5119</v>
      </c>
      <c r="X2" s="687">
        <v>5120</v>
      </c>
      <c r="Y2" s="687">
        <v>5121</v>
      </c>
      <c r="Z2" s="687">
        <v>5122</v>
      </c>
      <c r="AA2" s="687">
        <v>5123</v>
      </c>
      <c r="AB2" s="687">
        <v>5124</v>
      </c>
      <c r="AC2" s="687">
        <v>5125</v>
      </c>
      <c r="AD2" s="687">
        <v>5126</v>
      </c>
      <c r="AE2" s="687">
        <v>5127</v>
      </c>
      <c r="AF2" s="687">
        <v>5128</v>
      </c>
      <c r="AG2" s="687">
        <v>5129</v>
      </c>
      <c r="AH2" s="687">
        <v>5130</v>
      </c>
      <c r="AI2" s="687">
        <v>5131</v>
      </c>
      <c r="AJ2" s="687">
        <v>5132</v>
      </c>
      <c r="AK2" s="687">
        <v>5133</v>
      </c>
      <c r="AL2" s="687">
        <v>5134</v>
      </c>
      <c r="AM2" s="687">
        <v>5135</v>
      </c>
      <c r="AN2" s="687">
        <v>5136</v>
      </c>
      <c r="AO2" s="687">
        <v>5137</v>
      </c>
      <c r="AP2" s="687">
        <v>5138</v>
      </c>
      <c r="AQ2" s="687">
        <v>5139</v>
      </c>
      <c r="AR2" s="687">
        <v>5140</v>
      </c>
      <c r="AS2" s="687">
        <v>5141</v>
      </c>
      <c r="AT2" s="687">
        <v>5142</v>
      </c>
      <c r="AU2" s="687">
        <v>5143</v>
      </c>
      <c r="AV2" s="687">
        <v>5144</v>
      </c>
      <c r="AW2" s="687">
        <v>5145</v>
      </c>
      <c r="AX2" s="687">
        <v>5146</v>
      </c>
      <c r="AY2" s="687">
        <v>5147</v>
      </c>
      <c r="AZ2" s="687">
        <v>5148</v>
      </c>
      <c r="BA2" s="687">
        <v>5149</v>
      </c>
      <c r="BB2" s="687">
        <v>5150</v>
      </c>
      <c r="BC2" s="687">
        <v>5151</v>
      </c>
      <c r="BD2" s="687">
        <v>5152</v>
      </c>
      <c r="BE2" s="687">
        <v>5153</v>
      </c>
      <c r="BF2" s="687">
        <v>5154</v>
      </c>
      <c r="BG2" s="687">
        <v>5155</v>
      </c>
      <c r="BH2" s="687">
        <v>5156</v>
      </c>
      <c r="BI2" s="687">
        <v>5157</v>
      </c>
      <c r="BJ2" s="687">
        <v>5158</v>
      </c>
      <c r="BK2" s="687">
        <v>5159</v>
      </c>
      <c r="BL2" s="687">
        <v>5160</v>
      </c>
      <c r="BM2" s="687">
        <v>5161</v>
      </c>
      <c r="BN2" s="687">
        <v>5162</v>
      </c>
      <c r="BO2" s="687">
        <v>5163</v>
      </c>
      <c r="BP2" s="687">
        <v>5164</v>
      </c>
      <c r="BQ2" s="687">
        <v>5165</v>
      </c>
      <c r="BR2" s="687">
        <v>5166</v>
      </c>
      <c r="BS2" s="687">
        <v>5167</v>
      </c>
      <c r="BT2" s="687">
        <v>5168</v>
      </c>
      <c r="BU2" s="687">
        <v>5169</v>
      </c>
      <c r="BV2" s="687">
        <v>5170</v>
      </c>
      <c r="BW2" s="687">
        <v>5171</v>
      </c>
      <c r="BX2" s="687">
        <v>5172</v>
      </c>
      <c r="BY2" s="687">
        <v>5173</v>
      </c>
      <c r="BZ2" s="687">
        <v>5174</v>
      </c>
      <c r="CA2" s="687">
        <v>5175</v>
      </c>
      <c r="CB2" s="687">
        <v>5176</v>
      </c>
      <c r="CC2" s="687">
        <v>5177</v>
      </c>
      <c r="CD2" s="687">
        <v>5178</v>
      </c>
      <c r="CE2" s="687">
        <v>5179</v>
      </c>
      <c r="CF2" s="687">
        <v>5180</v>
      </c>
      <c r="CG2" s="687">
        <v>5181</v>
      </c>
      <c r="CH2" s="687">
        <v>5182</v>
      </c>
      <c r="CI2" s="687">
        <v>5183</v>
      </c>
      <c r="CJ2" s="687">
        <v>5184</v>
      </c>
      <c r="CK2" s="687">
        <v>5185</v>
      </c>
      <c r="CL2" s="687">
        <v>5186</v>
      </c>
      <c r="CM2" s="687">
        <v>5187</v>
      </c>
      <c r="CN2" s="687">
        <v>5188</v>
      </c>
      <c r="CO2" s="687">
        <v>5189</v>
      </c>
      <c r="CP2" s="687">
        <v>5190</v>
      </c>
      <c r="CQ2" s="687">
        <v>5191</v>
      </c>
      <c r="CR2" s="687">
        <v>5192</v>
      </c>
      <c r="CS2" s="687">
        <v>5193</v>
      </c>
      <c r="CT2" s="687">
        <v>5194</v>
      </c>
      <c r="CU2" s="687">
        <v>5195</v>
      </c>
      <c r="CV2" s="687">
        <v>5196</v>
      </c>
      <c r="CW2" s="687">
        <v>5197</v>
      </c>
      <c r="CX2" s="687">
        <v>5198</v>
      </c>
      <c r="CY2" s="687">
        <v>5199</v>
      </c>
    </row>
    <row r="3" spans="1:103" x14ac:dyDescent="0.3">
      <c r="A3">
        <v>4</v>
      </c>
      <c r="B3" t="s">
        <v>99</v>
      </c>
      <c r="D3">
        <v>2518755</v>
      </c>
      <c r="E3">
        <v>2024741</v>
      </c>
      <c r="F3">
        <v>450120</v>
      </c>
      <c r="G3">
        <v>1031813</v>
      </c>
      <c r="H3">
        <v>827684</v>
      </c>
      <c r="I3">
        <v>678313</v>
      </c>
      <c r="J3">
        <v>4846565</v>
      </c>
      <c r="K3">
        <v>1151408</v>
      </c>
      <c r="L3">
        <v>4153454</v>
      </c>
      <c r="M3">
        <v>10425245</v>
      </c>
      <c r="N3">
        <v>19380340</v>
      </c>
      <c r="O3">
        <v>4620766</v>
      </c>
      <c r="P3">
        <v>9085435</v>
      </c>
      <c r="Q3">
        <v>1281211</v>
      </c>
      <c r="R3">
        <v>176630</v>
      </c>
      <c r="S3">
        <v>4541964</v>
      </c>
      <c r="T3">
        <v>1930737</v>
      </c>
      <c r="U3">
        <v>6219109</v>
      </c>
      <c r="V3">
        <v>4112087</v>
      </c>
      <c r="W3">
        <v>3019009</v>
      </c>
      <c r="X3">
        <v>500171</v>
      </c>
      <c r="Y3">
        <v>666307</v>
      </c>
      <c r="Z3">
        <v>6374960</v>
      </c>
      <c r="AA3">
        <v>3424697</v>
      </c>
      <c r="AB3">
        <v>5672773</v>
      </c>
      <c r="AC3">
        <v>14366838</v>
      </c>
      <c r="AD3">
        <v>3228229</v>
      </c>
      <c r="AE3">
        <v>3592402</v>
      </c>
      <c r="AF3">
        <v>4267145</v>
      </c>
      <c r="AG3">
        <v>2749809</v>
      </c>
      <c r="AH3">
        <v>2552173</v>
      </c>
      <c r="AI3">
        <v>19921777</v>
      </c>
      <c r="AJ3">
        <v>2663182</v>
      </c>
      <c r="AK3">
        <v>17257260</v>
      </c>
      <c r="AL3">
        <v>3986683</v>
      </c>
      <c r="AM3">
        <v>62875418</v>
      </c>
      <c r="AN3">
        <v>352809</v>
      </c>
      <c r="AO3">
        <v>1230228</v>
      </c>
      <c r="AP3">
        <v>2171544</v>
      </c>
      <c r="AQ3">
        <v>564623</v>
      </c>
      <c r="AR3">
        <v>19323271</v>
      </c>
      <c r="AS3">
        <v>1246646</v>
      </c>
      <c r="AT3">
        <v>11467891</v>
      </c>
      <c r="AU3">
        <v>4466301</v>
      </c>
      <c r="AV3">
        <v>9806878</v>
      </c>
      <c r="AW3">
        <v>1473223</v>
      </c>
      <c r="AX3">
        <v>1848906</v>
      </c>
      <c r="AY3">
        <v>672018</v>
      </c>
      <c r="AZ3">
        <v>6507356</v>
      </c>
      <c r="BA3">
        <v>4562946</v>
      </c>
      <c r="BB3">
        <v>4312894</v>
      </c>
      <c r="BC3">
        <v>1376098</v>
      </c>
      <c r="BD3">
        <v>1358391</v>
      </c>
      <c r="BE3">
        <v>3001273</v>
      </c>
      <c r="BF3">
        <v>5851968</v>
      </c>
      <c r="BG3">
        <v>2847968</v>
      </c>
      <c r="BH3">
        <v>1704199</v>
      </c>
      <c r="BI3">
        <v>855755</v>
      </c>
      <c r="BJ3">
        <v>782924</v>
      </c>
      <c r="BK3">
        <v>98545629</v>
      </c>
      <c r="BL3">
        <v>1825931</v>
      </c>
      <c r="BM3">
        <v>1155527</v>
      </c>
      <c r="BN3">
        <v>2619036</v>
      </c>
      <c r="BO3">
        <v>3720794</v>
      </c>
      <c r="BP3">
        <v>18503511</v>
      </c>
      <c r="BQ3">
        <v>1234898</v>
      </c>
      <c r="BR3">
        <v>11625333</v>
      </c>
      <c r="BS3">
        <v>9151210</v>
      </c>
      <c r="BT3">
        <v>1105606</v>
      </c>
      <c r="BU3">
        <v>2694949</v>
      </c>
      <c r="BV3">
        <v>3257618</v>
      </c>
      <c r="BW3">
        <v>102752</v>
      </c>
      <c r="BX3">
        <v>1000076</v>
      </c>
      <c r="BY3">
        <v>6294577</v>
      </c>
      <c r="BZ3">
        <v>1018382</v>
      </c>
      <c r="CA3">
        <v>3315093</v>
      </c>
      <c r="CB3">
        <v>7251506</v>
      </c>
      <c r="CC3">
        <v>510761</v>
      </c>
      <c r="CD3">
        <v>3001326</v>
      </c>
      <c r="CE3">
        <v>11389477</v>
      </c>
      <c r="CF3">
        <v>7072967</v>
      </c>
      <c r="CG3">
        <v>5823614</v>
      </c>
      <c r="CH3">
        <v>2584628</v>
      </c>
      <c r="CI3">
        <v>3166163</v>
      </c>
      <c r="CJ3">
        <v>3015183</v>
      </c>
      <c r="CK3">
        <v>3464774</v>
      </c>
      <c r="CL3">
        <v>1444398</v>
      </c>
      <c r="CM3">
        <v>2634095</v>
      </c>
      <c r="CN3">
        <v>261455</v>
      </c>
      <c r="CO3">
        <v>8851525</v>
      </c>
      <c r="CP3">
        <v>1276369</v>
      </c>
      <c r="CQ3">
        <v>55574514</v>
      </c>
      <c r="CR3">
        <v>987766</v>
      </c>
      <c r="CS3">
        <v>460729</v>
      </c>
      <c r="CT3">
        <v>2416581</v>
      </c>
      <c r="CU3">
        <v>1450152</v>
      </c>
      <c r="CV3">
        <v>2379600</v>
      </c>
      <c r="CW3">
        <v>3634222</v>
      </c>
      <c r="CX3">
        <v>1145975</v>
      </c>
      <c r="CY3">
        <v>1653119</v>
      </c>
    </row>
    <row r="4" spans="1:103" x14ac:dyDescent="0.3">
      <c r="A4">
        <v>5</v>
      </c>
      <c r="B4" t="s">
        <v>100</v>
      </c>
      <c r="D4">
        <v>0</v>
      </c>
      <c r="E4">
        <v>60297</v>
      </c>
      <c r="F4">
        <v>71904</v>
      </c>
      <c r="G4">
        <v>7046</v>
      </c>
      <c r="H4">
        <v>151474</v>
      </c>
      <c r="I4">
        <v>0</v>
      </c>
      <c r="J4">
        <v>35062</v>
      </c>
      <c r="K4">
        <v>44183</v>
      </c>
      <c r="L4">
        <v>135040</v>
      </c>
      <c r="M4">
        <v>377375</v>
      </c>
      <c r="N4">
        <v>2091742</v>
      </c>
      <c r="O4">
        <v>42741</v>
      </c>
      <c r="P4">
        <v>474114</v>
      </c>
      <c r="Q4">
        <v>24683</v>
      </c>
      <c r="R4">
        <v>95087</v>
      </c>
      <c r="S4">
        <v>0</v>
      </c>
      <c r="T4">
        <v>89524</v>
      </c>
      <c r="U4">
        <v>156798</v>
      </c>
      <c r="V4">
        <v>433643</v>
      </c>
      <c r="W4">
        <v>391266</v>
      </c>
      <c r="X4">
        <v>93256</v>
      </c>
      <c r="Y4">
        <v>553038</v>
      </c>
      <c r="Z4">
        <v>208088</v>
      </c>
      <c r="AA4">
        <v>10029</v>
      </c>
      <c r="AB4">
        <v>160362</v>
      </c>
      <c r="AC4">
        <v>749121</v>
      </c>
      <c r="AD4">
        <v>75108</v>
      </c>
      <c r="AE4">
        <v>249838</v>
      </c>
      <c r="AF4">
        <v>0</v>
      </c>
      <c r="AG4">
        <v>75463</v>
      </c>
      <c r="AH4">
        <v>187708</v>
      </c>
      <c r="AI4">
        <v>957189</v>
      </c>
      <c r="AJ4">
        <v>153145</v>
      </c>
      <c r="AK4">
        <v>0</v>
      </c>
      <c r="AL4">
        <v>135485</v>
      </c>
      <c r="AM4">
        <v>987196</v>
      </c>
      <c r="AN4">
        <v>48787</v>
      </c>
      <c r="AO4">
        <v>125841</v>
      </c>
      <c r="AP4">
        <v>73364</v>
      </c>
      <c r="AQ4">
        <v>0</v>
      </c>
      <c r="AR4">
        <v>1214503</v>
      </c>
      <c r="AS4">
        <v>294956</v>
      </c>
      <c r="AT4">
        <v>1366</v>
      </c>
      <c r="AU4">
        <v>778338</v>
      </c>
      <c r="AV4">
        <v>263035</v>
      </c>
      <c r="AW4">
        <v>67079</v>
      </c>
      <c r="AX4">
        <v>161826</v>
      </c>
      <c r="AY4">
        <v>13374</v>
      </c>
      <c r="AZ4">
        <v>417569</v>
      </c>
      <c r="BA4">
        <v>121893</v>
      </c>
      <c r="BB4">
        <v>191244</v>
      </c>
      <c r="BC4">
        <v>0</v>
      </c>
      <c r="BD4">
        <v>526307</v>
      </c>
      <c r="BE4">
        <v>82073</v>
      </c>
      <c r="BF4">
        <v>344400</v>
      </c>
      <c r="BG4">
        <v>62495</v>
      </c>
      <c r="BH4">
        <v>0</v>
      </c>
      <c r="BI4">
        <v>123521</v>
      </c>
      <c r="BJ4">
        <v>188365</v>
      </c>
      <c r="BK4">
        <v>993201</v>
      </c>
      <c r="BL4">
        <v>35079</v>
      </c>
      <c r="BM4">
        <v>66985</v>
      </c>
      <c r="BN4">
        <v>58213</v>
      </c>
      <c r="BO4">
        <v>149601</v>
      </c>
      <c r="BP4">
        <v>467575</v>
      </c>
      <c r="BQ4">
        <v>102328</v>
      </c>
      <c r="BR4">
        <v>256896</v>
      </c>
      <c r="BS4">
        <v>595476</v>
      </c>
      <c r="BT4">
        <v>146960</v>
      </c>
      <c r="BU4">
        <v>198139</v>
      </c>
      <c r="BV4">
        <v>58865</v>
      </c>
      <c r="BW4">
        <v>100209</v>
      </c>
      <c r="BX4">
        <v>158124</v>
      </c>
      <c r="BY4">
        <v>353009</v>
      </c>
      <c r="BZ4">
        <v>132935</v>
      </c>
      <c r="CA4">
        <v>157180</v>
      </c>
      <c r="CB4">
        <v>77738</v>
      </c>
      <c r="CC4">
        <v>0</v>
      </c>
      <c r="CD4">
        <v>64088</v>
      </c>
      <c r="CE4">
        <v>196965</v>
      </c>
      <c r="CF4">
        <v>187253</v>
      </c>
      <c r="CG4">
        <v>71778</v>
      </c>
      <c r="CH4">
        <v>46587</v>
      </c>
      <c r="CI4">
        <v>171657</v>
      </c>
      <c r="CJ4">
        <v>71438</v>
      </c>
      <c r="CK4">
        <v>115494</v>
      </c>
      <c r="CL4">
        <v>63887</v>
      </c>
      <c r="CM4">
        <v>42382</v>
      </c>
      <c r="CN4">
        <v>43289</v>
      </c>
      <c r="CO4">
        <v>108244</v>
      </c>
      <c r="CP4">
        <v>116353</v>
      </c>
      <c r="CQ4">
        <v>2433053</v>
      </c>
      <c r="CR4">
        <v>160967</v>
      </c>
      <c r="CS4">
        <v>78479</v>
      </c>
      <c r="CT4">
        <v>4671</v>
      </c>
      <c r="CU4">
        <v>62871</v>
      </c>
      <c r="CV4">
        <v>53267</v>
      </c>
      <c r="CW4">
        <v>623539</v>
      </c>
      <c r="CX4">
        <v>21122</v>
      </c>
      <c r="CY4">
        <v>63721</v>
      </c>
    </row>
    <row r="5" spans="1:103" x14ac:dyDescent="0.3">
      <c r="A5">
        <v>6</v>
      </c>
      <c r="B5" t="s">
        <v>208</v>
      </c>
      <c r="D5">
        <v>2625689</v>
      </c>
      <c r="E5">
        <v>0</v>
      </c>
      <c r="F5">
        <v>0</v>
      </c>
      <c r="G5">
        <v>0</v>
      </c>
      <c r="H5">
        <v>0</v>
      </c>
      <c r="I5">
        <v>0</v>
      </c>
      <c r="J5">
        <v>682505</v>
      </c>
      <c r="K5">
        <v>0</v>
      </c>
      <c r="L5">
        <v>0</v>
      </c>
      <c r="M5">
        <v>0</v>
      </c>
      <c r="N5">
        <v>1791726</v>
      </c>
      <c r="O5">
        <v>3063897</v>
      </c>
      <c r="P5">
        <v>4157419</v>
      </c>
      <c r="Q5">
        <v>0</v>
      </c>
      <c r="R5">
        <v>0</v>
      </c>
      <c r="S5">
        <v>0</v>
      </c>
      <c r="T5">
        <v>0</v>
      </c>
      <c r="U5">
        <v>3776526</v>
      </c>
      <c r="V5">
        <v>0</v>
      </c>
      <c r="W5">
        <v>0</v>
      </c>
      <c r="X5">
        <v>0</v>
      </c>
      <c r="Y5">
        <v>0</v>
      </c>
      <c r="Z5">
        <v>0</v>
      </c>
      <c r="AA5">
        <v>0</v>
      </c>
      <c r="AB5">
        <v>0</v>
      </c>
      <c r="AC5">
        <v>0</v>
      </c>
      <c r="AD5">
        <v>0</v>
      </c>
      <c r="AE5">
        <v>4511551</v>
      </c>
      <c r="AF5">
        <v>0</v>
      </c>
      <c r="AG5">
        <v>806346</v>
      </c>
      <c r="AH5">
        <v>2753796</v>
      </c>
      <c r="AI5">
        <v>14330976</v>
      </c>
      <c r="AJ5">
        <v>0</v>
      </c>
      <c r="AK5">
        <v>3752495</v>
      </c>
      <c r="AL5">
        <v>0</v>
      </c>
      <c r="AM5">
        <v>42752</v>
      </c>
      <c r="AN5">
        <v>0</v>
      </c>
      <c r="AO5">
        <v>25890</v>
      </c>
      <c r="AP5">
        <v>0</v>
      </c>
      <c r="AQ5">
        <v>0</v>
      </c>
      <c r="AR5">
        <v>6694901</v>
      </c>
      <c r="AS5">
        <v>0</v>
      </c>
      <c r="AT5">
        <v>0</v>
      </c>
      <c r="AU5">
        <v>0</v>
      </c>
      <c r="AV5">
        <v>0</v>
      </c>
      <c r="AW5">
        <v>0</v>
      </c>
      <c r="AX5">
        <v>0</v>
      </c>
      <c r="AY5">
        <v>0</v>
      </c>
      <c r="AZ5">
        <v>39754597</v>
      </c>
      <c r="BA5">
        <v>0</v>
      </c>
      <c r="BB5">
        <v>2615653</v>
      </c>
      <c r="BC5">
        <v>0</v>
      </c>
      <c r="BD5">
        <v>836793</v>
      </c>
      <c r="BE5">
        <v>0</v>
      </c>
      <c r="BF5">
        <v>2785114</v>
      </c>
      <c r="BG5">
        <v>0</v>
      </c>
      <c r="BH5">
        <v>0</v>
      </c>
      <c r="BI5">
        <v>0</v>
      </c>
      <c r="BJ5">
        <v>0</v>
      </c>
      <c r="BK5">
        <v>67734250</v>
      </c>
      <c r="BL5">
        <v>0</v>
      </c>
      <c r="BM5">
        <v>0</v>
      </c>
      <c r="BN5">
        <v>2380668</v>
      </c>
      <c r="BO5">
        <v>2864169</v>
      </c>
      <c r="BP5">
        <v>9131625</v>
      </c>
      <c r="BQ5">
        <v>0</v>
      </c>
      <c r="BR5">
        <v>3038922</v>
      </c>
      <c r="BS5">
        <v>1208178</v>
      </c>
      <c r="BT5">
        <v>0</v>
      </c>
      <c r="BU5">
        <v>0</v>
      </c>
      <c r="BV5">
        <v>105252</v>
      </c>
      <c r="BW5">
        <v>0</v>
      </c>
      <c r="BX5">
        <v>1737386</v>
      </c>
      <c r="BY5">
        <v>0</v>
      </c>
      <c r="BZ5">
        <v>700783</v>
      </c>
      <c r="CA5">
        <v>6614133</v>
      </c>
      <c r="CB5">
        <v>0</v>
      </c>
      <c r="CC5">
        <v>0</v>
      </c>
      <c r="CD5">
        <v>0</v>
      </c>
      <c r="CE5">
        <v>3030435</v>
      </c>
      <c r="CF5">
        <v>260295</v>
      </c>
      <c r="CG5">
        <v>0</v>
      </c>
      <c r="CH5">
        <v>0</v>
      </c>
      <c r="CI5">
        <v>0</v>
      </c>
      <c r="CJ5">
        <v>0</v>
      </c>
      <c r="CK5">
        <v>0</v>
      </c>
      <c r="CL5">
        <v>0</v>
      </c>
      <c r="CM5">
        <v>0</v>
      </c>
      <c r="CN5">
        <v>0</v>
      </c>
      <c r="CO5">
        <v>3886874</v>
      </c>
      <c r="CP5">
        <v>0</v>
      </c>
      <c r="CQ5">
        <v>12852588</v>
      </c>
      <c r="CR5">
        <v>0</v>
      </c>
      <c r="CS5">
        <v>0</v>
      </c>
      <c r="CT5">
        <v>3987512</v>
      </c>
      <c r="CU5">
        <v>0</v>
      </c>
      <c r="CV5">
        <v>0</v>
      </c>
      <c r="CW5">
        <v>0</v>
      </c>
      <c r="CX5">
        <v>0</v>
      </c>
      <c r="CY5">
        <v>0</v>
      </c>
    </row>
    <row r="6" spans="1:103" x14ac:dyDescent="0.3">
      <c r="A6">
        <v>7</v>
      </c>
      <c r="B6" t="s">
        <v>170</v>
      </c>
      <c r="D6">
        <v>152919</v>
      </c>
      <c r="E6">
        <v>7368</v>
      </c>
      <c r="F6">
        <v>0</v>
      </c>
      <c r="G6">
        <v>35923</v>
      </c>
      <c r="H6">
        <v>0</v>
      </c>
      <c r="I6">
        <v>117113</v>
      </c>
      <c r="J6">
        <v>32</v>
      </c>
      <c r="K6">
        <v>917</v>
      </c>
      <c r="L6">
        <v>72517</v>
      </c>
      <c r="M6">
        <v>64000</v>
      </c>
      <c r="N6">
        <v>453917</v>
      </c>
      <c r="O6">
        <v>0</v>
      </c>
      <c r="P6">
        <v>258860</v>
      </c>
      <c r="Q6">
        <v>72094</v>
      </c>
      <c r="R6">
        <v>0</v>
      </c>
      <c r="S6">
        <v>0</v>
      </c>
      <c r="T6">
        <v>0</v>
      </c>
      <c r="U6">
        <v>946779</v>
      </c>
      <c r="V6">
        <v>0</v>
      </c>
      <c r="W6">
        <v>161986</v>
      </c>
      <c r="X6">
        <v>0</v>
      </c>
      <c r="Y6">
        <v>15220</v>
      </c>
      <c r="Z6">
        <v>603776</v>
      </c>
      <c r="AA6">
        <v>302784</v>
      </c>
      <c r="AB6">
        <v>34072</v>
      </c>
      <c r="AC6">
        <v>223390</v>
      </c>
      <c r="AD6">
        <v>9495</v>
      </c>
      <c r="AE6">
        <v>10831</v>
      </c>
      <c r="AF6">
        <v>450046</v>
      </c>
      <c r="AG6">
        <v>415</v>
      </c>
      <c r="AH6">
        <v>305539</v>
      </c>
      <c r="AI6">
        <v>2047340</v>
      </c>
      <c r="AJ6">
        <v>416</v>
      </c>
      <c r="AK6">
        <v>122250</v>
      </c>
      <c r="AL6">
        <v>79701</v>
      </c>
      <c r="AM6">
        <v>790450</v>
      </c>
      <c r="AN6">
        <v>235977</v>
      </c>
      <c r="AO6">
        <v>225697</v>
      </c>
      <c r="AP6">
        <v>69247</v>
      </c>
      <c r="AQ6">
        <v>126031</v>
      </c>
      <c r="AR6">
        <v>750953</v>
      </c>
      <c r="AS6">
        <v>0</v>
      </c>
      <c r="AT6">
        <v>2210399</v>
      </c>
      <c r="AU6">
        <v>195969</v>
      </c>
      <c r="AV6">
        <v>69614</v>
      </c>
      <c r="AW6">
        <v>1045</v>
      </c>
      <c r="AX6">
        <v>1179481</v>
      </c>
      <c r="AY6">
        <v>56307</v>
      </c>
      <c r="AZ6">
        <v>546283</v>
      </c>
      <c r="BA6">
        <v>0</v>
      </c>
      <c r="BB6">
        <v>2349</v>
      </c>
      <c r="BC6">
        <v>48016</v>
      </c>
      <c r="BD6">
        <v>758</v>
      </c>
      <c r="BE6">
        <v>0</v>
      </c>
      <c r="BF6">
        <v>257235</v>
      </c>
      <c r="BG6">
        <v>459088</v>
      </c>
      <c r="BH6">
        <v>87340</v>
      </c>
      <c r="BI6">
        <v>1770345</v>
      </c>
      <c r="BJ6">
        <v>109030</v>
      </c>
      <c r="BK6">
        <v>0</v>
      </c>
      <c r="BL6">
        <v>75317</v>
      </c>
      <c r="BM6">
        <v>496678</v>
      </c>
      <c r="BN6">
        <v>113450</v>
      </c>
      <c r="BO6">
        <v>20760</v>
      </c>
      <c r="BP6">
        <v>73660</v>
      </c>
      <c r="BQ6">
        <v>315000</v>
      </c>
      <c r="BR6">
        <v>2173496</v>
      </c>
      <c r="BS6">
        <v>78714</v>
      </c>
      <c r="BT6">
        <v>203</v>
      </c>
      <c r="BU6">
        <v>-153987</v>
      </c>
      <c r="BV6">
        <v>677326</v>
      </c>
      <c r="BW6">
        <v>0</v>
      </c>
      <c r="BX6">
        <v>136594</v>
      </c>
      <c r="BY6">
        <v>309032</v>
      </c>
      <c r="BZ6">
        <v>517035</v>
      </c>
      <c r="CA6">
        <v>37574</v>
      </c>
      <c r="CB6">
        <v>479678</v>
      </c>
      <c r="CC6">
        <v>671</v>
      </c>
      <c r="CD6">
        <v>363195</v>
      </c>
      <c r="CE6">
        <v>2821461</v>
      </c>
      <c r="CF6">
        <v>845684</v>
      </c>
      <c r="CG6">
        <v>9022</v>
      </c>
      <c r="CH6">
        <v>222274</v>
      </c>
      <c r="CI6">
        <v>4729</v>
      </c>
      <c r="CJ6">
        <v>84635</v>
      </c>
      <c r="CK6">
        <v>2526759</v>
      </c>
      <c r="CL6">
        <v>36404</v>
      </c>
      <c r="CM6">
        <v>4232299</v>
      </c>
      <c r="CN6">
        <v>0</v>
      </c>
      <c r="CO6">
        <v>50308</v>
      </c>
      <c r="CP6">
        <v>0</v>
      </c>
      <c r="CQ6">
        <v>2583042</v>
      </c>
      <c r="CR6">
        <v>15340</v>
      </c>
      <c r="CS6">
        <v>135735</v>
      </c>
      <c r="CT6">
        <v>15911</v>
      </c>
      <c r="CU6">
        <v>0</v>
      </c>
      <c r="CV6">
        <v>204</v>
      </c>
      <c r="CW6">
        <v>0</v>
      </c>
      <c r="CX6">
        <v>91</v>
      </c>
      <c r="CY6">
        <v>0</v>
      </c>
    </row>
    <row r="7" spans="1:103" x14ac:dyDescent="0.3">
      <c r="A7">
        <v>9</v>
      </c>
      <c r="B7" t="s">
        <v>171</v>
      </c>
      <c r="D7">
        <v>84774404</v>
      </c>
      <c r="E7">
        <v>24098600</v>
      </c>
      <c r="F7">
        <v>9067926</v>
      </c>
      <c r="G7">
        <v>28263722</v>
      </c>
      <c r="H7">
        <v>16528945</v>
      </c>
      <c r="I7">
        <v>29981916</v>
      </c>
      <c r="J7">
        <v>39716228</v>
      </c>
      <c r="K7">
        <v>5792525</v>
      </c>
      <c r="L7">
        <v>39881826</v>
      </c>
      <c r="M7">
        <v>139670363</v>
      </c>
      <c r="N7">
        <v>124314054</v>
      </c>
      <c r="O7">
        <v>40534537</v>
      </c>
      <c r="P7">
        <v>177753685</v>
      </c>
      <c r="Q7">
        <v>25295827</v>
      </c>
      <c r="R7">
        <v>15766487</v>
      </c>
      <c r="S7">
        <v>78980863</v>
      </c>
      <c r="T7">
        <v>14942952</v>
      </c>
      <c r="U7">
        <v>131228183</v>
      </c>
      <c r="V7">
        <v>56724946</v>
      </c>
      <c r="W7">
        <v>31357930</v>
      </c>
      <c r="X7">
        <v>12929810</v>
      </c>
      <c r="Y7">
        <v>9509386</v>
      </c>
      <c r="Z7">
        <v>52415667</v>
      </c>
      <c r="AA7">
        <v>30455585</v>
      </c>
      <c r="AB7">
        <v>59604035</v>
      </c>
      <c r="AC7">
        <v>280375543</v>
      </c>
      <c r="AD7">
        <v>32773507</v>
      </c>
      <c r="AE7">
        <v>99072656</v>
      </c>
      <c r="AF7">
        <v>109324435</v>
      </c>
      <c r="AG7">
        <v>20273772</v>
      </c>
      <c r="AH7">
        <v>30824174</v>
      </c>
      <c r="AI7">
        <v>305810941</v>
      </c>
      <c r="AJ7">
        <v>32196992</v>
      </c>
      <c r="AK7">
        <v>210142822</v>
      </c>
      <c r="AL7">
        <v>52452308</v>
      </c>
      <c r="AM7">
        <v>111067469</v>
      </c>
      <c r="AN7">
        <v>8365572</v>
      </c>
      <c r="AO7">
        <v>9917839</v>
      </c>
      <c r="AP7">
        <v>50668464</v>
      </c>
      <c r="AQ7">
        <v>16762415</v>
      </c>
      <c r="AR7">
        <v>214133125</v>
      </c>
      <c r="AS7">
        <v>51331515</v>
      </c>
      <c r="AT7">
        <v>103196465</v>
      </c>
      <c r="AU7">
        <v>44874662</v>
      </c>
      <c r="AV7">
        <v>85899635</v>
      </c>
      <c r="AW7">
        <v>15546295</v>
      </c>
      <c r="AX7">
        <v>44413745</v>
      </c>
      <c r="AY7">
        <v>9028962</v>
      </c>
      <c r="AZ7">
        <v>172118502</v>
      </c>
      <c r="BA7">
        <v>38307037</v>
      </c>
      <c r="BB7">
        <v>212520203</v>
      </c>
      <c r="BC7">
        <v>12868812</v>
      </c>
      <c r="BD7">
        <v>36587801</v>
      </c>
      <c r="BE7">
        <v>41316613</v>
      </c>
      <c r="BF7">
        <v>56678000</v>
      </c>
      <c r="BG7">
        <v>44045359</v>
      </c>
      <c r="BH7">
        <v>17378728</v>
      </c>
      <c r="BI7">
        <v>16555104</v>
      </c>
      <c r="BJ7">
        <v>18569528</v>
      </c>
      <c r="BK7">
        <v>664077501</v>
      </c>
      <c r="BL7">
        <v>8619503</v>
      </c>
      <c r="BM7">
        <v>34791057</v>
      </c>
      <c r="BN7">
        <v>64127759</v>
      </c>
      <c r="BO7">
        <v>56862182</v>
      </c>
      <c r="BP7">
        <v>480814411</v>
      </c>
      <c r="BQ7">
        <v>26663232</v>
      </c>
      <c r="BR7">
        <v>145605460</v>
      </c>
      <c r="BS7">
        <v>81346392</v>
      </c>
      <c r="BT7">
        <v>11729086</v>
      </c>
      <c r="BU7">
        <v>36411964</v>
      </c>
      <c r="BV7">
        <v>68436099</v>
      </c>
      <c r="BW7">
        <v>8315424</v>
      </c>
      <c r="BX7">
        <v>33991489</v>
      </c>
      <c r="BY7">
        <v>68416943</v>
      </c>
      <c r="BZ7">
        <v>15474777</v>
      </c>
      <c r="CA7">
        <v>67373026</v>
      </c>
      <c r="CB7">
        <v>21179046</v>
      </c>
      <c r="CC7">
        <v>65839001</v>
      </c>
      <c r="CD7">
        <v>65796225</v>
      </c>
      <c r="CE7">
        <v>89657855</v>
      </c>
      <c r="CF7">
        <v>47885328</v>
      </c>
      <c r="CG7">
        <v>40244596</v>
      </c>
      <c r="CH7">
        <v>17378207</v>
      </c>
      <c r="CI7">
        <v>48163297</v>
      </c>
      <c r="CJ7">
        <v>21546326</v>
      </c>
      <c r="CK7">
        <v>64716785</v>
      </c>
      <c r="CL7">
        <v>12406990</v>
      </c>
      <c r="CM7">
        <v>37241831</v>
      </c>
      <c r="CN7">
        <v>2031538</v>
      </c>
      <c r="CO7">
        <v>135071379</v>
      </c>
      <c r="CP7">
        <v>27523598</v>
      </c>
      <c r="CQ7">
        <v>563374062</v>
      </c>
      <c r="CR7">
        <v>22947484</v>
      </c>
      <c r="CS7">
        <v>12093361</v>
      </c>
      <c r="CT7">
        <v>51692442</v>
      </c>
      <c r="CU7">
        <v>70058834</v>
      </c>
      <c r="CV7">
        <v>45967612</v>
      </c>
      <c r="CW7">
        <v>64011048</v>
      </c>
      <c r="CX7">
        <v>25210816</v>
      </c>
      <c r="CY7">
        <v>12732188</v>
      </c>
    </row>
    <row r="8" spans="1:103" x14ac:dyDescent="0.3">
      <c r="A8">
        <v>16</v>
      </c>
      <c r="B8" t="s">
        <v>173</v>
      </c>
      <c r="D8">
        <v>196657857</v>
      </c>
      <c r="E8">
        <v>46915239</v>
      </c>
      <c r="F8">
        <v>19351100</v>
      </c>
      <c r="G8">
        <v>34440402</v>
      </c>
      <c r="H8">
        <v>40924484</v>
      </c>
      <c r="I8">
        <v>38472018</v>
      </c>
      <c r="J8">
        <v>69003636</v>
      </c>
      <c r="K8">
        <v>27543455</v>
      </c>
      <c r="L8">
        <v>52744580</v>
      </c>
      <c r="M8">
        <v>262533984</v>
      </c>
      <c r="N8">
        <v>371165860</v>
      </c>
      <c r="O8">
        <v>92342609</v>
      </c>
      <c r="P8">
        <v>351072163</v>
      </c>
      <c r="Q8">
        <v>89958264</v>
      </c>
      <c r="R8">
        <v>17953404</v>
      </c>
      <c r="S8">
        <v>105445559</v>
      </c>
      <c r="T8">
        <v>28610772</v>
      </c>
      <c r="U8">
        <v>216964536</v>
      </c>
      <c r="V8">
        <v>138364178</v>
      </c>
      <c r="W8">
        <v>49806730</v>
      </c>
      <c r="X8">
        <v>21461267</v>
      </c>
      <c r="Y8">
        <v>21591938</v>
      </c>
      <c r="Z8">
        <v>133719233</v>
      </c>
      <c r="AA8">
        <v>64829539</v>
      </c>
      <c r="AB8">
        <v>131671163</v>
      </c>
      <c r="AC8">
        <v>378263734</v>
      </c>
      <c r="AD8">
        <v>60419308</v>
      </c>
      <c r="AE8">
        <v>140007216</v>
      </c>
      <c r="AF8">
        <v>179805919</v>
      </c>
      <c r="AG8">
        <v>72741439</v>
      </c>
      <c r="AH8">
        <v>64719385</v>
      </c>
      <c r="AI8">
        <v>611028646</v>
      </c>
      <c r="AJ8">
        <v>65172871</v>
      </c>
      <c r="AK8">
        <v>494516399</v>
      </c>
      <c r="AL8">
        <v>103887455</v>
      </c>
      <c r="AM8">
        <v>296644606</v>
      </c>
      <c r="AN8">
        <v>13955425</v>
      </c>
      <c r="AO8">
        <v>19032152</v>
      </c>
      <c r="AP8">
        <v>74592063</v>
      </c>
      <c r="AQ8">
        <v>23282349</v>
      </c>
      <c r="AR8">
        <v>658047189</v>
      </c>
      <c r="AS8">
        <v>67110193</v>
      </c>
      <c r="AT8">
        <v>159260937</v>
      </c>
      <c r="AU8">
        <v>93419098</v>
      </c>
      <c r="AV8">
        <v>175535235</v>
      </c>
      <c r="AW8">
        <v>27567102</v>
      </c>
      <c r="AX8">
        <v>60664063</v>
      </c>
      <c r="AY8">
        <v>14015508</v>
      </c>
      <c r="AZ8">
        <v>255760875</v>
      </c>
      <c r="BA8">
        <v>86413491</v>
      </c>
      <c r="BB8">
        <v>322099333</v>
      </c>
      <c r="BC8">
        <v>16200552</v>
      </c>
      <c r="BD8">
        <v>86507080</v>
      </c>
      <c r="BE8">
        <v>67947733</v>
      </c>
      <c r="BF8">
        <v>139647598</v>
      </c>
      <c r="BG8">
        <v>61147870</v>
      </c>
      <c r="BH8">
        <v>32112999</v>
      </c>
      <c r="BI8">
        <v>33408958</v>
      </c>
      <c r="BJ8">
        <v>55958227</v>
      </c>
      <c r="BK8">
        <v>1527228110</v>
      </c>
      <c r="BL8">
        <v>21500346</v>
      </c>
      <c r="BM8">
        <v>41422592</v>
      </c>
      <c r="BN8">
        <v>136969084</v>
      </c>
      <c r="BO8">
        <v>108101093</v>
      </c>
      <c r="BP8">
        <v>341266539</v>
      </c>
      <c r="BQ8">
        <v>37885490</v>
      </c>
      <c r="BR8">
        <v>250547657</v>
      </c>
      <c r="BS8">
        <v>256498678</v>
      </c>
      <c r="BT8">
        <v>22971268</v>
      </c>
      <c r="BU8">
        <v>60247237</v>
      </c>
      <c r="BV8">
        <v>91761732</v>
      </c>
      <c r="BW8">
        <v>18455364</v>
      </c>
      <c r="BX8">
        <v>69423555</v>
      </c>
      <c r="BY8">
        <v>178116763</v>
      </c>
      <c r="BZ8">
        <v>31070057</v>
      </c>
      <c r="CA8">
        <v>153242131</v>
      </c>
      <c r="CB8">
        <v>63067531</v>
      </c>
      <c r="CC8">
        <v>145831744</v>
      </c>
      <c r="CD8">
        <v>103544990</v>
      </c>
      <c r="CE8">
        <v>173473299</v>
      </c>
      <c r="CF8">
        <v>77072115</v>
      </c>
      <c r="CG8">
        <v>83027545</v>
      </c>
      <c r="CH8">
        <v>50715301</v>
      </c>
      <c r="CI8">
        <v>80403459</v>
      </c>
      <c r="CJ8">
        <v>58339873</v>
      </c>
      <c r="CK8">
        <v>92153968</v>
      </c>
      <c r="CL8">
        <v>24911872</v>
      </c>
      <c r="CM8">
        <v>71508846</v>
      </c>
      <c r="CN8">
        <v>7436799</v>
      </c>
      <c r="CO8">
        <v>354778911</v>
      </c>
      <c r="CP8">
        <v>53642718</v>
      </c>
      <c r="CQ8">
        <v>1653241667</v>
      </c>
      <c r="CR8">
        <v>34396260</v>
      </c>
      <c r="CS8">
        <v>15299215</v>
      </c>
      <c r="CT8">
        <v>77678602</v>
      </c>
      <c r="CU8">
        <v>138249058</v>
      </c>
      <c r="CV8">
        <v>89763576</v>
      </c>
      <c r="CW8">
        <v>109282607</v>
      </c>
      <c r="CX8">
        <v>41553465</v>
      </c>
      <c r="CY8">
        <v>28223484</v>
      </c>
    </row>
    <row r="9" spans="1:103" x14ac:dyDescent="0.3">
      <c r="A9">
        <v>17</v>
      </c>
      <c r="B9" t="s">
        <v>176</v>
      </c>
      <c r="D9">
        <v>8368208</v>
      </c>
      <c r="E9">
        <v>0</v>
      </c>
      <c r="F9">
        <v>1392318</v>
      </c>
      <c r="G9">
        <v>75000</v>
      </c>
      <c r="H9">
        <v>670382</v>
      </c>
      <c r="I9">
        <v>0</v>
      </c>
      <c r="J9">
        <v>257336</v>
      </c>
      <c r="K9">
        <v>0</v>
      </c>
      <c r="L9">
        <v>0</v>
      </c>
      <c r="M9">
        <v>10000000</v>
      </c>
      <c r="N9">
        <v>5025345</v>
      </c>
      <c r="O9">
        <v>6732875</v>
      </c>
      <c r="P9">
        <v>63328185</v>
      </c>
      <c r="Q9">
        <v>10670000</v>
      </c>
      <c r="R9">
        <v>0</v>
      </c>
      <c r="S9">
        <v>9771473</v>
      </c>
      <c r="T9">
        <v>2538076</v>
      </c>
      <c r="U9">
        <v>12279006</v>
      </c>
      <c r="V9">
        <v>14820700</v>
      </c>
      <c r="W9">
        <v>82982</v>
      </c>
      <c r="X9">
        <v>282934</v>
      </c>
      <c r="Y9">
        <v>1209059</v>
      </c>
      <c r="Z9">
        <v>13419401</v>
      </c>
      <c r="AA9">
        <v>56045</v>
      </c>
      <c r="AB9">
        <v>2372098</v>
      </c>
      <c r="AC9">
        <v>0</v>
      </c>
      <c r="AD9">
        <v>10620105</v>
      </c>
      <c r="AE9">
        <v>740000</v>
      </c>
      <c r="AF9">
        <v>5063528</v>
      </c>
      <c r="AG9">
        <v>1720288</v>
      </c>
      <c r="AH9">
        <v>824962</v>
      </c>
      <c r="AI9">
        <v>5566084</v>
      </c>
      <c r="AJ9">
        <v>3350441</v>
      </c>
      <c r="AK9">
        <v>9754897</v>
      </c>
      <c r="AL9">
        <v>160905</v>
      </c>
      <c r="AM9">
        <v>28550536</v>
      </c>
      <c r="AN9">
        <v>681830</v>
      </c>
      <c r="AO9">
        <v>183986</v>
      </c>
      <c r="AP9">
        <v>2318547</v>
      </c>
      <c r="AQ9">
        <v>0</v>
      </c>
      <c r="AR9">
        <v>0</v>
      </c>
      <c r="AS9">
        <v>331000</v>
      </c>
      <c r="AT9">
        <v>4058762</v>
      </c>
      <c r="AU9">
        <v>3612131</v>
      </c>
      <c r="AV9">
        <v>2740152</v>
      </c>
      <c r="AW9">
        <v>2299490</v>
      </c>
      <c r="AX9">
        <v>0</v>
      </c>
      <c r="AY9">
        <v>60000</v>
      </c>
      <c r="AZ9">
        <v>141961</v>
      </c>
      <c r="BA9">
        <v>838138</v>
      </c>
      <c r="BB9">
        <v>25679260</v>
      </c>
      <c r="BC9">
        <v>1767593</v>
      </c>
      <c r="BD9">
        <v>353070</v>
      </c>
      <c r="BE9">
        <v>2087000</v>
      </c>
      <c r="BF9">
        <v>992500</v>
      </c>
      <c r="BG9">
        <v>1659020</v>
      </c>
      <c r="BH9">
        <v>2062403</v>
      </c>
      <c r="BI9">
        <v>0</v>
      </c>
      <c r="BJ9">
        <v>690559</v>
      </c>
      <c r="BK9">
        <v>962959</v>
      </c>
      <c r="BL9">
        <v>0</v>
      </c>
      <c r="BM9">
        <v>0</v>
      </c>
      <c r="BN9">
        <v>10055112</v>
      </c>
      <c r="BO9">
        <v>4622100</v>
      </c>
      <c r="BP9">
        <v>3745327</v>
      </c>
      <c r="BQ9">
        <v>0</v>
      </c>
      <c r="BR9">
        <v>8383420</v>
      </c>
      <c r="BS9">
        <v>95337</v>
      </c>
      <c r="BT9">
        <v>118475</v>
      </c>
      <c r="BU9">
        <v>100000</v>
      </c>
      <c r="BV9">
        <v>0</v>
      </c>
      <c r="BW9">
        <v>430000</v>
      </c>
      <c r="BX9">
        <v>0</v>
      </c>
      <c r="BY9">
        <v>8952956</v>
      </c>
      <c r="BZ9">
        <v>2312089</v>
      </c>
      <c r="CA9">
        <v>2333894</v>
      </c>
      <c r="CB9">
        <v>0</v>
      </c>
      <c r="CC9">
        <v>0</v>
      </c>
      <c r="CD9">
        <v>10242243</v>
      </c>
      <c r="CE9">
        <v>0</v>
      </c>
      <c r="CF9">
        <v>10380994</v>
      </c>
      <c r="CG9">
        <v>3861273</v>
      </c>
      <c r="CH9">
        <v>588066</v>
      </c>
      <c r="CI9">
        <v>0</v>
      </c>
      <c r="CJ9">
        <v>373302</v>
      </c>
      <c r="CK9">
        <v>5747032</v>
      </c>
      <c r="CL9">
        <v>452224</v>
      </c>
      <c r="CM9">
        <v>3979184</v>
      </c>
      <c r="CN9">
        <v>677849</v>
      </c>
      <c r="CO9">
        <v>0</v>
      </c>
      <c r="CP9">
        <v>760900</v>
      </c>
      <c r="CQ9">
        <v>2288050</v>
      </c>
      <c r="CR9">
        <v>812339</v>
      </c>
      <c r="CS9">
        <v>1386393</v>
      </c>
      <c r="CT9">
        <v>7154183</v>
      </c>
      <c r="CU9">
        <v>8230252</v>
      </c>
      <c r="CV9">
        <v>0</v>
      </c>
      <c r="CW9">
        <v>8194443</v>
      </c>
      <c r="CX9">
        <v>0</v>
      </c>
      <c r="CY9">
        <v>3509691</v>
      </c>
    </row>
    <row r="10" spans="1:103" x14ac:dyDescent="0.3">
      <c r="A10">
        <v>20</v>
      </c>
      <c r="B10" t="s">
        <v>177</v>
      </c>
      <c r="D10">
        <v>9563277</v>
      </c>
      <c r="E10">
        <v>5139803</v>
      </c>
      <c r="F10">
        <v>1607681</v>
      </c>
      <c r="G10">
        <v>433089</v>
      </c>
      <c r="H10">
        <v>4735715</v>
      </c>
      <c r="I10">
        <v>98353</v>
      </c>
      <c r="J10">
        <v>7566152</v>
      </c>
      <c r="K10">
        <v>300000</v>
      </c>
      <c r="L10">
        <v>5193645</v>
      </c>
      <c r="M10">
        <v>34637933</v>
      </c>
      <c r="N10">
        <v>23041555</v>
      </c>
      <c r="O10">
        <v>4009867</v>
      </c>
      <c r="P10">
        <v>83767784</v>
      </c>
      <c r="Q10">
        <v>2578156</v>
      </c>
      <c r="R10">
        <v>1383014</v>
      </c>
      <c r="S10">
        <v>8723690</v>
      </c>
      <c r="T10">
        <v>1951527</v>
      </c>
      <c r="U10">
        <v>18154866</v>
      </c>
      <c r="V10">
        <v>24060130</v>
      </c>
      <c r="W10">
        <v>114414</v>
      </c>
      <c r="X10">
        <v>3149819</v>
      </c>
      <c r="Y10">
        <v>617925</v>
      </c>
      <c r="Z10">
        <v>22111359</v>
      </c>
      <c r="AA10">
        <v>3340434</v>
      </c>
      <c r="AB10">
        <v>10556018</v>
      </c>
      <c r="AC10">
        <v>4138570</v>
      </c>
      <c r="AD10">
        <v>15562507</v>
      </c>
      <c r="AE10">
        <v>3399239</v>
      </c>
      <c r="AF10">
        <v>33893149</v>
      </c>
      <c r="AG10">
        <v>4464473</v>
      </c>
      <c r="AH10">
        <v>5093199</v>
      </c>
      <c r="AI10">
        <v>85032308</v>
      </c>
      <c r="AJ10">
        <v>420610</v>
      </c>
      <c r="AK10">
        <v>57251725</v>
      </c>
      <c r="AL10">
        <v>7057001</v>
      </c>
      <c r="AM10">
        <v>39844126</v>
      </c>
      <c r="AN10">
        <v>811691</v>
      </c>
      <c r="AO10">
        <v>1105795</v>
      </c>
      <c r="AP10">
        <v>0</v>
      </c>
      <c r="AQ10">
        <v>950158</v>
      </c>
      <c r="AR10">
        <v>6940784</v>
      </c>
      <c r="AS10">
        <v>363480</v>
      </c>
      <c r="AT10">
        <v>976259</v>
      </c>
      <c r="AU10">
        <v>11997132</v>
      </c>
      <c r="AV10">
        <v>15744744</v>
      </c>
      <c r="AW10">
        <v>1000000</v>
      </c>
      <c r="AX10">
        <v>1000000</v>
      </c>
      <c r="AY10">
        <v>385080</v>
      </c>
      <c r="AZ10">
        <v>10589428</v>
      </c>
      <c r="BA10">
        <v>10472458</v>
      </c>
      <c r="BB10">
        <v>30523527</v>
      </c>
      <c r="BC10">
        <v>0</v>
      </c>
      <c r="BD10">
        <v>1589602</v>
      </c>
      <c r="BE10">
        <v>3561709</v>
      </c>
      <c r="BF10">
        <v>14037706</v>
      </c>
      <c r="BG10">
        <v>4608425</v>
      </c>
      <c r="BH10">
        <v>85000</v>
      </c>
      <c r="BI10">
        <v>969975</v>
      </c>
      <c r="BJ10">
        <v>2486499</v>
      </c>
      <c r="BK10">
        <v>78121084</v>
      </c>
      <c r="BL10">
        <v>105235</v>
      </c>
      <c r="BM10">
        <v>3521659</v>
      </c>
      <c r="BN10">
        <v>15109351</v>
      </c>
      <c r="BO10">
        <v>4407470</v>
      </c>
      <c r="BP10">
        <v>21920307</v>
      </c>
      <c r="BQ10">
        <v>474195</v>
      </c>
      <c r="BR10">
        <v>4514610</v>
      </c>
      <c r="BS10">
        <v>9272892</v>
      </c>
      <c r="BT10">
        <v>0</v>
      </c>
      <c r="BU10">
        <v>0</v>
      </c>
      <c r="BV10">
        <v>8352483</v>
      </c>
      <c r="BW10">
        <v>0</v>
      </c>
      <c r="BX10">
        <v>13969356</v>
      </c>
      <c r="BY10">
        <v>20854238</v>
      </c>
      <c r="BZ10">
        <v>2803279</v>
      </c>
      <c r="CA10">
        <v>13459737</v>
      </c>
      <c r="CB10">
        <v>0</v>
      </c>
      <c r="CC10">
        <v>0</v>
      </c>
      <c r="CD10">
        <v>5237808</v>
      </c>
      <c r="CE10">
        <v>7549754</v>
      </c>
      <c r="CF10">
        <v>10367574</v>
      </c>
      <c r="CG10">
        <v>0</v>
      </c>
      <c r="CH10">
        <v>108991</v>
      </c>
      <c r="CI10">
        <v>807168</v>
      </c>
      <c r="CJ10">
        <v>166272</v>
      </c>
      <c r="CK10">
        <v>1462692</v>
      </c>
      <c r="CL10">
        <v>94692</v>
      </c>
      <c r="CM10">
        <v>15322187</v>
      </c>
      <c r="CN10">
        <v>5700</v>
      </c>
      <c r="CO10">
        <v>38509230</v>
      </c>
      <c r="CP10">
        <v>6514696</v>
      </c>
      <c r="CQ10">
        <v>485021582</v>
      </c>
      <c r="CR10">
        <v>1201278</v>
      </c>
      <c r="CS10">
        <v>171902</v>
      </c>
      <c r="CT10">
        <v>18511290</v>
      </c>
      <c r="CU10">
        <v>26769864</v>
      </c>
      <c r="CV10">
        <v>1750000</v>
      </c>
      <c r="CW10">
        <v>3677688</v>
      </c>
      <c r="CX10">
        <v>339903</v>
      </c>
      <c r="CY10">
        <v>276722</v>
      </c>
    </row>
    <row r="11" spans="1:103" x14ac:dyDescent="0.3">
      <c r="A11">
        <v>22</v>
      </c>
      <c r="B11" t="s">
        <v>179</v>
      </c>
      <c r="D11">
        <v>0</v>
      </c>
      <c r="E11">
        <v>0</v>
      </c>
      <c r="F11">
        <v>3682</v>
      </c>
      <c r="G11">
        <v>0</v>
      </c>
      <c r="H11">
        <v>0</v>
      </c>
      <c r="I11">
        <v>0</v>
      </c>
      <c r="J11">
        <v>0</v>
      </c>
      <c r="K11">
        <v>563890</v>
      </c>
      <c r="L11">
        <v>0</v>
      </c>
      <c r="M11">
        <v>775921</v>
      </c>
      <c r="N11">
        <v>2000201</v>
      </c>
      <c r="O11">
        <v>172328</v>
      </c>
      <c r="P11">
        <v>0</v>
      </c>
      <c r="Q11">
        <v>602140</v>
      </c>
      <c r="R11">
        <v>35839</v>
      </c>
      <c r="S11">
        <v>0</v>
      </c>
      <c r="T11">
        <v>-3281000</v>
      </c>
      <c r="U11">
        <v>0</v>
      </c>
      <c r="V11">
        <v>706433</v>
      </c>
      <c r="W11">
        <v>268316</v>
      </c>
      <c r="X11">
        <v>113124</v>
      </c>
      <c r="Y11">
        <v>262500</v>
      </c>
      <c r="Z11">
        <v>6875000</v>
      </c>
      <c r="AA11">
        <v>0</v>
      </c>
      <c r="AB11">
        <v>0</v>
      </c>
      <c r="AC11">
        <v>3883011</v>
      </c>
      <c r="AD11">
        <v>0</v>
      </c>
      <c r="AE11">
        <v>269351</v>
      </c>
      <c r="AF11">
        <v>0</v>
      </c>
      <c r="AG11">
        <v>146238</v>
      </c>
      <c r="AH11">
        <v>0</v>
      </c>
      <c r="AI11">
        <v>1897483</v>
      </c>
      <c r="AJ11">
        <v>6800</v>
      </c>
      <c r="AK11">
        <v>0</v>
      </c>
      <c r="AL11">
        <v>0</v>
      </c>
      <c r="AM11">
        <v>0</v>
      </c>
      <c r="AN11">
        <v>450</v>
      </c>
      <c r="AO11">
        <v>0</v>
      </c>
      <c r="AP11">
        <v>0</v>
      </c>
      <c r="AQ11">
        <v>0</v>
      </c>
      <c r="AR11">
        <v>42565</v>
      </c>
      <c r="AS11">
        <v>0</v>
      </c>
      <c r="AT11">
        <v>0</v>
      </c>
      <c r="AU11">
        <v>552981</v>
      </c>
      <c r="AV11">
        <v>695626</v>
      </c>
      <c r="AW11">
        <v>0</v>
      </c>
      <c r="AX11">
        <v>0</v>
      </c>
      <c r="AY11">
        <v>58347</v>
      </c>
      <c r="AZ11">
        <v>0</v>
      </c>
      <c r="BA11">
        <v>228478</v>
      </c>
      <c r="BB11">
        <v>0</v>
      </c>
      <c r="BC11">
        <v>0</v>
      </c>
      <c r="BD11">
        <v>0</v>
      </c>
      <c r="BE11">
        <v>0</v>
      </c>
      <c r="BF11">
        <v>668865</v>
      </c>
      <c r="BG11">
        <v>0</v>
      </c>
      <c r="BH11">
        <v>0</v>
      </c>
      <c r="BI11">
        <v>83283</v>
      </c>
      <c r="BJ11">
        <v>32666</v>
      </c>
      <c r="BK11">
        <v>186282</v>
      </c>
      <c r="BL11">
        <v>0</v>
      </c>
      <c r="BM11">
        <v>340846</v>
      </c>
      <c r="BN11">
        <v>106597</v>
      </c>
      <c r="BO11">
        <v>0</v>
      </c>
      <c r="BP11">
        <v>483831</v>
      </c>
      <c r="BQ11">
        <v>1600</v>
      </c>
      <c r="BR11">
        <v>0</v>
      </c>
      <c r="BS11">
        <v>95939</v>
      </c>
      <c r="BT11">
        <v>0</v>
      </c>
      <c r="BU11">
        <v>278345</v>
      </c>
      <c r="BV11">
        <v>4333299</v>
      </c>
      <c r="BW11">
        <v>134878</v>
      </c>
      <c r="BX11">
        <v>4492</v>
      </c>
      <c r="BY11">
        <v>0</v>
      </c>
      <c r="BZ11">
        <v>0</v>
      </c>
      <c r="CA11">
        <v>0</v>
      </c>
      <c r="CB11">
        <v>0</v>
      </c>
      <c r="CC11">
        <v>0</v>
      </c>
      <c r="CD11">
        <v>0</v>
      </c>
      <c r="CE11">
        <v>152034</v>
      </c>
      <c r="CF11">
        <v>660651</v>
      </c>
      <c r="CG11">
        <v>0</v>
      </c>
      <c r="CH11">
        <v>3350</v>
      </c>
      <c r="CI11">
        <v>0</v>
      </c>
      <c r="CJ11">
        <v>0</v>
      </c>
      <c r="CK11">
        <v>4221718</v>
      </c>
      <c r="CL11">
        <v>905813</v>
      </c>
      <c r="CM11">
        <v>25038</v>
      </c>
      <c r="CN11">
        <v>0</v>
      </c>
      <c r="CO11">
        <v>1159596</v>
      </c>
      <c r="CP11">
        <v>-92976</v>
      </c>
      <c r="CQ11">
        <v>38869</v>
      </c>
      <c r="CR11">
        <v>0</v>
      </c>
      <c r="CS11">
        <v>0</v>
      </c>
      <c r="CT11">
        <v>73526</v>
      </c>
      <c r="CU11">
        <v>507679</v>
      </c>
      <c r="CV11">
        <v>88011</v>
      </c>
      <c r="CW11">
        <v>255667</v>
      </c>
      <c r="CX11">
        <v>0</v>
      </c>
      <c r="CY11">
        <v>64126</v>
      </c>
    </row>
    <row r="12" spans="1:103" x14ac:dyDescent="0.3">
      <c r="A12">
        <v>23</v>
      </c>
      <c r="B12" t="s">
        <v>182</v>
      </c>
      <c r="D12">
        <v>13228137</v>
      </c>
      <c r="E12">
        <v>599743</v>
      </c>
      <c r="F12">
        <v>3382375</v>
      </c>
      <c r="G12">
        <v>2422920</v>
      </c>
      <c r="H12">
        <v>1234942</v>
      </c>
      <c r="I12">
        <v>7608030</v>
      </c>
      <c r="J12">
        <v>5687872</v>
      </c>
      <c r="K12">
        <v>396527</v>
      </c>
      <c r="L12">
        <v>4672424</v>
      </c>
      <c r="M12">
        <v>18475894</v>
      </c>
      <c r="N12">
        <v>7647396</v>
      </c>
      <c r="O12">
        <v>4389023</v>
      </c>
      <c r="P12">
        <v>55357565</v>
      </c>
      <c r="Q12">
        <v>10227774</v>
      </c>
      <c r="R12">
        <v>2404891</v>
      </c>
      <c r="S12">
        <v>9792397</v>
      </c>
      <c r="T12">
        <v>3245819</v>
      </c>
      <c r="U12">
        <v>18603675</v>
      </c>
      <c r="V12">
        <v>2544261</v>
      </c>
      <c r="W12">
        <v>6490922</v>
      </c>
      <c r="X12">
        <v>2363663</v>
      </c>
      <c r="Y12">
        <v>1721835</v>
      </c>
      <c r="Z12">
        <v>4810779</v>
      </c>
      <c r="AA12">
        <v>-1225736</v>
      </c>
      <c r="AB12">
        <v>9523084</v>
      </c>
      <c r="AC12">
        <v>45452852</v>
      </c>
      <c r="AD12">
        <v>-2340338</v>
      </c>
      <c r="AE12">
        <v>26744523</v>
      </c>
      <c r="AF12">
        <v>5174539</v>
      </c>
      <c r="AG12">
        <v>2544964</v>
      </c>
      <c r="AH12">
        <v>5637499</v>
      </c>
      <c r="AI12">
        <v>52709067</v>
      </c>
      <c r="AJ12">
        <v>3540033</v>
      </c>
      <c r="AK12">
        <v>52994158</v>
      </c>
      <c r="AL12">
        <v>3475368</v>
      </c>
      <c r="AM12">
        <v>12096544</v>
      </c>
      <c r="AN12">
        <v>2086516</v>
      </c>
      <c r="AO12">
        <v>485027</v>
      </c>
      <c r="AP12">
        <v>4165569</v>
      </c>
      <c r="AQ12">
        <v>4718938</v>
      </c>
      <c r="AR12">
        <v>9172786</v>
      </c>
      <c r="AS12">
        <v>1693337</v>
      </c>
      <c r="AT12">
        <v>20893438</v>
      </c>
      <c r="AU12">
        <v>-3874130</v>
      </c>
      <c r="AV12">
        <v>5582280</v>
      </c>
      <c r="AW12">
        <v>2660840</v>
      </c>
      <c r="AX12">
        <v>8720886</v>
      </c>
      <c r="AY12">
        <v>-1505682</v>
      </c>
      <c r="AZ12">
        <v>24069347</v>
      </c>
      <c r="BA12">
        <v>3085207</v>
      </c>
      <c r="BB12">
        <v>41497119</v>
      </c>
      <c r="BC12">
        <v>1195090</v>
      </c>
      <c r="BD12">
        <v>5378153</v>
      </c>
      <c r="BE12">
        <v>4073519</v>
      </c>
      <c r="BF12">
        <v>2098168</v>
      </c>
      <c r="BG12">
        <v>6168503</v>
      </c>
      <c r="BH12">
        <v>6188638</v>
      </c>
      <c r="BI12">
        <v>1525179</v>
      </c>
      <c r="BJ12">
        <v>1946781</v>
      </c>
      <c r="BK12">
        <v>13065835</v>
      </c>
      <c r="BL12">
        <v>-149756</v>
      </c>
      <c r="BM12">
        <v>8394863</v>
      </c>
      <c r="BN12">
        <v>11084707</v>
      </c>
      <c r="BO12">
        <v>8203587</v>
      </c>
      <c r="BP12">
        <v>7820239</v>
      </c>
      <c r="BQ12">
        <v>3497141</v>
      </c>
      <c r="BR12">
        <v>30569985</v>
      </c>
      <c r="BS12">
        <v>5229366</v>
      </c>
      <c r="BT12">
        <v>1116879</v>
      </c>
      <c r="BU12">
        <v>5455030</v>
      </c>
      <c r="BV12">
        <v>8871158</v>
      </c>
      <c r="BW12">
        <v>1146626</v>
      </c>
      <c r="BX12">
        <v>2099216</v>
      </c>
      <c r="BY12">
        <v>7753659</v>
      </c>
      <c r="BZ12">
        <v>1515381</v>
      </c>
      <c r="CA12">
        <v>-2516740</v>
      </c>
      <c r="CB12">
        <v>2724543</v>
      </c>
      <c r="CC12">
        <v>9430535</v>
      </c>
      <c r="CD12">
        <v>19674410</v>
      </c>
      <c r="CE12">
        <v>15998968</v>
      </c>
      <c r="CF12">
        <v>6218126</v>
      </c>
      <c r="CG12">
        <v>1855939</v>
      </c>
      <c r="CH12">
        <v>2410512</v>
      </c>
      <c r="CI12">
        <v>8106222</v>
      </c>
      <c r="CJ12">
        <v>2536173</v>
      </c>
      <c r="CK12">
        <v>10840864</v>
      </c>
      <c r="CL12">
        <v>846321</v>
      </c>
      <c r="CM12">
        <v>1010894</v>
      </c>
      <c r="CN12">
        <v>724391</v>
      </c>
      <c r="CO12">
        <v>6591601</v>
      </c>
      <c r="CP12">
        <v>-207008</v>
      </c>
      <c r="CQ12">
        <v>81453578</v>
      </c>
      <c r="CR12">
        <v>2680111</v>
      </c>
      <c r="CS12">
        <v>2311670</v>
      </c>
      <c r="CT12">
        <v>6066142</v>
      </c>
      <c r="CU12">
        <v>3451062</v>
      </c>
      <c r="CV12">
        <v>3157996</v>
      </c>
      <c r="CW12">
        <v>8725911</v>
      </c>
      <c r="CX12">
        <v>7047386</v>
      </c>
      <c r="CY12">
        <v>4590225</v>
      </c>
    </row>
    <row r="13" spans="1:103" x14ac:dyDescent="0.3">
      <c r="A13">
        <v>44</v>
      </c>
      <c r="B13" t="s">
        <v>603</v>
      </c>
      <c r="D13">
        <v>0</v>
      </c>
      <c r="E13">
        <v>8558536</v>
      </c>
      <c r="F13">
        <v>0</v>
      </c>
      <c r="G13">
        <v>10070355</v>
      </c>
      <c r="H13">
        <v>0</v>
      </c>
      <c r="I13">
        <v>0</v>
      </c>
      <c r="J13">
        <v>13096684</v>
      </c>
      <c r="K13">
        <v>1989696</v>
      </c>
      <c r="L13">
        <v>3167392</v>
      </c>
      <c r="M13">
        <v>104568934</v>
      </c>
      <c r="N13">
        <v>0</v>
      </c>
      <c r="O13">
        <v>977618</v>
      </c>
      <c r="P13">
        <v>0</v>
      </c>
      <c r="Q13">
        <v>9484499</v>
      </c>
      <c r="R13">
        <v>3236502</v>
      </c>
      <c r="S13">
        <v>2672847</v>
      </c>
      <c r="T13">
        <v>0</v>
      </c>
      <c r="U13">
        <v>0</v>
      </c>
      <c r="V13">
        <v>28755997</v>
      </c>
      <c r="W13">
        <v>0</v>
      </c>
      <c r="X13">
        <v>3616447</v>
      </c>
      <c r="Y13">
        <v>478227</v>
      </c>
      <c r="Z13">
        <v>0</v>
      </c>
      <c r="AA13">
        <v>6290972</v>
      </c>
      <c r="AB13">
        <v>14331452</v>
      </c>
      <c r="AC13">
        <v>1419949</v>
      </c>
      <c r="AD13">
        <v>23118401</v>
      </c>
      <c r="AE13">
        <v>10350821</v>
      </c>
      <c r="AF13">
        <v>1693061</v>
      </c>
      <c r="AG13">
        <v>15061961</v>
      </c>
      <c r="AH13">
        <v>11885788</v>
      </c>
      <c r="AI13">
        <v>40806555</v>
      </c>
      <c r="AJ13">
        <v>2468899</v>
      </c>
      <c r="AK13">
        <v>0</v>
      </c>
      <c r="AL13">
        <v>26336201</v>
      </c>
      <c r="AM13">
        <v>0</v>
      </c>
      <c r="AN13">
        <v>2891324</v>
      </c>
      <c r="AO13">
        <v>0</v>
      </c>
      <c r="AP13">
        <v>0</v>
      </c>
      <c r="AQ13">
        <v>2781575</v>
      </c>
      <c r="AR13">
        <v>0</v>
      </c>
      <c r="AS13">
        <v>5706468</v>
      </c>
      <c r="AT13">
        <v>87692200</v>
      </c>
      <c r="AU13">
        <v>0</v>
      </c>
      <c r="AV13">
        <v>728474</v>
      </c>
      <c r="AW13">
        <v>5375237</v>
      </c>
      <c r="AX13">
        <v>11616259</v>
      </c>
      <c r="AY13">
        <v>696913</v>
      </c>
      <c r="AZ13">
        <v>0</v>
      </c>
      <c r="BA13">
        <v>0</v>
      </c>
      <c r="BB13">
        <v>86997260</v>
      </c>
      <c r="BC13">
        <v>4930195</v>
      </c>
      <c r="BD13">
        <v>0</v>
      </c>
      <c r="BE13">
        <v>0</v>
      </c>
      <c r="BF13">
        <v>26304646</v>
      </c>
      <c r="BG13">
        <v>0</v>
      </c>
      <c r="BH13">
        <v>0</v>
      </c>
      <c r="BI13">
        <v>311574</v>
      </c>
      <c r="BJ13">
        <v>206942</v>
      </c>
      <c r="BK13">
        <v>0</v>
      </c>
      <c r="BL13">
        <v>0</v>
      </c>
      <c r="BM13">
        <v>10177769</v>
      </c>
      <c r="BN13">
        <v>18304079</v>
      </c>
      <c r="BO13">
        <v>4489983</v>
      </c>
      <c r="BP13">
        <v>0</v>
      </c>
      <c r="BQ13">
        <v>1919357</v>
      </c>
      <c r="BR13">
        <v>0</v>
      </c>
      <c r="BS13">
        <v>0</v>
      </c>
      <c r="BT13">
        <v>3724283</v>
      </c>
      <c r="BU13">
        <v>10514475</v>
      </c>
      <c r="BV13">
        <v>18574502</v>
      </c>
      <c r="BW13">
        <v>1625766</v>
      </c>
      <c r="BX13">
        <v>0</v>
      </c>
      <c r="BY13">
        <v>0</v>
      </c>
      <c r="BZ13">
        <v>413860</v>
      </c>
      <c r="CA13">
        <v>0</v>
      </c>
      <c r="CB13">
        <v>13119020</v>
      </c>
      <c r="CC13">
        <v>14168249</v>
      </c>
      <c r="CD13">
        <v>2924332</v>
      </c>
      <c r="CE13">
        <v>1370169</v>
      </c>
      <c r="CF13">
        <v>0</v>
      </c>
      <c r="CG13">
        <v>10259616</v>
      </c>
      <c r="CH13">
        <v>2983571</v>
      </c>
      <c r="CI13">
        <v>5024660</v>
      </c>
      <c r="CJ13">
        <v>527651</v>
      </c>
      <c r="CK13">
        <v>1354426</v>
      </c>
      <c r="CL13">
        <v>0</v>
      </c>
      <c r="CM13">
        <v>0</v>
      </c>
      <c r="CN13">
        <v>2039422</v>
      </c>
      <c r="CO13">
        <v>153368004</v>
      </c>
      <c r="CP13">
        <v>1336194</v>
      </c>
      <c r="CQ13">
        <v>0</v>
      </c>
      <c r="CR13">
        <v>8538672</v>
      </c>
      <c r="CS13">
        <v>2281248</v>
      </c>
      <c r="CT13">
        <v>0</v>
      </c>
      <c r="CU13">
        <v>771603</v>
      </c>
      <c r="CV13">
        <v>0</v>
      </c>
      <c r="CW13">
        <v>5352883</v>
      </c>
      <c r="CX13">
        <v>629982</v>
      </c>
      <c r="CY13">
        <v>248844</v>
      </c>
    </row>
    <row r="14" spans="1:103" x14ac:dyDescent="0.3">
      <c r="A14">
        <v>45</v>
      </c>
      <c r="B14" t="s">
        <v>604</v>
      </c>
      <c r="D14">
        <v>0</v>
      </c>
      <c r="E14">
        <v>896524</v>
      </c>
      <c r="F14">
        <v>0</v>
      </c>
      <c r="G14">
        <v>1273659</v>
      </c>
      <c r="H14">
        <v>0</v>
      </c>
      <c r="I14">
        <v>0</v>
      </c>
      <c r="J14">
        <v>2734014</v>
      </c>
      <c r="K14">
        <v>814361</v>
      </c>
      <c r="L14">
        <v>123405</v>
      </c>
      <c r="M14">
        <v>28754431</v>
      </c>
      <c r="N14">
        <v>0</v>
      </c>
      <c r="O14">
        <v>194796</v>
      </c>
      <c r="P14">
        <v>0</v>
      </c>
      <c r="Q14">
        <v>123014</v>
      </c>
      <c r="R14">
        <v>240255</v>
      </c>
      <c r="S14">
        <v>866534</v>
      </c>
      <c r="T14">
        <v>0</v>
      </c>
      <c r="U14">
        <v>0</v>
      </c>
      <c r="V14">
        <v>663349</v>
      </c>
      <c r="W14">
        <v>0</v>
      </c>
      <c r="X14">
        <v>93481</v>
      </c>
      <c r="Y14">
        <v>111033</v>
      </c>
      <c r="Z14">
        <v>0</v>
      </c>
      <c r="AA14">
        <v>-9861288</v>
      </c>
      <c r="AB14">
        <v>1147043</v>
      </c>
      <c r="AC14">
        <v>127240</v>
      </c>
      <c r="AD14">
        <v>2386222</v>
      </c>
      <c r="AE14">
        <v>2382607</v>
      </c>
      <c r="AF14">
        <v>729529</v>
      </c>
      <c r="AG14">
        <v>1290280</v>
      </c>
      <c r="AH14">
        <v>1321840</v>
      </c>
      <c r="AI14">
        <v>1033984</v>
      </c>
      <c r="AJ14">
        <v>807420</v>
      </c>
      <c r="AK14">
        <v>0</v>
      </c>
      <c r="AL14">
        <v>3932885</v>
      </c>
      <c r="AM14">
        <v>0</v>
      </c>
      <c r="AN14">
        <v>138881</v>
      </c>
      <c r="AO14">
        <v>0</v>
      </c>
      <c r="AP14">
        <v>0</v>
      </c>
      <c r="AQ14">
        <v>1151584</v>
      </c>
      <c r="AR14">
        <v>0</v>
      </c>
      <c r="AS14">
        <v>1913449</v>
      </c>
      <c r="AT14">
        <v>7588594</v>
      </c>
      <c r="AU14">
        <v>0</v>
      </c>
      <c r="AV14">
        <v>2160</v>
      </c>
      <c r="AW14">
        <v>1890630</v>
      </c>
      <c r="AX14">
        <v>1629494</v>
      </c>
      <c r="AY14">
        <v>215631</v>
      </c>
      <c r="AZ14">
        <v>0</v>
      </c>
      <c r="BA14">
        <v>0</v>
      </c>
      <c r="BB14">
        <v>16337149</v>
      </c>
      <c r="BC14">
        <v>373858</v>
      </c>
      <c r="BD14">
        <v>0</v>
      </c>
      <c r="BE14">
        <v>0</v>
      </c>
      <c r="BF14">
        <v>3633520</v>
      </c>
      <c r="BG14">
        <v>0</v>
      </c>
      <c r="BH14">
        <v>0</v>
      </c>
      <c r="BI14">
        <v>2036024</v>
      </c>
      <c r="BJ14">
        <v>7025</v>
      </c>
      <c r="BK14">
        <v>0</v>
      </c>
      <c r="BL14">
        <v>0</v>
      </c>
      <c r="BM14">
        <v>1215621</v>
      </c>
      <c r="BN14">
        <v>3371153</v>
      </c>
      <c r="BO14">
        <v>2461398</v>
      </c>
      <c r="BP14">
        <v>0</v>
      </c>
      <c r="BQ14">
        <v>824961</v>
      </c>
      <c r="BR14">
        <v>0</v>
      </c>
      <c r="BS14">
        <v>0</v>
      </c>
      <c r="BT14">
        <v>466273</v>
      </c>
      <c r="BU14">
        <v>1137400</v>
      </c>
      <c r="BV14">
        <v>4370491</v>
      </c>
      <c r="BW14">
        <v>245424</v>
      </c>
      <c r="BX14">
        <v>0</v>
      </c>
      <c r="BY14">
        <v>0</v>
      </c>
      <c r="BZ14">
        <v>217189</v>
      </c>
      <c r="CA14">
        <v>0</v>
      </c>
      <c r="CB14">
        <v>693417</v>
      </c>
      <c r="CC14">
        <v>2643951</v>
      </c>
      <c r="CD14">
        <v>2335486</v>
      </c>
      <c r="CE14">
        <v>48075</v>
      </c>
      <c r="CF14">
        <v>0</v>
      </c>
      <c r="CG14">
        <v>1368968</v>
      </c>
      <c r="CH14">
        <v>843261</v>
      </c>
      <c r="CI14">
        <v>2228179</v>
      </c>
      <c r="CJ14">
        <v>6688</v>
      </c>
      <c r="CK14">
        <v>821072</v>
      </c>
      <c r="CL14">
        <v>0</v>
      </c>
      <c r="CM14">
        <v>0</v>
      </c>
      <c r="CN14">
        <v>148592</v>
      </c>
      <c r="CO14">
        <v>52312202</v>
      </c>
      <c r="CP14">
        <v>343994</v>
      </c>
      <c r="CQ14">
        <v>0</v>
      </c>
      <c r="CR14">
        <v>1228602</v>
      </c>
      <c r="CS14">
        <v>1086326</v>
      </c>
      <c r="CT14">
        <v>0</v>
      </c>
      <c r="CU14">
        <v>499463</v>
      </c>
      <c r="CV14">
        <v>0</v>
      </c>
      <c r="CW14">
        <v>393947</v>
      </c>
      <c r="CX14">
        <v>223777</v>
      </c>
      <c r="CY14">
        <v>379443</v>
      </c>
    </row>
    <row r="15" spans="1:103" x14ac:dyDescent="0.3">
      <c r="A15">
        <v>49</v>
      </c>
      <c r="B15" t="s">
        <v>192</v>
      </c>
      <c r="D15">
        <v>0</v>
      </c>
      <c r="E15">
        <v>989976</v>
      </c>
      <c r="F15">
        <v>0</v>
      </c>
      <c r="G15">
        <v>1558723</v>
      </c>
      <c r="H15">
        <v>0</v>
      </c>
      <c r="I15">
        <v>0</v>
      </c>
      <c r="J15">
        <v>2238809</v>
      </c>
      <c r="K15">
        <v>887186</v>
      </c>
      <c r="L15">
        <v>1750295</v>
      </c>
      <c r="M15">
        <v>13831396</v>
      </c>
      <c r="N15">
        <v>0</v>
      </c>
      <c r="O15">
        <v>832142</v>
      </c>
      <c r="P15">
        <v>0</v>
      </c>
      <c r="Q15">
        <v>353136</v>
      </c>
      <c r="R15">
        <v>655959</v>
      </c>
      <c r="S15">
        <v>357187</v>
      </c>
      <c r="T15">
        <v>0</v>
      </c>
      <c r="U15">
        <v>0</v>
      </c>
      <c r="V15">
        <v>1376909</v>
      </c>
      <c r="W15">
        <v>0</v>
      </c>
      <c r="X15">
        <v>342035</v>
      </c>
      <c r="Y15">
        <v>502119</v>
      </c>
      <c r="Z15">
        <v>0</v>
      </c>
      <c r="AA15">
        <v>1399012</v>
      </c>
      <c r="AB15">
        <v>1707137</v>
      </c>
      <c r="AC15">
        <v>419962</v>
      </c>
      <c r="AD15">
        <v>3395195</v>
      </c>
      <c r="AE15">
        <v>3638629</v>
      </c>
      <c r="AF15">
        <v>372600</v>
      </c>
      <c r="AG15">
        <v>851709</v>
      </c>
      <c r="AH15">
        <v>1270288</v>
      </c>
      <c r="AI15">
        <v>3537912</v>
      </c>
      <c r="AJ15">
        <v>1493017</v>
      </c>
      <c r="AK15">
        <v>0</v>
      </c>
      <c r="AL15">
        <v>1762409</v>
      </c>
      <c r="AM15">
        <v>0</v>
      </c>
      <c r="AN15">
        <v>298481</v>
      </c>
      <c r="AO15">
        <v>0</v>
      </c>
      <c r="AP15">
        <v>0</v>
      </c>
      <c r="AQ15">
        <v>1253718</v>
      </c>
      <c r="AR15">
        <v>0</v>
      </c>
      <c r="AS15">
        <v>1789553</v>
      </c>
      <c r="AT15">
        <v>12712327</v>
      </c>
      <c r="AU15">
        <v>0</v>
      </c>
      <c r="AV15">
        <v>10863</v>
      </c>
      <c r="AW15">
        <v>457979</v>
      </c>
      <c r="AX15">
        <v>2032148</v>
      </c>
      <c r="AY15">
        <v>429135</v>
      </c>
      <c r="AZ15">
        <v>0</v>
      </c>
      <c r="BA15">
        <v>0</v>
      </c>
      <c r="BB15">
        <v>8412498</v>
      </c>
      <c r="BC15">
        <v>442475</v>
      </c>
      <c r="BD15">
        <v>0</v>
      </c>
      <c r="BE15">
        <v>0</v>
      </c>
      <c r="BF15">
        <v>3881092</v>
      </c>
      <c r="BG15">
        <v>0</v>
      </c>
      <c r="BH15">
        <v>0</v>
      </c>
      <c r="BI15">
        <v>388232</v>
      </c>
      <c r="BJ15">
        <v>145140</v>
      </c>
      <c r="BK15">
        <v>0</v>
      </c>
      <c r="BL15">
        <v>0</v>
      </c>
      <c r="BM15">
        <v>1159863</v>
      </c>
      <c r="BN15">
        <v>5287758</v>
      </c>
      <c r="BO15">
        <v>888291</v>
      </c>
      <c r="BP15">
        <v>0</v>
      </c>
      <c r="BQ15">
        <v>674777</v>
      </c>
      <c r="BR15">
        <v>0</v>
      </c>
      <c r="BS15">
        <v>0</v>
      </c>
      <c r="BT15">
        <v>773486</v>
      </c>
      <c r="BU15">
        <v>1319071</v>
      </c>
      <c r="BV15">
        <v>3561757</v>
      </c>
      <c r="BW15">
        <v>423280</v>
      </c>
      <c r="BX15">
        <v>0</v>
      </c>
      <c r="BY15">
        <v>0</v>
      </c>
      <c r="BZ15">
        <v>233205</v>
      </c>
      <c r="CA15">
        <v>0</v>
      </c>
      <c r="CB15">
        <v>2726781</v>
      </c>
      <c r="CC15">
        <v>5289283</v>
      </c>
      <c r="CD15">
        <v>733780</v>
      </c>
      <c r="CE15">
        <v>82984</v>
      </c>
      <c r="CF15">
        <v>0</v>
      </c>
      <c r="CG15">
        <v>980919</v>
      </c>
      <c r="CH15">
        <v>328445</v>
      </c>
      <c r="CI15">
        <v>1159236</v>
      </c>
      <c r="CJ15">
        <v>230344</v>
      </c>
      <c r="CK15">
        <v>320481</v>
      </c>
      <c r="CL15">
        <v>0</v>
      </c>
      <c r="CM15">
        <v>0</v>
      </c>
      <c r="CN15">
        <v>520302</v>
      </c>
      <c r="CO15">
        <v>19042826</v>
      </c>
      <c r="CP15">
        <v>416719</v>
      </c>
      <c r="CQ15">
        <v>0</v>
      </c>
      <c r="CR15">
        <v>1286525</v>
      </c>
      <c r="CS15">
        <v>258924</v>
      </c>
      <c r="CT15">
        <v>0</v>
      </c>
      <c r="CU15">
        <v>154873</v>
      </c>
      <c r="CV15">
        <v>0</v>
      </c>
      <c r="CW15">
        <v>645155</v>
      </c>
      <c r="CX15">
        <v>402015</v>
      </c>
      <c r="CY15">
        <v>0</v>
      </c>
    </row>
    <row r="16" spans="1:103" x14ac:dyDescent="0.3">
      <c r="A16">
        <v>50</v>
      </c>
      <c r="B16" t="s">
        <v>85</v>
      </c>
      <c r="D16">
        <v>0</v>
      </c>
      <c r="E16">
        <v>1472231</v>
      </c>
      <c r="F16">
        <v>0</v>
      </c>
      <c r="G16">
        <v>-1503190</v>
      </c>
      <c r="H16">
        <v>0</v>
      </c>
      <c r="I16">
        <v>0</v>
      </c>
      <c r="J16">
        <v>3331818</v>
      </c>
      <c r="K16">
        <v>391051</v>
      </c>
      <c r="L16">
        <v>275830</v>
      </c>
      <c r="M16">
        <v>38757609</v>
      </c>
      <c r="N16">
        <v>0</v>
      </c>
      <c r="O16">
        <v>-129327</v>
      </c>
      <c r="P16">
        <v>0</v>
      </c>
      <c r="Q16">
        <v>722780</v>
      </c>
      <c r="R16">
        <v>-63803</v>
      </c>
      <c r="S16">
        <v>419775</v>
      </c>
      <c r="T16">
        <v>0</v>
      </c>
      <c r="U16">
        <v>0</v>
      </c>
      <c r="V16">
        <v>3874709</v>
      </c>
      <c r="W16">
        <v>0</v>
      </c>
      <c r="X16">
        <v>211513</v>
      </c>
      <c r="Y16">
        <v>-326297</v>
      </c>
      <c r="Z16">
        <v>0</v>
      </c>
      <c r="AA16">
        <v>186074</v>
      </c>
      <c r="AB16">
        <v>663727</v>
      </c>
      <c r="AC16">
        <v>597947</v>
      </c>
      <c r="AD16">
        <v>2871122</v>
      </c>
      <c r="AE16">
        <v>964107</v>
      </c>
      <c r="AF16">
        <v>734215</v>
      </c>
      <c r="AG16">
        <v>2158396</v>
      </c>
      <c r="AH16">
        <v>814124</v>
      </c>
      <c r="AI16">
        <v>6414835</v>
      </c>
      <c r="AJ16">
        <v>-478493</v>
      </c>
      <c r="AK16">
        <v>0</v>
      </c>
      <c r="AL16">
        <v>4849943</v>
      </c>
      <c r="AM16">
        <v>0</v>
      </c>
      <c r="AN16">
        <v>-160407</v>
      </c>
      <c r="AO16">
        <v>0</v>
      </c>
      <c r="AP16">
        <v>0</v>
      </c>
      <c r="AQ16">
        <v>331670</v>
      </c>
      <c r="AR16">
        <v>0</v>
      </c>
      <c r="AS16">
        <v>-304155</v>
      </c>
      <c r="AT16">
        <v>17310026</v>
      </c>
      <c r="AU16">
        <v>0</v>
      </c>
      <c r="AV16">
        <v>-17969</v>
      </c>
      <c r="AW16">
        <v>-92175</v>
      </c>
      <c r="AX16">
        <v>875342</v>
      </c>
      <c r="AY16">
        <v>-145728</v>
      </c>
      <c r="AZ16">
        <v>0</v>
      </c>
      <c r="BA16">
        <v>0</v>
      </c>
      <c r="BB16">
        <v>25171324</v>
      </c>
      <c r="BC16">
        <v>2632866</v>
      </c>
      <c r="BD16">
        <v>0</v>
      </c>
      <c r="BE16">
        <v>0</v>
      </c>
      <c r="BF16">
        <v>7423740</v>
      </c>
      <c r="BG16">
        <v>0</v>
      </c>
      <c r="BH16">
        <v>0</v>
      </c>
      <c r="BI16">
        <v>-107016</v>
      </c>
      <c r="BJ16">
        <v>29195</v>
      </c>
      <c r="BK16">
        <v>0</v>
      </c>
      <c r="BL16">
        <v>0</v>
      </c>
      <c r="BM16">
        <v>2876548</v>
      </c>
      <c r="BN16">
        <v>3954182</v>
      </c>
      <c r="BO16">
        <v>527748</v>
      </c>
      <c r="BP16">
        <v>0</v>
      </c>
      <c r="BQ16">
        <v>588250</v>
      </c>
      <c r="BR16">
        <v>0</v>
      </c>
      <c r="BS16">
        <v>0</v>
      </c>
      <c r="BT16">
        <v>-305298</v>
      </c>
      <c r="BU16">
        <v>94429</v>
      </c>
      <c r="BV16">
        <v>1481775</v>
      </c>
      <c r="BW16">
        <v>177519</v>
      </c>
      <c r="BX16">
        <v>0</v>
      </c>
      <c r="BY16">
        <v>0</v>
      </c>
      <c r="BZ16">
        <v>-13074</v>
      </c>
      <c r="CA16">
        <v>0</v>
      </c>
      <c r="CB16">
        <v>-639919</v>
      </c>
      <c r="CC16">
        <v>1742502</v>
      </c>
      <c r="CD16">
        <v>2863600</v>
      </c>
      <c r="CE16">
        <v>140649</v>
      </c>
      <c r="CF16">
        <v>0</v>
      </c>
      <c r="CG16">
        <v>10300718</v>
      </c>
      <c r="CH16">
        <v>336465</v>
      </c>
      <c r="CI16">
        <v>239926</v>
      </c>
      <c r="CJ16">
        <v>-198128</v>
      </c>
      <c r="CK16">
        <v>-243303</v>
      </c>
      <c r="CL16">
        <v>0</v>
      </c>
      <c r="CM16">
        <v>0</v>
      </c>
      <c r="CN16">
        <v>54219</v>
      </c>
      <c r="CO16">
        <v>28672353</v>
      </c>
      <c r="CP16">
        <v>-155136</v>
      </c>
      <c r="CQ16">
        <v>0</v>
      </c>
      <c r="CR16">
        <v>711113</v>
      </c>
      <c r="CS16">
        <v>319741</v>
      </c>
      <c r="CT16">
        <v>0</v>
      </c>
      <c r="CU16">
        <v>-22583</v>
      </c>
      <c r="CV16">
        <v>0</v>
      </c>
      <c r="CW16">
        <v>610053</v>
      </c>
      <c r="CX16">
        <v>-322286</v>
      </c>
      <c r="CY16">
        <v>537320</v>
      </c>
    </row>
    <row r="17" spans="1:103" x14ac:dyDescent="0.3">
      <c r="A17">
        <v>51</v>
      </c>
      <c r="B17" t="s">
        <v>200</v>
      </c>
      <c r="D17">
        <v>0</v>
      </c>
      <c r="E17">
        <v>1448072</v>
      </c>
      <c r="F17">
        <v>0</v>
      </c>
      <c r="G17">
        <v>125039</v>
      </c>
      <c r="H17">
        <v>0</v>
      </c>
      <c r="I17">
        <v>0</v>
      </c>
      <c r="J17">
        <v>4212788</v>
      </c>
      <c r="K17">
        <v>1458842</v>
      </c>
      <c r="L17">
        <v>1599290</v>
      </c>
      <c r="M17">
        <v>26789141</v>
      </c>
      <c r="N17">
        <v>0</v>
      </c>
      <c r="O17">
        <v>488860</v>
      </c>
      <c r="P17">
        <v>0</v>
      </c>
      <c r="Q17">
        <v>795077</v>
      </c>
      <c r="R17">
        <v>611254</v>
      </c>
      <c r="S17">
        <v>455819</v>
      </c>
      <c r="T17">
        <v>0</v>
      </c>
      <c r="U17">
        <v>0</v>
      </c>
      <c r="V17">
        <v>3487793</v>
      </c>
      <c r="W17">
        <v>0</v>
      </c>
      <c r="X17">
        <v>147830</v>
      </c>
      <c r="Y17">
        <v>116584</v>
      </c>
      <c r="Z17">
        <v>0</v>
      </c>
      <c r="AA17">
        <v>2010070</v>
      </c>
      <c r="AB17">
        <v>1399271</v>
      </c>
      <c r="AC17">
        <v>264198</v>
      </c>
      <c r="AD17">
        <v>6710445</v>
      </c>
      <c r="AE17">
        <v>4240916</v>
      </c>
      <c r="AF17">
        <v>327557</v>
      </c>
      <c r="AG17">
        <v>1917783</v>
      </c>
      <c r="AH17">
        <v>1603057</v>
      </c>
      <c r="AI17">
        <v>5085642</v>
      </c>
      <c r="AJ17">
        <v>1903800</v>
      </c>
      <c r="AK17">
        <v>0</v>
      </c>
      <c r="AL17">
        <v>7546483</v>
      </c>
      <c r="AM17">
        <v>0</v>
      </c>
      <c r="AN17">
        <v>254081</v>
      </c>
      <c r="AO17">
        <v>0</v>
      </c>
      <c r="AP17">
        <v>0</v>
      </c>
      <c r="AQ17">
        <v>1068486</v>
      </c>
      <c r="AR17">
        <v>0</v>
      </c>
      <c r="AS17">
        <v>2123662</v>
      </c>
      <c r="AT17">
        <v>19782629</v>
      </c>
      <c r="AU17">
        <v>0</v>
      </c>
      <c r="AV17">
        <v>-9789</v>
      </c>
      <c r="AW17">
        <v>540174</v>
      </c>
      <c r="AX17">
        <v>2830304</v>
      </c>
      <c r="AY17">
        <v>258378</v>
      </c>
      <c r="AZ17">
        <v>0</v>
      </c>
      <c r="BA17">
        <v>0</v>
      </c>
      <c r="BB17">
        <v>22754362</v>
      </c>
      <c r="BC17">
        <v>323729</v>
      </c>
      <c r="BD17">
        <v>0</v>
      </c>
      <c r="BE17">
        <v>0</v>
      </c>
      <c r="BF17">
        <v>13009819</v>
      </c>
      <c r="BG17">
        <v>0</v>
      </c>
      <c r="BH17">
        <v>0</v>
      </c>
      <c r="BI17">
        <v>611086</v>
      </c>
      <c r="BJ17">
        <v>62915</v>
      </c>
      <c r="BK17">
        <v>0</v>
      </c>
      <c r="BL17">
        <v>0</v>
      </c>
      <c r="BM17">
        <v>2065049</v>
      </c>
      <c r="BN17">
        <v>8414447</v>
      </c>
      <c r="BO17">
        <v>1224065</v>
      </c>
      <c r="BP17">
        <v>0</v>
      </c>
      <c r="BQ17">
        <v>1194723</v>
      </c>
      <c r="BR17">
        <v>0</v>
      </c>
      <c r="BS17">
        <v>0</v>
      </c>
      <c r="BT17">
        <v>612432</v>
      </c>
      <c r="BU17">
        <v>961818</v>
      </c>
      <c r="BV17">
        <v>6675404</v>
      </c>
      <c r="BW17">
        <v>764447</v>
      </c>
      <c r="BX17">
        <v>0</v>
      </c>
      <c r="BY17">
        <v>0</v>
      </c>
      <c r="BZ17">
        <v>-17040</v>
      </c>
      <c r="CA17">
        <v>0</v>
      </c>
      <c r="CB17">
        <v>1937242</v>
      </c>
      <c r="CC17">
        <v>8049269</v>
      </c>
      <c r="CD17">
        <v>112663</v>
      </c>
      <c r="CE17">
        <v>-55836</v>
      </c>
      <c r="CF17">
        <v>0</v>
      </c>
      <c r="CG17">
        <v>1834364</v>
      </c>
      <c r="CH17">
        <v>585182</v>
      </c>
      <c r="CI17">
        <v>1035012</v>
      </c>
      <c r="CJ17">
        <v>34125</v>
      </c>
      <c r="CK17">
        <v>160403</v>
      </c>
      <c r="CL17">
        <v>0</v>
      </c>
      <c r="CM17">
        <v>0</v>
      </c>
      <c r="CN17">
        <v>545935</v>
      </c>
      <c r="CO17">
        <v>60378399</v>
      </c>
      <c r="CP17">
        <v>647800</v>
      </c>
      <c r="CQ17">
        <v>0</v>
      </c>
      <c r="CR17">
        <v>1803190</v>
      </c>
      <c r="CS17">
        <v>614112</v>
      </c>
      <c r="CT17">
        <v>0</v>
      </c>
      <c r="CU17">
        <v>150107</v>
      </c>
      <c r="CV17">
        <v>0</v>
      </c>
      <c r="CW17">
        <v>1621747</v>
      </c>
      <c r="CX17">
        <v>68725</v>
      </c>
      <c r="CY17">
        <v>0</v>
      </c>
    </row>
    <row r="18" spans="1:103" x14ac:dyDescent="0.3">
      <c r="A18">
        <v>61</v>
      </c>
      <c r="B18" t="s">
        <v>211</v>
      </c>
      <c r="D18">
        <v>99.11</v>
      </c>
      <c r="E18">
        <v>97.72</v>
      </c>
      <c r="F18">
        <v>98.38</v>
      </c>
      <c r="G18">
        <v>94.12</v>
      </c>
      <c r="H18">
        <v>97.48</v>
      </c>
      <c r="I18">
        <v>98.62</v>
      </c>
      <c r="J18">
        <v>98.73</v>
      </c>
      <c r="K18">
        <v>97.82</v>
      </c>
      <c r="L18">
        <v>96.93</v>
      </c>
      <c r="M18">
        <v>99.09</v>
      </c>
      <c r="N18">
        <v>99.75</v>
      </c>
      <c r="O18">
        <v>98.73</v>
      </c>
      <c r="P18">
        <v>99.38</v>
      </c>
      <c r="Q18">
        <v>97.82</v>
      </c>
      <c r="R18">
        <v>98.17</v>
      </c>
      <c r="S18">
        <v>98.53</v>
      </c>
      <c r="T18">
        <v>98.81</v>
      </c>
      <c r="U18">
        <v>99.05</v>
      </c>
      <c r="V18">
        <v>99.2</v>
      </c>
      <c r="W18">
        <v>98.33</v>
      </c>
      <c r="X18">
        <v>98.52</v>
      </c>
      <c r="Y18">
        <v>97.9</v>
      </c>
      <c r="Z18">
        <v>98.61</v>
      </c>
      <c r="AA18">
        <v>98.04</v>
      </c>
      <c r="AB18">
        <v>98.97</v>
      </c>
      <c r="AC18">
        <v>99.59</v>
      </c>
      <c r="AD18">
        <v>99.34</v>
      </c>
      <c r="AE18">
        <v>99.64</v>
      </c>
      <c r="AF18">
        <v>97.74</v>
      </c>
      <c r="AG18">
        <v>99.08</v>
      </c>
      <c r="AH18">
        <v>97.02</v>
      </c>
      <c r="AI18">
        <v>99.81</v>
      </c>
      <c r="AJ18">
        <v>96.01</v>
      </c>
      <c r="AK18">
        <v>99.38</v>
      </c>
      <c r="AL18">
        <v>98.4</v>
      </c>
      <c r="AM18">
        <v>99.16</v>
      </c>
      <c r="AN18">
        <v>97.28</v>
      </c>
      <c r="AO18">
        <v>97.91</v>
      </c>
      <c r="AP18">
        <v>99.04</v>
      </c>
      <c r="AQ18">
        <v>99.25</v>
      </c>
      <c r="AR18">
        <v>99.39</v>
      </c>
      <c r="AS18">
        <v>98.22</v>
      </c>
      <c r="AT18">
        <v>99.46</v>
      </c>
      <c r="AU18">
        <v>98.51</v>
      </c>
      <c r="AV18">
        <v>99.33</v>
      </c>
      <c r="AW18">
        <v>96.58</v>
      </c>
      <c r="AX18">
        <v>97.3</v>
      </c>
      <c r="AY18">
        <v>95.16</v>
      </c>
      <c r="AZ18">
        <v>99.51</v>
      </c>
      <c r="BA18">
        <v>98.98</v>
      </c>
      <c r="BB18">
        <v>99.9</v>
      </c>
      <c r="BC18">
        <v>96.32</v>
      </c>
      <c r="BD18">
        <v>99.27</v>
      </c>
      <c r="BE18">
        <v>97.5</v>
      </c>
      <c r="BF18">
        <v>99.45</v>
      </c>
      <c r="BG18">
        <v>99</v>
      </c>
      <c r="BH18">
        <v>97</v>
      </c>
      <c r="BI18">
        <v>94.79</v>
      </c>
      <c r="BJ18">
        <v>99.56</v>
      </c>
      <c r="BK18">
        <v>99.49</v>
      </c>
      <c r="BL18">
        <v>97.51</v>
      </c>
      <c r="BM18">
        <v>97.61</v>
      </c>
      <c r="BN18">
        <v>99.53</v>
      </c>
      <c r="BO18">
        <v>99.09</v>
      </c>
      <c r="BP18">
        <v>99.55</v>
      </c>
      <c r="BQ18">
        <v>96.77</v>
      </c>
      <c r="BR18">
        <v>97.93</v>
      </c>
      <c r="BS18">
        <v>99.21</v>
      </c>
      <c r="BT18">
        <v>96.96</v>
      </c>
      <c r="BU18">
        <v>97.38</v>
      </c>
      <c r="BV18">
        <v>96.86</v>
      </c>
      <c r="BW18">
        <v>97.74</v>
      </c>
      <c r="BX18">
        <v>98.62</v>
      </c>
      <c r="BY18">
        <v>99.42</v>
      </c>
      <c r="BZ18">
        <v>98.99</v>
      </c>
      <c r="CA18">
        <v>99.29</v>
      </c>
      <c r="CB18">
        <v>97.71</v>
      </c>
      <c r="CC18">
        <v>95.17</v>
      </c>
      <c r="CD18">
        <v>98.61</v>
      </c>
      <c r="CE18">
        <v>98.1</v>
      </c>
      <c r="CF18">
        <v>98.73</v>
      </c>
      <c r="CG18">
        <v>97.69</v>
      </c>
      <c r="CH18">
        <v>97</v>
      </c>
      <c r="CI18">
        <v>98.26</v>
      </c>
      <c r="CJ18">
        <v>98.13</v>
      </c>
      <c r="CK18">
        <v>99.01</v>
      </c>
      <c r="CL18">
        <v>96.65</v>
      </c>
      <c r="CM18">
        <v>99.84</v>
      </c>
      <c r="CN18">
        <v>97.18</v>
      </c>
      <c r="CO18">
        <v>99.95</v>
      </c>
      <c r="CP18">
        <v>97.73</v>
      </c>
      <c r="CQ18">
        <v>99.92</v>
      </c>
      <c r="CR18">
        <v>98.13</v>
      </c>
      <c r="CS18">
        <v>95.87</v>
      </c>
      <c r="CT18">
        <v>98.7</v>
      </c>
      <c r="CU18">
        <v>98.65</v>
      </c>
      <c r="CV18">
        <v>97.5</v>
      </c>
      <c r="CW18">
        <v>98.83</v>
      </c>
      <c r="CX18">
        <v>98.17</v>
      </c>
      <c r="CY18">
        <v>98.44</v>
      </c>
    </row>
    <row r="19" spans="1:103" x14ac:dyDescent="0.3">
      <c r="A19">
        <v>80</v>
      </c>
      <c r="B19" t="s">
        <v>185</v>
      </c>
      <c r="D19">
        <v>0</v>
      </c>
      <c r="E19">
        <v>8114657</v>
      </c>
      <c r="F19">
        <v>0</v>
      </c>
      <c r="G19">
        <v>8698486</v>
      </c>
      <c r="H19">
        <v>0</v>
      </c>
      <c r="I19">
        <v>0</v>
      </c>
      <c r="J19">
        <v>11868277</v>
      </c>
      <c r="K19">
        <v>1605038</v>
      </c>
      <c r="L19">
        <v>2647102</v>
      </c>
      <c r="M19">
        <v>86709355</v>
      </c>
      <c r="N19">
        <v>0</v>
      </c>
      <c r="O19">
        <v>820512</v>
      </c>
      <c r="P19">
        <v>0</v>
      </c>
      <c r="Q19">
        <v>8664869</v>
      </c>
      <c r="R19">
        <v>3082968</v>
      </c>
      <c r="S19">
        <v>2574707</v>
      </c>
      <c r="T19">
        <v>0</v>
      </c>
      <c r="U19">
        <v>0</v>
      </c>
      <c r="V19">
        <v>28704518</v>
      </c>
      <c r="W19">
        <v>0</v>
      </c>
      <c r="X19">
        <v>3117143</v>
      </c>
      <c r="Y19">
        <v>305718</v>
      </c>
      <c r="Z19">
        <v>0</v>
      </c>
      <c r="AA19">
        <v>5669493</v>
      </c>
      <c r="AB19">
        <v>13464594</v>
      </c>
      <c r="AC19">
        <v>1267099</v>
      </c>
      <c r="AD19">
        <v>21173152</v>
      </c>
      <c r="AE19">
        <v>5503460</v>
      </c>
      <c r="AF19">
        <v>1615328</v>
      </c>
      <c r="AG19">
        <v>13151285</v>
      </c>
      <c r="AH19">
        <v>11362303</v>
      </c>
      <c r="AI19">
        <v>37173725</v>
      </c>
      <c r="AJ19">
        <v>1592913</v>
      </c>
      <c r="AK19">
        <v>0</v>
      </c>
      <c r="AL19">
        <v>23757017</v>
      </c>
      <c r="AM19">
        <v>0</v>
      </c>
      <c r="AN19">
        <v>2680842</v>
      </c>
      <c r="AO19">
        <v>0</v>
      </c>
      <c r="AP19">
        <v>0</v>
      </c>
      <c r="AQ19">
        <v>2281167</v>
      </c>
      <c r="AR19">
        <v>0</v>
      </c>
      <c r="AS19">
        <v>4840784</v>
      </c>
      <c r="AT19">
        <v>80117751</v>
      </c>
      <c r="AU19">
        <v>0</v>
      </c>
      <c r="AV19">
        <v>724724</v>
      </c>
      <c r="AW19">
        <v>3818305</v>
      </c>
      <c r="AX19">
        <v>9049077</v>
      </c>
      <c r="AY19">
        <v>540068</v>
      </c>
      <c r="AZ19">
        <v>0</v>
      </c>
      <c r="BA19">
        <v>0</v>
      </c>
      <c r="BB19">
        <v>75807657</v>
      </c>
      <c r="BC19">
        <v>4881347</v>
      </c>
      <c r="BD19">
        <v>0</v>
      </c>
      <c r="BE19">
        <v>0</v>
      </c>
      <c r="BF19">
        <v>24244939</v>
      </c>
      <c r="BG19">
        <v>0</v>
      </c>
      <c r="BH19">
        <v>0</v>
      </c>
      <c r="BI19">
        <v>21507</v>
      </c>
      <c r="BJ19">
        <v>191155</v>
      </c>
      <c r="BK19">
        <v>0</v>
      </c>
      <c r="BL19">
        <v>0</v>
      </c>
      <c r="BM19">
        <v>7089272</v>
      </c>
      <c r="BN19">
        <v>24798438</v>
      </c>
      <c r="BO19">
        <v>1462544</v>
      </c>
      <c r="BP19">
        <v>0</v>
      </c>
      <c r="BQ19">
        <v>952243</v>
      </c>
      <c r="BR19">
        <v>0</v>
      </c>
      <c r="BS19">
        <v>0</v>
      </c>
      <c r="BT19">
        <v>3238388</v>
      </c>
      <c r="BU19">
        <v>9531791</v>
      </c>
      <c r="BV19">
        <v>16726585</v>
      </c>
      <c r="BW19">
        <v>1422006</v>
      </c>
      <c r="BX19">
        <v>0</v>
      </c>
      <c r="BY19">
        <v>0</v>
      </c>
      <c r="BZ19">
        <v>197436</v>
      </c>
      <c r="CA19">
        <v>0</v>
      </c>
      <c r="CB19">
        <v>12320252</v>
      </c>
      <c r="CC19">
        <v>13957804</v>
      </c>
      <c r="CD19">
        <v>1600345</v>
      </c>
      <c r="CE19">
        <v>1318410</v>
      </c>
      <c r="CF19">
        <v>0</v>
      </c>
      <c r="CG19">
        <v>9391915</v>
      </c>
      <c r="CH19">
        <v>2704181</v>
      </c>
      <c r="CI19">
        <v>3770633</v>
      </c>
      <c r="CJ19">
        <v>514637</v>
      </c>
      <c r="CK19">
        <v>1311393</v>
      </c>
      <c r="CL19">
        <v>0</v>
      </c>
      <c r="CM19">
        <v>0</v>
      </c>
      <c r="CN19">
        <v>1823300</v>
      </c>
      <c r="CO19">
        <v>162866722</v>
      </c>
      <c r="CP19">
        <v>1143853</v>
      </c>
      <c r="CQ19">
        <v>0</v>
      </c>
      <c r="CR19">
        <v>8127150</v>
      </c>
      <c r="CS19">
        <v>2066262</v>
      </c>
      <c r="CT19">
        <v>0</v>
      </c>
      <c r="CU19">
        <v>702263</v>
      </c>
      <c r="CV19">
        <v>0</v>
      </c>
      <c r="CW19">
        <v>4927551</v>
      </c>
      <c r="CX19">
        <v>564250</v>
      </c>
      <c r="CY19">
        <v>0</v>
      </c>
    </row>
    <row r="20" spans="1:103" x14ac:dyDescent="0.3">
      <c r="A20">
        <v>81</v>
      </c>
      <c r="B20" t="s">
        <v>186</v>
      </c>
      <c r="D20">
        <v>0</v>
      </c>
      <c r="E20">
        <v>435379</v>
      </c>
      <c r="F20">
        <v>0</v>
      </c>
      <c r="G20">
        <v>783470</v>
      </c>
      <c r="H20">
        <v>0</v>
      </c>
      <c r="I20">
        <v>0</v>
      </c>
      <c r="J20">
        <v>1228407</v>
      </c>
      <c r="K20">
        <v>384658</v>
      </c>
      <c r="L20">
        <v>519990</v>
      </c>
      <c r="M20">
        <v>11332602</v>
      </c>
      <c r="N20">
        <v>0</v>
      </c>
      <c r="O20">
        <v>134096</v>
      </c>
      <c r="P20">
        <v>0</v>
      </c>
      <c r="Q20">
        <v>565414</v>
      </c>
      <c r="R20">
        <v>153534</v>
      </c>
      <c r="S20">
        <v>98140</v>
      </c>
      <c r="T20">
        <v>0</v>
      </c>
      <c r="U20">
        <v>0</v>
      </c>
      <c r="V20">
        <v>3614980</v>
      </c>
      <c r="W20">
        <v>0</v>
      </c>
      <c r="X20">
        <v>412180</v>
      </c>
      <c r="Y20">
        <v>172509</v>
      </c>
      <c r="Z20">
        <v>0</v>
      </c>
      <c r="AA20">
        <v>608510</v>
      </c>
      <c r="AB20">
        <v>761052</v>
      </c>
      <c r="AC20">
        <v>152850</v>
      </c>
      <c r="AD20">
        <v>1885209</v>
      </c>
      <c r="AE20">
        <v>3739325</v>
      </c>
      <c r="AF20">
        <v>77733</v>
      </c>
      <c r="AG20">
        <v>1549374</v>
      </c>
      <c r="AH20">
        <v>481961</v>
      </c>
      <c r="AI20">
        <v>158959</v>
      </c>
      <c r="AJ20">
        <v>875986</v>
      </c>
      <c r="AK20">
        <v>0</v>
      </c>
      <c r="AL20">
        <v>2579184</v>
      </c>
      <c r="AM20">
        <v>0</v>
      </c>
      <c r="AN20">
        <v>163406</v>
      </c>
      <c r="AO20">
        <v>0</v>
      </c>
      <c r="AP20">
        <v>0</v>
      </c>
      <c r="AQ20">
        <v>280237</v>
      </c>
      <c r="AR20">
        <v>0</v>
      </c>
      <c r="AS20">
        <v>777471</v>
      </c>
      <c r="AT20">
        <v>6669385</v>
      </c>
      <c r="AU20">
        <v>0</v>
      </c>
      <c r="AV20">
        <v>3750</v>
      </c>
      <c r="AW20">
        <v>155269</v>
      </c>
      <c r="AX20">
        <v>954851</v>
      </c>
      <c r="AY20">
        <v>156846</v>
      </c>
      <c r="AZ20">
        <v>0</v>
      </c>
      <c r="BA20">
        <v>0</v>
      </c>
      <c r="BB20">
        <v>6191479</v>
      </c>
      <c r="BC20">
        <v>224733</v>
      </c>
      <c r="BD20">
        <v>0</v>
      </c>
      <c r="BE20">
        <v>0</v>
      </c>
      <c r="BF20">
        <v>1051102</v>
      </c>
      <c r="BG20">
        <v>0</v>
      </c>
      <c r="BH20">
        <v>0</v>
      </c>
      <c r="BI20">
        <v>209084</v>
      </c>
      <c r="BJ20">
        <v>15787</v>
      </c>
      <c r="BK20">
        <v>0</v>
      </c>
      <c r="BL20">
        <v>0</v>
      </c>
      <c r="BM20">
        <v>891873</v>
      </c>
      <c r="BN20">
        <v>2192674</v>
      </c>
      <c r="BO20">
        <v>383637</v>
      </c>
      <c r="BP20">
        <v>0</v>
      </c>
      <c r="BQ20">
        <v>715864</v>
      </c>
      <c r="BR20">
        <v>0</v>
      </c>
      <c r="BS20">
        <v>0</v>
      </c>
      <c r="BT20">
        <v>371126</v>
      </c>
      <c r="BU20">
        <v>520559</v>
      </c>
      <c r="BV20">
        <v>1207875</v>
      </c>
      <c r="BW20">
        <v>122218</v>
      </c>
      <c r="BX20">
        <v>0</v>
      </c>
      <c r="BY20">
        <v>0</v>
      </c>
      <c r="BZ20">
        <v>216424</v>
      </c>
      <c r="CA20">
        <v>0</v>
      </c>
      <c r="CB20">
        <v>772224</v>
      </c>
      <c r="CC20">
        <v>210445</v>
      </c>
      <c r="CD20">
        <v>1323987</v>
      </c>
      <c r="CE20">
        <v>51759</v>
      </c>
      <c r="CF20">
        <v>0</v>
      </c>
      <c r="CG20">
        <v>683658</v>
      </c>
      <c r="CH20">
        <v>137296</v>
      </c>
      <c r="CI20">
        <v>890349</v>
      </c>
      <c r="CJ20">
        <v>13014</v>
      </c>
      <c r="CK20">
        <v>32750</v>
      </c>
      <c r="CL20">
        <v>0</v>
      </c>
      <c r="CM20">
        <v>0</v>
      </c>
      <c r="CN20">
        <v>158212</v>
      </c>
      <c r="CO20">
        <v>12272111</v>
      </c>
      <c r="CP20">
        <v>147870</v>
      </c>
      <c r="CQ20">
        <v>0</v>
      </c>
      <c r="CR20">
        <v>411522</v>
      </c>
      <c r="CS20">
        <v>179815</v>
      </c>
      <c r="CT20">
        <v>0</v>
      </c>
      <c r="CU20">
        <v>65517</v>
      </c>
      <c r="CV20">
        <v>0</v>
      </c>
      <c r="CW20">
        <v>425332</v>
      </c>
      <c r="CX20">
        <v>44266</v>
      </c>
      <c r="CY20">
        <v>0</v>
      </c>
    </row>
    <row r="21" spans="1:103" x14ac:dyDescent="0.3">
      <c r="A21">
        <v>82</v>
      </c>
      <c r="B21" t="s">
        <v>260</v>
      </c>
      <c r="D21">
        <v>0</v>
      </c>
      <c r="E21">
        <v>12081028</v>
      </c>
      <c r="F21">
        <v>0</v>
      </c>
      <c r="G21">
        <v>794455</v>
      </c>
      <c r="H21">
        <v>0</v>
      </c>
      <c r="I21">
        <v>0</v>
      </c>
      <c r="J21">
        <v>35304716</v>
      </c>
      <c r="K21">
        <v>12381909</v>
      </c>
      <c r="L21">
        <v>20313277</v>
      </c>
      <c r="M21">
        <v>320222235</v>
      </c>
      <c r="N21">
        <v>0</v>
      </c>
      <c r="O21">
        <v>1116546</v>
      </c>
      <c r="P21">
        <v>0</v>
      </c>
      <c r="Q21">
        <v>0</v>
      </c>
      <c r="R21">
        <v>3449640</v>
      </c>
      <c r="S21">
        <v>1497032</v>
      </c>
      <c r="T21">
        <v>0</v>
      </c>
      <c r="U21">
        <v>0</v>
      </c>
      <c r="V21">
        <v>10514558</v>
      </c>
      <c r="W21">
        <v>0</v>
      </c>
      <c r="X21">
        <v>0</v>
      </c>
      <c r="Y21">
        <v>790766</v>
      </c>
      <c r="Z21">
        <v>0</v>
      </c>
      <c r="AA21">
        <v>17302464</v>
      </c>
      <c r="AB21">
        <v>12374589</v>
      </c>
      <c r="AC21">
        <v>15155324</v>
      </c>
      <c r="AD21">
        <v>13793647</v>
      </c>
      <c r="AE21">
        <v>22995355</v>
      </c>
      <c r="AF21">
        <v>5243352</v>
      </c>
      <c r="AG21">
        <v>14615479</v>
      </c>
      <c r="AH21">
        <v>13948796</v>
      </c>
      <c r="AI21">
        <v>11753302</v>
      </c>
      <c r="AJ21">
        <v>14420510</v>
      </c>
      <c r="AK21">
        <v>0</v>
      </c>
      <c r="AL21">
        <v>14742419</v>
      </c>
      <c r="AM21">
        <v>0</v>
      </c>
      <c r="AN21">
        <v>0</v>
      </c>
      <c r="AO21">
        <v>0</v>
      </c>
      <c r="AP21">
        <v>0</v>
      </c>
      <c r="AQ21">
        <v>16002305</v>
      </c>
      <c r="AR21">
        <v>0</v>
      </c>
      <c r="AS21">
        <v>16965590</v>
      </c>
      <c r="AT21">
        <v>41472316</v>
      </c>
      <c r="AU21">
        <v>0</v>
      </c>
      <c r="AV21">
        <v>0</v>
      </c>
      <c r="AW21">
        <v>5968305</v>
      </c>
      <c r="AX21">
        <v>21519225</v>
      </c>
      <c r="AY21">
        <v>2032164</v>
      </c>
      <c r="AZ21">
        <v>0</v>
      </c>
      <c r="BA21">
        <v>0</v>
      </c>
      <c r="BB21">
        <v>236644890</v>
      </c>
      <c r="BC21">
        <v>8778279</v>
      </c>
      <c r="BD21">
        <v>326749</v>
      </c>
      <c r="BE21">
        <v>0</v>
      </c>
      <c r="BF21">
        <v>53674767</v>
      </c>
      <c r="BG21">
        <v>0</v>
      </c>
      <c r="BH21">
        <v>0</v>
      </c>
      <c r="BI21">
        <v>11845075</v>
      </c>
      <c r="BJ21">
        <v>0</v>
      </c>
      <c r="BK21">
        <v>0</v>
      </c>
      <c r="BL21">
        <v>0</v>
      </c>
      <c r="BM21">
        <v>9044668</v>
      </c>
      <c r="BN21">
        <v>40402174</v>
      </c>
      <c r="BO21">
        <v>18089000</v>
      </c>
      <c r="BP21">
        <v>0</v>
      </c>
      <c r="BQ21">
        <v>9061284</v>
      </c>
      <c r="BR21">
        <v>0</v>
      </c>
      <c r="BS21">
        <v>0</v>
      </c>
      <c r="BT21">
        <v>2687151</v>
      </c>
      <c r="BU21">
        <v>7550097</v>
      </c>
      <c r="BV21">
        <v>65212680</v>
      </c>
      <c r="BW21">
        <v>1234076</v>
      </c>
      <c r="BX21">
        <v>0</v>
      </c>
      <c r="BY21">
        <v>0</v>
      </c>
      <c r="BZ21">
        <v>0</v>
      </c>
      <c r="CA21">
        <v>6094180</v>
      </c>
      <c r="CB21">
        <v>9534549</v>
      </c>
      <c r="CC21">
        <v>7602006</v>
      </c>
      <c r="CD21">
        <v>2074763</v>
      </c>
      <c r="CE21">
        <v>0</v>
      </c>
      <c r="CF21">
        <v>0</v>
      </c>
      <c r="CG21">
        <v>12256558</v>
      </c>
      <c r="CH21">
        <v>2379450</v>
      </c>
      <c r="CI21">
        <v>12371915</v>
      </c>
      <c r="CJ21">
        <v>0</v>
      </c>
      <c r="CK21">
        <v>7592422</v>
      </c>
      <c r="CL21">
        <v>0</v>
      </c>
      <c r="CM21">
        <v>0</v>
      </c>
      <c r="CN21">
        <v>0</v>
      </c>
      <c r="CO21">
        <v>476711975</v>
      </c>
      <c r="CP21">
        <v>11040406</v>
      </c>
      <c r="CQ21">
        <v>0</v>
      </c>
      <c r="CR21">
        <v>11975570</v>
      </c>
      <c r="CS21">
        <v>3499909</v>
      </c>
      <c r="CT21">
        <v>0</v>
      </c>
      <c r="CU21">
        <v>4223000</v>
      </c>
      <c r="CV21">
        <v>0</v>
      </c>
      <c r="CW21">
        <v>7590799</v>
      </c>
      <c r="CX21">
        <v>3261444</v>
      </c>
      <c r="CY21">
        <v>291196</v>
      </c>
    </row>
    <row r="22" spans="1:103" x14ac:dyDescent="0.3">
      <c r="A22">
        <v>83</v>
      </c>
      <c r="B22" t="s">
        <v>86</v>
      </c>
      <c r="D22">
        <v>0</v>
      </c>
      <c r="E22">
        <v>20349581</v>
      </c>
      <c r="F22">
        <v>0</v>
      </c>
      <c r="G22">
        <v>32239266</v>
      </c>
      <c r="H22">
        <v>0</v>
      </c>
      <c r="I22">
        <v>0</v>
      </c>
      <c r="J22">
        <v>36089870</v>
      </c>
      <c r="K22">
        <v>16963665</v>
      </c>
      <c r="L22">
        <v>7054837</v>
      </c>
      <c r="M22">
        <v>384938991</v>
      </c>
      <c r="N22">
        <v>0</v>
      </c>
      <c r="O22">
        <v>14555987</v>
      </c>
      <c r="P22">
        <v>0</v>
      </c>
      <c r="Q22">
        <v>14726697</v>
      </c>
      <c r="R22">
        <v>23036200</v>
      </c>
      <c r="S22">
        <v>5812673</v>
      </c>
      <c r="T22">
        <v>0</v>
      </c>
      <c r="U22">
        <v>0</v>
      </c>
      <c r="V22">
        <v>68630238</v>
      </c>
      <c r="W22">
        <v>0</v>
      </c>
      <c r="X22">
        <v>5966686</v>
      </c>
      <c r="Y22">
        <v>3387433</v>
      </c>
      <c r="Z22">
        <v>0</v>
      </c>
      <c r="AA22">
        <v>12689449</v>
      </c>
      <c r="AB22">
        <v>40041114</v>
      </c>
      <c r="AC22">
        <v>10793910</v>
      </c>
      <c r="AD22">
        <v>58674746</v>
      </c>
      <c r="AE22">
        <v>57122697</v>
      </c>
      <c r="AF22">
        <v>10032176</v>
      </c>
      <c r="AG22">
        <v>41327494</v>
      </c>
      <c r="AH22">
        <v>35980780</v>
      </c>
      <c r="AI22">
        <v>106977915</v>
      </c>
      <c r="AJ22">
        <v>40188154</v>
      </c>
      <c r="AK22">
        <v>0</v>
      </c>
      <c r="AL22">
        <v>44813636</v>
      </c>
      <c r="AM22">
        <v>0</v>
      </c>
      <c r="AN22">
        <v>9238385</v>
      </c>
      <c r="AO22">
        <v>0</v>
      </c>
      <c r="AP22">
        <v>0</v>
      </c>
      <c r="AQ22">
        <v>34976200</v>
      </c>
      <c r="AR22">
        <v>0</v>
      </c>
      <c r="AS22">
        <v>13469062</v>
      </c>
      <c r="AT22">
        <v>366084261</v>
      </c>
      <c r="AU22">
        <v>0</v>
      </c>
      <c r="AV22">
        <v>906787</v>
      </c>
      <c r="AW22">
        <v>9156150</v>
      </c>
      <c r="AX22">
        <v>50594100</v>
      </c>
      <c r="AY22">
        <v>7576878</v>
      </c>
      <c r="AZ22">
        <v>0</v>
      </c>
      <c r="BA22">
        <v>0</v>
      </c>
      <c r="BB22">
        <v>216854876</v>
      </c>
      <c r="BC22">
        <v>12173662</v>
      </c>
      <c r="BD22">
        <v>-326749</v>
      </c>
      <c r="BE22">
        <v>0</v>
      </c>
      <c r="BF22">
        <v>100055896</v>
      </c>
      <c r="BG22">
        <v>0</v>
      </c>
      <c r="BH22">
        <v>0</v>
      </c>
      <c r="BI22">
        <v>1437212</v>
      </c>
      <c r="BJ22">
        <v>6083635</v>
      </c>
      <c r="BK22">
        <v>0</v>
      </c>
      <c r="BL22">
        <v>0</v>
      </c>
      <c r="BM22">
        <v>27741448</v>
      </c>
      <c r="BN22">
        <v>52708492</v>
      </c>
      <c r="BO22">
        <v>22264942</v>
      </c>
      <c r="BP22">
        <v>0</v>
      </c>
      <c r="BQ22">
        <v>11726441</v>
      </c>
      <c r="BR22">
        <v>0</v>
      </c>
      <c r="BS22">
        <v>0</v>
      </c>
      <c r="BT22">
        <v>12371200</v>
      </c>
      <c r="BU22">
        <v>24728739</v>
      </c>
      <c r="BV22">
        <v>47708013</v>
      </c>
      <c r="BW22">
        <v>8313831</v>
      </c>
      <c r="BX22">
        <v>0</v>
      </c>
      <c r="BY22">
        <v>0</v>
      </c>
      <c r="BZ22">
        <v>11286972</v>
      </c>
      <c r="CA22">
        <v>0</v>
      </c>
      <c r="CB22">
        <v>37706046</v>
      </c>
      <c r="CC22">
        <v>32673029</v>
      </c>
      <c r="CD22">
        <v>26036877</v>
      </c>
      <c r="CE22">
        <v>4427014</v>
      </c>
      <c r="CF22">
        <v>0</v>
      </c>
      <c r="CG22">
        <v>25935301</v>
      </c>
      <c r="CH22">
        <v>3179681</v>
      </c>
      <c r="CI22">
        <v>20464384</v>
      </c>
      <c r="CJ22">
        <v>5187815</v>
      </c>
      <c r="CK22">
        <v>8512998</v>
      </c>
      <c r="CL22">
        <v>0</v>
      </c>
      <c r="CM22">
        <v>0</v>
      </c>
      <c r="CN22">
        <v>14267356</v>
      </c>
      <c r="CO22">
        <v>388050832</v>
      </c>
      <c r="CP22">
        <v>4740547</v>
      </c>
      <c r="CQ22">
        <v>0</v>
      </c>
      <c r="CR22">
        <v>23613833</v>
      </c>
      <c r="CS22">
        <v>3366223</v>
      </c>
      <c r="CT22">
        <v>0</v>
      </c>
      <c r="CU22">
        <v>2708052</v>
      </c>
      <c r="CV22">
        <v>0</v>
      </c>
      <c r="CW22">
        <v>13880316</v>
      </c>
      <c r="CX22">
        <v>6426426</v>
      </c>
      <c r="CY22">
        <v>7619925</v>
      </c>
    </row>
    <row r="23" spans="1:103" x14ac:dyDescent="0.3">
      <c r="A23">
        <v>84</v>
      </c>
      <c r="B23" t="s">
        <v>191</v>
      </c>
      <c r="D23">
        <v>0</v>
      </c>
      <c r="E23">
        <v>3647512</v>
      </c>
      <c r="F23">
        <v>0</v>
      </c>
      <c r="G23">
        <v>7059877</v>
      </c>
      <c r="H23">
        <v>0</v>
      </c>
      <c r="I23">
        <v>0</v>
      </c>
      <c r="J23">
        <v>8480847</v>
      </c>
      <c r="K23">
        <v>3115200</v>
      </c>
      <c r="L23">
        <v>2777076</v>
      </c>
      <c r="M23">
        <v>82511173</v>
      </c>
      <c r="N23">
        <v>0</v>
      </c>
      <c r="O23">
        <v>1924170</v>
      </c>
      <c r="P23">
        <v>0</v>
      </c>
      <c r="Q23">
        <v>4052685</v>
      </c>
      <c r="R23">
        <v>1942706</v>
      </c>
      <c r="S23">
        <v>1095905</v>
      </c>
      <c r="T23">
        <v>0</v>
      </c>
      <c r="U23">
        <v>0</v>
      </c>
      <c r="V23">
        <v>12065738</v>
      </c>
      <c r="W23">
        <v>0</v>
      </c>
      <c r="X23">
        <v>1745861</v>
      </c>
      <c r="Y23">
        <v>869350</v>
      </c>
      <c r="Z23">
        <v>0</v>
      </c>
      <c r="AA23">
        <v>4143908</v>
      </c>
      <c r="AB23">
        <v>4464707</v>
      </c>
      <c r="AC23">
        <v>738441</v>
      </c>
      <c r="AD23">
        <v>12233037</v>
      </c>
      <c r="AE23">
        <v>14895938</v>
      </c>
      <c r="AF23">
        <v>992972</v>
      </c>
      <c r="AG23">
        <v>7466081</v>
      </c>
      <c r="AH23">
        <v>3876379</v>
      </c>
      <c r="AI23">
        <v>12802376</v>
      </c>
      <c r="AJ23">
        <v>4827699</v>
      </c>
      <c r="AK23">
        <v>0</v>
      </c>
      <c r="AL23">
        <v>15865824</v>
      </c>
      <c r="AM23">
        <v>0</v>
      </c>
      <c r="AN23">
        <v>997674</v>
      </c>
      <c r="AO23">
        <v>0</v>
      </c>
      <c r="AP23">
        <v>0</v>
      </c>
      <c r="AQ23">
        <v>3030094</v>
      </c>
      <c r="AR23">
        <v>0</v>
      </c>
      <c r="AS23">
        <v>6478116</v>
      </c>
      <c r="AT23">
        <v>49139362</v>
      </c>
      <c r="AU23">
        <v>0</v>
      </c>
      <c r="AV23">
        <v>45000</v>
      </c>
      <c r="AW23">
        <v>1369460</v>
      </c>
      <c r="AX23">
        <v>8654107</v>
      </c>
      <c r="AY23">
        <v>1789866</v>
      </c>
      <c r="AZ23">
        <v>0</v>
      </c>
      <c r="BA23">
        <v>0</v>
      </c>
      <c r="BB23">
        <v>56872352</v>
      </c>
      <c r="BC23">
        <v>1753270</v>
      </c>
      <c r="BD23">
        <v>0</v>
      </c>
      <c r="BE23">
        <v>0</v>
      </c>
      <c r="BF23">
        <v>18795290</v>
      </c>
      <c r="BG23">
        <v>0</v>
      </c>
      <c r="BH23">
        <v>0</v>
      </c>
      <c r="BI23">
        <v>1649582</v>
      </c>
      <c r="BJ23">
        <v>175678</v>
      </c>
      <c r="BK23">
        <v>0</v>
      </c>
      <c r="BL23">
        <v>0</v>
      </c>
      <c r="BM23">
        <v>4445014</v>
      </c>
      <c r="BN23">
        <v>23173154</v>
      </c>
      <c r="BO23">
        <v>3349102</v>
      </c>
      <c r="BP23">
        <v>0</v>
      </c>
      <c r="BQ23">
        <v>3583302</v>
      </c>
      <c r="BR23">
        <v>0</v>
      </c>
      <c r="BS23">
        <v>0</v>
      </c>
      <c r="BT23">
        <v>2804351</v>
      </c>
      <c r="BU23">
        <v>6363725</v>
      </c>
      <c r="BV23">
        <v>13660012</v>
      </c>
      <c r="BW23">
        <v>2604786</v>
      </c>
      <c r="BX23">
        <v>0</v>
      </c>
      <c r="BY23">
        <v>0</v>
      </c>
      <c r="BZ23">
        <v>31652</v>
      </c>
      <c r="CA23">
        <v>0</v>
      </c>
      <c r="CB23">
        <v>6502736</v>
      </c>
      <c r="CC23">
        <v>18066624</v>
      </c>
      <c r="CD23">
        <v>1116915</v>
      </c>
      <c r="CE23">
        <v>249550</v>
      </c>
      <c r="CF23">
        <v>0</v>
      </c>
      <c r="CG23">
        <v>3575435</v>
      </c>
      <c r="CH23">
        <v>1623505</v>
      </c>
      <c r="CI23">
        <v>5916020</v>
      </c>
      <c r="CJ23">
        <v>333051</v>
      </c>
      <c r="CK23">
        <v>294838</v>
      </c>
      <c r="CL23">
        <v>0</v>
      </c>
      <c r="CM23">
        <v>0</v>
      </c>
      <c r="CN23">
        <v>1646827</v>
      </c>
      <c r="CO23">
        <v>75480900</v>
      </c>
      <c r="CP23">
        <v>1251511</v>
      </c>
      <c r="CQ23">
        <v>0</v>
      </c>
      <c r="CR23">
        <v>3801671</v>
      </c>
      <c r="CS23">
        <v>1398690</v>
      </c>
      <c r="CT23">
        <v>0</v>
      </c>
      <c r="CU23">
        <v>625391</v>
      </c>
      <c r="CV23">
        <v>0</v>
      </c>
      <c r="CW23">
        <v>2883714</v>
      </c>
      <c r="CX23">
        <v>360906</v>
      </c>
      <c r="CY23">
        <v>0</v>
      </c>
    </row>
    <row r="24" spans="1:103" x14ac:dyDescent="0.3">
      <c r="A24">
        <v>85</v>
      </c>
      <c r="B24" t="s">
        <v>193</v>
      </c>
      <c r="D24">
        <v>0</v>
      </c>
      <c r="E24">
        <v>2906848</v>
      </c>
      <c r="F24">
        <v>0</v>
      </c>
      <c r="G24">
        <v>8600698</v>
      </c>
      <c r="H24">
        <v>0</v>
      </c>
      <c r="I24">
        <v>0</v>
      </c>
      <c r="J24">
        <v>6587737</v>
      </c>
      <c r="K24">
        <v>2440814</v>
      </c>
      <c r="L24">
        <v>2863590</v>
      </c>
      <c r="M24">
        <v>46250235</v>
      </c>
      <c r="N24">
        <v>0</v>
      </c>
      <c r="O24">
        <v>2172323</v>
      </c>
      <c r="P24">
        <v>0</v>
      </c>
      <c r="Q24">
        <v>3329897</v>
      </c>
      <c r="R24">
        <v>1916891</v>
      </c>
      <c r="S24">
        <v>1005214</v>
      </c>
      <c r="T24">
        <v>0</v>
      </c>
      <c r="U24">
        <v>0</v>
      </c>
      <c r="V24">
        <v>7883107</v>
      </c>
      <c r="W24">
        <v>0</v>
      </c>
      <c r="X24">
        <v>1785041</v>
      </c>
      <c r="Y24">
        <v>1178719</v>
      </c>
      <c r="Z24">
        <v>0</v>
      </c>
      <c r="AA24">
        <v>3369883</v>
      </c>
      <c r="AB24">
        <v>4305328</v>
      </c>
      <c r="AC24">
        <v>881929</v>
      </c>
      <c r="AD24">
        <v>9378021</v>
      </c>
      <c r="AE24">
        <v>13291861</v>
      </c>
      <c r="AF24">
        <v>1013522</v>
      </c>
      <c r="AG24">
        <v>5976654</v>
      </c>
      <c r="AH24">
        <v>2920556</v>
      </c>
      <c r="AI24">
        <v>10086364</v>
      </c>
      <c r="AJ24">
        <v>4530483</v>
      </c>
      <c r="AK24">
        <v>0</v>
      </c>
      <c r="AL24">
        <v>10956120</v>
      </c>
      <c r="AM24">
        <v>0</v>
      </c>
      <c r="AN24">
        <v>1162707</v>
      </c>
      <c r="AO24">
        <v>0</v>
      </c>
      <c r="AP24">
        <v>0</v>
      </c>
      <c r="AQ24">
        <v>3589172</v>
      </c>
      <c r="AR24">
        <v>0</v>
      </c>
      <c r="AS24">
        <v>6359326</v>
      </c>
      <c r="AT24">
        <v>38260890</v>
      </c>
      <c r="AU24">
        <v>0</v>
      </c>
      <c r="AV24">
        <v>66001</v>
      </c>
      <c r="AW24">
        <v>1328829</v>
      </c>
      <c r="AX24">
        <v>8626864</v>
      </c>
      <c r="AY24">
        <v>1922313</v>
      </c>
      <c r="AZ24">
        <v>0</v>
      </c>
      <c r="BA24">
        <v>0</v>
      </c>
      <c r="BB24">
        <v>42629005</v>
      </c>
      <c r="BC24">
        <v>1606292</v>
      </c>
      <c r="BD24">
        <v>0</v>
      </c>
      <c r="BE24">
        <v>0</v>
      </c>
      <c r="BF24">
        <v>12544549</v>
      </c>
      <c r="BG24">
        <v>0</v>
      </c>
      <c r="BH24">
        <v>0</v>
      </c>
      <c r="BI24">
        <v>1403970</v>
      </c>
      <c r="BJ24">
        <v>259592</v>
      </c>
      <c r="BK24">
        <v>0</v>
      </c>
      <c r="BL24">
        <v>0</v>
      </c>
      <c r="BM24">
        <v>3495266</v>
      </c>
      <c r="BN24">
        <v>19892506</v>
      </c>
      <c r="BO24">
        <v>3003422</v>
      </c>
      <c r="BP24">
        <v>0</v>
      </c>
      <c r="BQ24">
        <v>2918326</v>
      </c>
      <c r="BR24">
        <v>0</v>
      </c>
      <c r="BS24">
        <v>0</v>
      </c>
      <c r="BT24">
        <v>2990466</v>
      </c>
      <c r="BU24">
        <v>6561667</v>
      </c>
      <c r="BV24">
        <v>10725958</v>
      </c>
      <c r="BW24">
        <v>2414173</v>
      </c>
      <c r="BX24">
        <v>0</v>
      </c>
      <c r="BY24">
        <v>0</v>
      </c>
      <c r="BZ24">
        <v>281107</v>
      </c>
      <c r="CA24">
        <v>0</v>
      </c>
      <c r="CB24">
        <v>7055319</v>
      </c>
      <c r="CC24">
        <v>16234024</v>
      </c>
      <c r="CD24">
        <v>1546787</v>
      </c>
      <c r="CE24">
        <v>337564</v>
      </c>
      <c r="CF24">
        <v>0</v>
      </c>
      <c r="CG24">
        <v>3215534</v>
      </c>
      <c r="CH24">
        <v>1349809</v>
      </c>
      <c r="CI24">
        <v>6489118</v>
      </c>
      <c r="CJ24">
        <v>531799</v>
      </c>
      <c r="CK24">
        <v>484742</v>
      </c>
      <c r="CL24">
        <v>0</v>
      </c>
      <c r="CM24">
        <v>0</v>
      </c>
      <c r="CN24">
        <v>1666709</v>
      </c>
      <c r="CO24">
        <v>53595378</v>
      </c>
      <c r="CP24">
        <v>1079751</v>
      </c>
      <c r="CQ24">
        <v>0</v>
      </c>
      <c r="CR24">
        <v>3489064</v>
      </c>
      <c r="CS24">
        <v>1008663</v>
      </c>
      <c r="CT24">
        <v>0</v>
      </c>
      <c r="CU24">
        <v>746855</v>
      </c>
      <c r="CV24">
        <v>0</v>
      </c>
      <c r="CW24">
        <v>2000418</v>
      </c>
      <c r="CX24">
        <v>683192</v>
      </c>
      <c r="CY24">
        <v>0</v>
      </c>
    </row>
    <row r="25" spans="1:103" x14ac:dyDescent="0.3">
      <c r="A25">
        <v>88</v>
      </c>
      <c r="B25" t="s">
        <v>190</v>
      </c>
      <c r="D25">
        <v>0</v>
      </c>
      <c r="E25">
        <v>3647512</v>
      </c>
      <c r="F25">
        <v>0</v>
      </c>
      <c r="G25">
        <v>7024216</v>
      </c>
      <c r="H25">
        <v>0</v>
      </c>
      <c r="I25">
        <v>0</v>
      </c>
      <c r="J25">
        <v>7996890</v>
      </c>
      <c r="K25">
        <v>3104253</v>
      </c>
      <c r="L25">
        <v>2518091</v>
      </c>
      <c r="M25">
        <v>79020039</v>
      </c>
      <c r="N25">
        <v>0</v>
      </c>
      <c r="O25">
        <v>1924170</v>
      </c>
      <c r="P25">
        <v>0</v>
      </c>
      <c r="Q25">
        <v>3940382</v>
      </c>
      <c r="R25">
        <v>1753036</v>
      </c>
      <c r="S25">
        <v>1095320</v>
      </c>
      <c r="T25">
        <v>0</v>
      </c>
      <c r="U25">
        <v>0</v>
      </c>
      <c r="V25">
        <v>11956381</v>
      </c>
      <c r="W25">
        <v>0</v>
      </c>
      <c r="X25">
        <v>1522947</v>
      </c>
      <c r="Y25">
        <v>725936</v>
      </c>
      <c r="Z25">
        <v>0</v>
      </c>
      <c r="AA25">
        <v>3724572</v>
      </c>
      <c r="AB25">
        <v>4192029</v>
      </c>
      <c r="AC25">
        <v>738441</v>
      </c>
      <c r="AD25">
        <v>11916553</v>
      </c>
      <c r="AE25">
        <v>14138464</v>
      </c>
      <c r="AF25">
        <v>992972</v>
      </c>
      <c r="AG25">
        <v>7301546</v>
      </c>
      <c r="AH25">
        <v>3872005</v>
      </c>
      <c r="AI25">
        <v>12802376</v>
      </c>
      <c r="AJ25">
        <v>4706672</v>
      </c>
      <c r="AK25">
        <v>0</v>
      </c>
      <c r="AL25">
        <v>13371538</v>
      </c>
      <c r="AM25">
        <v>0</v>
      </c>
      <c r="AN25">
        <v>884481</v>
      </c>
      <c r="AO25">
        <v>0</v>
      </c>
      <c r="AP25">
        <v>0</v>
      </c>
      <c r="AQ25">
        <v>2911413</v>
      </c>
      <c r="AR25">
        <v>0</v>
      </c>
      <c r="AS25">
        <v>6255104</v>
      </c>
      <c r="AT25">
        <v>41410701</v>
      </c>
      <c r="AU25">
        <v>0</v>
      </c>
      <c r="AV25">
        <v>45000</v>
      </c>
      <c r="AW25">
        <v>1279610</v>
      </c>
      <c r="AX25">
        <v>7382619</v>
      </c>
      <c r="AY25">
        <v>1762554</v>
      </c>
      <c r="AZ25">
        <v>0</v>
      </c>
      <c r="BA25">
        <v>0</v>
      </c>
      <c r="BB25">
        <v>56329601</v>
      </c>
      <c r="BC25">
        <v>1598518</v>
      </c>
      <c r="BD25">
        <v>0</v>
      </c>
      <c r="BE25">
        <v>0</v>
      </c>
      <c r="BF25">
        <v>17365281</v>
      </c>
      <c r="BG25">
        <v>0</v>
      </c>
      <c r="BH25">
        <v>0</v>
      </c>
      <c r="BI25">
        <v>1649582</v>
      </c>
      <c r="BJ25">
        <v>166203</v>
      </c>
      <c r="BK25">
        <v>0</v>
      </c>
      <c r="BL25">
        <v>0</v>
      </c>
      <c r="BM25">
        <v>4372473</v>
      </c>
      <c r="BN25">
        <v>22936478</v>
      </c>
      <c r="BO25">
        <v>3336252</v>
      </c>
      <c r="BP25">
        <v>0</v>
      </c>
      <c r="BQ25">
        <v>3541621</v>
      </c>
      <c r="BR25">
        <v>0</v>
      </c>
      <c r="BS25">
        <v>0</v>
      </c>
      <c r="BT25">
        <v>2632808</v>
      </c>
      <c r="BU25">
        <v>4063415</v>
      </c>
      <c r="BV25">
        <v>13639055</v>
      </c>
      <c r="BW25">
        <v>2280749</v>
      </c>
      <c r="BX25">
        <v>0</v>
      </c>
      <c r="BY25">
        <v>0</v>
      </c>
      <c r="BZ25">
        <v>31652</v>
      </c>
      <c r="CA25">
        <v>0</v>
      </c>
      <c r="CB25">
        <v>6410906</v>
      </c>
      <c r="CC25">
        <v>17489144</v>
      </c>
      <c r="CD25">
        <v>1098087</v>
      </c>
      <c r="CE25">
        <v>249550</v>
      </c>
      <c r="CF25">
        <v>0</v>
      </c>
      <c r="CG25">
        <v>3383712</v>
      </c>
      <c r="CH25">
        <v>1623505</v>
      </c>
      <c r="CI25">
        <v>5814582</v>
      </c>
      <c r="CJ25">
        <v>333051</v>
      </c>
      <c r="CK25">
        <v>276200</v>
      </c>
      <c r="CL25">
        <v>0</v>
      </c>
      <c r="CM25">
        <v>0</v>
      </c>
      <c r="CN25">
        <v>1586253</v>
      </c>
      <c r="CO25">
        <v>73201185</v>
      </c>
      <c r="CP25">
        <v>1217548</v>
      </c>
      <c r="CQ25">
        <v>0</v>
      </c>
      <c r="CR25">
        <v>3731186</v>
      </c>
      <c r="CS25">
        <v>1388212</v>
      </c>
      <c r="CT25">
        <v>0</v>
      </c>
      <c r="CU25">
        <v>625391</v>
      </c>
      <c r="CV25">
        <v>0</v>
      </c>
      <c r="CW25">
        <v>2883714</v>
      </c>
      <c r="CX25">
        <v>360906</v>
      </c>
      <c r="CY25">
        <v>0</v>
      </c>
    </row>
    <row r="26" spans="1:103" x14ac:dyDescent="0.3">
      <c r="A26">
        <v>89</v>
      </c>
      <c r="B26" t="s">
        <v>194</v>
      </c>
      <c r="D26">
        <v>0</v>
      </c>
      <c r="E26">
        <v>114253</v>
      </c>
      <c r="F26">
        <v>0</v>
      </c>
      <c r="G26">
        <v>0</v>
      </c>
      <c r="H26">
        <v>0</v>
      </c>
      <c r="I26">
        <v>0</v>
      </c>
      <c r="J26">
        <v>714633</v>
      </c>
      <c r="K26">
        <v>365403</v>
      </c>
      <c r="L26">
        <v>641728</v>
      </c>
      <c r="M26">
        <v>7439939</v>
      </c>
      <c r="N26">
        <v>0</v>
      </c>
      <c r="O26">
        <v>0</v>
      </c>
      <c r="P26">
        <v>0</v>
      </c>
      <c r="Q26">
        <v>8</v>
      </c>
      <c r="R26">
        <v>94856</v>
      </c>
      <c r="S26">
        <v>43586</v>
      </c>
      <c r="T26">
        <v>0</v>
      </c>
      <c r="U26">
        <v>0</v>
      </c>
      <c r="V26">
        <v>464710</v>
      </c>
      <c r="W26">
        <v>0</v>
      </c>
      <c r="X26">
        <v>0</v>
      </c>
      <c r="Y26">
        <v>17168</v>
      </c>
      <c r="Z26">
        <v>0</v>
      </c>
      <c r="AA26">
        <v>662402</v>
      </c>
      <c r="AB26">
        <v>8169</v>
      </c>
      <c r="AC26">
        <v>68542</v>
      </c>
      <c r="AD26">
        <v>421949</v>
      </c>
      <c r="AE26">
        <v>907704</v>
      </c>
      <c r="AF26">
        <v>250950</v>
      </c>
      <c r="AG26">
        <v>0</v>
      </c>
      <c r="AH26">
        <v>486788</v>
      </c>
      <c r="AI26">
        <v>298710</v>
      </c>
      <c r="AJ26">
        <v>496716</v>
      </c>
      <c r="AK26">
        <v>0</v>
      </c>
      <c r="AL26">
        <v>133036</v>
      </c>
      <c r="AM26">
        <v>0</v>
      </c>
      <c r="AN26">
        <v>0</v>
      </c>
      <c r="AO26">
        <v>0</v>
      </c>
      <c r="AP26">
        <v>0</v>
      </c>
      <c r="AQ26">
        <v>497202</v>
      </c>
      <c r="AR26">
        <v>0</v>
      </c>
      <c r="AS26">
        <v>424738</v>
      </c>
      <c r="AT26">
        <v>1262648</v>
      </c>
      <c r="AU26">
        <v>0</v>
      </c>
      <c r="AV26">
        <v>0</v>
      </c>
      <c r="AW26">
        <v>153257</v>
      </c>
      <c r="AX26">
        <v>608501</v>
      </c>
      <c r="AY26">
        <v>77054</v>
      </c>
      <c r="AZ26">
        <v>0</v>
      </c>
      <c r="BA26">
        <v>0</v>
      </c>
      <c r="BB26">
        <v>5573802</v>
      </c>
      <c r="BC26">
        <v>112473</v>
      </c>
      <c r="BD26">
        <v>0</v>
      </c>
      <c r="BE26">
        <v>0</v>
      </c>
      <c r="BF26">
        <v>1434110</v>
      </c>
      <c r="BG26">
        <v>0</v>
      </c>
      <c r="BH26">
        <v>0</v>
      </c>
      <c r="BI26">
        <v>471579</v>
      </c>
      <c r="BJ26">
        <v>51388</v>
      </c>
      <c r="BK26">
        <v>0</v>
      </c>
      <c r="BL26">
        <v>0</v>
      </c>
      <c r="BM26">
        <v>292047</v>
      </c>
      <c r="BN26">
        <v>1269307</v>
      </c>
      <c r="BO26">
        <v>338881</v>
      </c>
      <c r="BP26">
        <v>0</v>
      </c>
      <c r="BQ26">
        <v>328200</v>
      </c>
      <c r="BR26">
        <v>0</v>
      </c>
      <c r="BS26">
        <v>0</v>
      </c>
      <c r="BT26">
        <v>4338</v>
      </c>
      <c r="BU26">
        <v>161322</v>
      </c>
      <c r="BV26">
        <v>2810261</v>
      </c>
      <c r="BW26">
        <v>20054</v>
      </c>
      <c r="BX26">
        <v>0</v>
      </c>
      <c r="BY26">
        <v>0</v>
      </c>
      <c r="BZ26">
        <v>0</v>
      </c>
      <c r="CA26">
        <v>0</v>
      </c>
      <c r="CB26">
        <v>1852</v>
      </c>
      <c r="CC26">
        <v>184302</v>
      </c>
      <c r="CD26">
        <v>54750</v>
      </c>
      <c r="CE26">
        <v>0</v>
      </c>
      <c r="CF26">
        <v>0</v>
      </c>
      <c r="CG26">
        <v>436471</v>
      </c>
      <c r="CH26">
        <v>201242</v>
      </c>
      <c r="CI26">
        <v>87520</v>
      </c>
      <c r="CJ26">
        <v>0</v>
      </c>
      <c r="CK26">
        <v>89687</v>
      </c>
      <c r="CL26">
        <v>0</v>
      </c>
      <c r="CM26">
        <v>0</v>
      </c>
      <c r="CN26">
        <v>123240</v>
      </c>
      <c r="CO26">
        <v>13608173</v>
      </c>
      <c r="CP26">
        <v>327684</v>
      </c>
      <c r="CQ26">
        <v>0</v>
      </c>
      <c r="CR26">
        <v>454059</v>
      </c>
      <c r="CS26">
        <v>77510</v>
      </c>
      <c r="CT26">
        <v>0</v>
      </c>
      <c r="CU26">
        <v>61482</v>
      </c>
      <c r="CV26">
        <v>0</v>
      </c>
      <c r="CW26">
        <v>273243</v>
      </c>
      <c r="CX26">
        <v>0</v>
      </c>
      <c r="CY26">
        <v>0</v>
      </c>
    </row>
    <row r="27" spans="1:103" x14ac:dyDescent="0.3">
      <c r="A27">
        <v>102</v>
      </c>
      <c r="B27" t="s">
        <v>212</v>
      </c>
      <c r="D27">
        <v>99</v>
      </c>
      <c r="E27">
        <v>97.37</v>
      </c>
      <c r="F27">
        <v>98.24</v>
      </c>
      <c r="G27">
        <v>93.49</v>
      </c>
      <c r="H27">
        <v>97.25</v>
      </c>
      <c r="I27">
        <v>98.57</v>
      </c>
      <c r="J27">
        <v>98.6</v>
      </c>
      <c r="K27">
        <v>97.47</v>
      </c>
      <c r="L27">
        <v>96.56</v>
      </c>
      <c r="M27">
        <v>99.02</v>
      </c>
      <c r="N27">
        <v>99.76</v>
      </c>
      <c r="O27">
        <v>98.58</v>
      </c>
      <c r="P27">
        <v>99.32</v>
      </c>
      <c r="Q27">
        <v>97.59</v>
      </c>
      <c r="R27">
        <v>97.94</v>
      </c>
      <c r="S27">
        <v>98.44</v>
      </c>
      <c r="T27">
        <v>98.63</v>
      </c>
      <c r="U27">
        <v>98.95</v>
      </c>
      <c r="V27">
        <v>99.16</v>
      </c>
      <c r="W27">
        <v>98.19</v>
      </c>
      <c r="X27">
        <v>99.34</v>
      </c>
      <c r="Y27">
        <v>97.73</v>
      </c>
      <c r="Z27">
        <v>98.47</v>
      </c>
      <c r="AA27">
        <v>97.78</v>
      </c>
      <c r="AB27">
        <v>98.83</v>
      </c>
      <c r="AC27">
        <v>99.53</v>
      </c>
      <c r="AD27">
        <v>99.3</v>
      </c>
      <c r="AE27">
        <v>99.63</v>
      </c>
      <c r="AF27">
        <v>97.48</v>
      </c>
      <c r="AG27">
        <v>98.97</v>
      </c>
      <c r="AH27">
        <v>96.61</v>
      </c>
      <c r="AI27">
        <v>99.8</v>
      </c>
      <c r="AJ27">
        <v>95.44</v>
      </c>
      <c r="AK27">
        <v>99.32</v>
      </c>
      <c r="AL27">
        <v>98.2</v>
      </c>
      <c r="AM27">
        <v>99.06</v>
      </c>
      <c r="AN27">
        <v>96.89</v>
      </c>
      <c r="AO27">
        <v>97.72</v>
      </c>
      <c r="AP27">
        <v>98.9</v>
      </c>
      <c r="AQ27">
        <v>99.19</v>
      </c>
      <c r="AR27">
        <v>99.33</v>
      </c>
      <c r="AS27">
        <v>98</v>
      </c>
      <c r="AT27">
        <v>99.37</v>
      </c>
      <c r="AU27">
        <v>98.38</v>
      </c>
      <c r="AV27">
        <v>99.27</v>
      </c>
      <c r="AW27">
        <v>96.12</v>
      </c>
      <c r="AX27">
        <v>97.66</v>
      </c>
      <c r="AY27">
        <v>94.85</v>
      </c>
      <c r="AZ27">
        <v>99.46</v>
      </c>
      <c r="BA27">
        <v>98.94</v>
      </c>
      <c r="BB27">
        <v>99.88</v>
      </c>
      <c r="BC27">
        <v>95.79</v>
      </c>
      <c r="BD27">
        <v>99.19</v>
      </c>
      <c r="BE27">
        <v>97.16</v>
      </c>
      <c r="BF27">
        <v>99.39</v>
      </c>
      <c r="BG27">
        <v>98.94</v>
      </c>
      <c r="BH27">
        <v>96.74</v>
      </c>
      <c r="BI27">
        <v>94.12</v>
      </c>
      <c r="BJ27">
        <v>99.52</v>
      </c>
      <c r="BK27">
        <v>99.46</v>
      </c>
      <c r="BL27">
        <v>97.26</v>
      </c>
      <c r="BM27">
        <v>97.39</v>
      </c>
      <c r="BN27">
        <v>99.76</v>
      </c>
      <c r="BO27">
        <v>98.95</v>
      </c>
      <c r="BP27">
        <v>99.52</v>
      </c>
      <c r="BQ27">
        <v>96.48</v>
      </c>
      <c r="BR27">
        <v>98.89</v>
      </c>
      <c r="BS27">
        <v>99.15</v>
      </c>
      <c r="BT27">
        <v>96.66</v>
      </c>
      <c r="BU27">
        <v>97.03</v>
      </c>
      <c r="BV27">
        <v>96.52</v>
      </c>
      <c r="BW27">
        <v>97.51</v>
      </c>
      <c r="BX27">
        <v>98.5</v>
      </c>
      <c r="BY27">
        <v>99.34</v>
      </c>
      <c r="BZ27">
        <v>98.92</v>
      </c>
      <c r="CA27">
        <v>99.19</v>
      </c>
      <c r="CB27">
        <v>97.43</v>
      </c>
      <c r="CC27">
        <v>94.25</v>
      </c>
      <c r="CD27">
        <v>98.52</v>
      </c>
      <c r="CE27">
        <v>97.88</v>
      </c>
      <c r="CF27">
        <v>98.62</v>
      </c>
      <c r="CG27">
        <v>97.44</v>
      </c>
      <c r="CH27">
        <v>96.65</v>
      </c>
      <c r="CI27">
        <v>98.02</v>
      </c>
      <c r="CJ27">
        <v>97.91</v>
      </c>
      <c r="CK27">
        <v>98.88</v>
      </c>
      <c r="CL27">
        <v>96.41</v>
      </c>
      <c r="CM27">
        <v>99.83</v>
      </c>
      <c r="CN27">
        <v>97</v>
      </c>
      <c r="CO27">
        <v>99.94</v>
      </c>
      <c r="CP27">
        <v>97.37</v>
      </c>
      <c r="CQ27">
        <v>99.95</v>
      </c>
      <c r="CR27">
        <v>98</v>
      </c>
      <c r="CS27">
        <v>95.36</v>
      </c>
      <c r="CT27">
        <v>98.63</v>
      </c>
      <c r="CU27">
        <v>98.45</v>
      </c>
      <c r="CV27">
        <v>97.13</v>
      </c>
      <c r="CW27">
        <v>98.68</v>
      </c>
      <c r="CX27">
        <v>97.89</v>
      </c>
      <c r="CY27">
        <v>98.3</v>
      </c>
    </row>
    <row r="28" spans="1:103" x14ac:dyDescent="0.3">
      <c r="A28">
        <v>103</v>
      </c>
      <c r="B28" t="s">
        <v>213</v>
      </c>
      <c r="D28">
        <v>100</v>
      </c>
      <c r="E28">
        <v>100</v>
      </c>
      <c r="F28">
        <v>100</v>
      </c>
      <c r="G28">
        <v>100</v>
      </c>
      <c r="H28">
        <v>100</v>
      </c>
      <c r="I28">
        <v>99.46</v>
      </c>
      <c r="J28">
        <v>100</v>
      </c>
      <c r="K28">
        <v>100</v>
      </c>
      <c r="L28">
        <v>100</v>
      </c>
      <c r="M28">
        <v>100</v>
      </c>
      <c r="N28">
        <v>99.67</v>
      </c>
      <c r="O28">
        <v>100</v>
      </c>
      <c r="P28">
        <v>100</v>
      </c>
      <c r="Q28">
        <v>100</v>
      </c>
      <c r="R28">
        <v>100</v>
      </c>
      <c r="S28">
        <v>100</v>
      </c>
      <c r="T28">
        <v>100</v>
      </c>
      <c r="U28">
        <v>100</v>
      </c>
      <c r="V28">
        <v>99.67</v>
      </c>
      <c r="W28">
        <v>99.86</v>
      </c>
      <c r="X28">
        <v>100</v>
      </c>
      <c r="Y28">
        <v>100</v>
      </c>
      <c r="Z28">
        <v>100</v>
      </c>
      <c r="AA28">
        <v>100</v>
      </c>
      <c r="AB28">
        <v>100</v>
      </c>
      <c r="AC28">
        <v>100</v>
      </c>
      <c r="AD28">
        <v>100</v>
      </c>
      <c r="AE28">
        <v>100</v>
      </c>
      <c r="AF28">
        <v>100</v>
      </c>
      <c r="AG28">
        <v>100</v>
      </c>
      <c r="AH28">
        <v>100</v>
      </c>
      <c r="AI28">
        <v>100</v>
      </c>
      <c r="AJ28">
        <v>100</v>
      </c>
      <c r="AK28">
        <v>100</v>
      </c>
      <c r="AL28">
        <v>99.92</v>
      </c>
      <c r="AM28">
        <v>100</v>
      </c>
      <c r="AN28">
        <v>100</v>
      </c>
      <c r="AO28">
        <v>100</v>
      </c>
      <c r="AP28">
        <v>100</v>
      </c>
      <c r="AQ28">
        <v>99.6</v>
      </c>
      <c r="AR28">
        <v>100</v>
      </c>
      <c r="AS28">
        <v>100</v>
      </c>
      <c r="AT28">
        <v>100</v>
      </c>
      <c r="AU28">
        <v>100</v>
      </c>
      <c r="AV28">
        <v>99.97</v>
      </c>
      <c r="AW28">
        <v>100</v>
      </c>
      <c r="AX28">
        <v>94.98</v>
      </c>
      <c r="AY28">
        <v>100</v>
      </c>
      <c r="AZ28">
        <v>100</v>
      </c>
      <c r="BA28">
        <v>99.91</v>
      </c>
      <c r="BB28">
        <v>100</v>
      </c>
      <c r="BC28">
        <v>100</v>
      </c>
      <c r="BD28">
        <v>100</v>
      </c>
      <c r="BE28">
        <v>99.92</v>
      </c>
      <c r="BF28">
        <v>100</v>
      </c>
      <c r="BG28">
        <v>100</v>
      </c>
      <c r="BH28">
        <v>100</v>
      </c>
      <c r="BI28">
        <v>100</v>
      </c>
      <c r="BJ28">
        <v>99.94</v>
      </c>
      <c r="BK28">
        <v>100</v>
      </c>
      <c r="BL28">
        <v>100</v>
      </c>
      <c r="BM28">
        <v>100</v>
      </c>
      <c r="BN28">
        <v>97.24</v>
      </c>
      <c r="BO28">
        <v>100</v>
      </c>
      <c r="BP28">
        <v>100</v>
      </c>
      <c r="BQ28">
        <v>100</v>
      </c>
      <c r="BR28">
        <v>91.1</v>
      </c>
      <c r="BS28">
        <v>100</v>
      </c>
      <c r="BT28">
        <v>100</v>
      </c>
      <c r="BU28">
        <v>100</v>
      </c>
      <c r="BV28">
        <v>100</v>
      </c>
      <c r="BW28">
        <v>100</v>
      </c>
      <c r="BX28">
        <v>99.96</v>
      </c>
      <c r="BY28">
        <v>100</v>
      </c>
      <c r="BZ28">
        <v>100</v>
      </c>
      <c r="CA28">
        <v>100</v>
      </c>
      <c r="CB28">
        <v>100</v>
      </c>
      <c r="CC28">
        <v>100</v>
      </c>
      <c r="CD28">
        <v>99.26</v>
      </c>
      <c r="CE28">
        <v>100</v>
      </c>
      <c r="CF28">
        <v>100</v>
      </c>
      <c r="CG28">
        <v>99.31</v>
      </c>
      <c r="CH28">
        <v>99.69</v>
      </c>
      <c r="CI28">
        <v>100</v>
      </c>
      <c r="CJ28">
        <v>100</v>
      </c>
      <c r="CK28">
        <v>100</v>
      </c>
      <c r="CL28">
        <v>100</v>
      </c>
      <c r="CM28">
        <v>100</v>
      </c>
      <c r="CN28">
        <v>99.46</v>
      </c>
      <c r="CO28">
        <v>100</v>
      </c>
      <c r="CP28">
        <v>100</v>
      </c>
      <c r="CQ28">
        <v>99.6</v>
      </c>
      <c r="CR28">
        <v>99.84</v>
      </c>
      <c r="CS28">
        <v>100</v>
      </c>
      <c r="CT28">
        <v>99.71</v>
      </c>
      <c r="CU28">
        <v>100</v>
      </c>
      <c r="CV28">
        <v>100</v>
      </c>
      <c r="CW28">
        <v>100</v>
      </c>
      <c r="CX28">
        <v>100</v>
      </c>
      <c r="CY28">
        <v>100</v>
      </c>
    </row>
    <row r="29" spans="1:103" x14ac:dyDescent="0.3">
      <c r="A29">
        <v>147</v>
      </c>
      <c r="B29" t="s">
        <v>605</v>
      </c>
      <c r="D29">
        <v>44436525</v>
      </c>
      <c r="E29">
        <v>7065060</v>
      </c>
      <c r="F29">
        <v>2815666</v>
      </c>
      <c r="G29">
        <v>3800000</v>
      </c>
      <c r="H29">
        <v>5323091</v>
      </c>
      <c r="I29">
        <v>4919869</v>
      </c>
      <c r="J29">
        <v>14932489</v>
      </c>
      <c r="K29">
        <v>3713071</v>
      </c>
      <c r="L29">
        <v>6831521</v>
      </c>
      <c r="M29">
        <v>47523253</v>
      </c>
      <c r="N29">
        <v>87315083</v>
      </c>
      <c r="O29">
        <v>16049205</v>
      </c>
      <c r="P29">
        <v>89317454</v>
      </c>
      <c r="Q29">
        <v>14869294</v>
      </c>
      <c r="R29">
        <v>2620000</v>
      </c>
      <c r="S29">
        <v>23992500</v>
      </c>
      <c r="T29">
        <v>2655000</v>
      </c>
      <c r="U29">
        <v>40891914</v>
      </c>
      <c r="V29">
        <v>38111170</v>
      </c>
      <c r="W29">
        <v>9995196</v>
      </c>
      <c r="X29">
        <v>3500000</v>
      </c>
      <c r="Y29">
        <v>1766066</v>
      </c>
      <c r="Z29">
        <v>28521310</v>
      </c>
      <c r="AA29">
        <v>8164191</v>
      </c>
      <c r="AB29">
        <v>22032237</v>
      </c>
      <c r="AC29">
        <v>83033918</v>
      </c>
      <c r="AD29">
        <v>12634099</v>
      </c>
      <c r="AE29">
        <v>23890957</v>
      </c>
      <c r="AF29">
        <v>32083656</v>
      </c>
      <c r="AG29">
        <v>12309900</v>
      </c>
      <c r="AH29">
        <v>8968900</v>
      </c>
      <c r="AI29">
        <v>160206627</v>
      </c>
      <c r="AJ29">
        <v>10507259</v>
      </c>
      <c r="AK29">
        <v>153582377</v>
      </c>
      <c r="AL29">
        <v>21221872</v>
      </c>
      <c r="AM29">
        <v>53535807</v>
      </c>
      <c r="AN29">
        <v>3083000</v>
      </c>
      <c r="AO29">
        <v>1434468</v>
      </c>
      <c r="AP29">
        <v>17132494</v>
      </c>
      <c r="AQ29">
        <v>3786229</v>
      </c>
      <c r="AR29">
        <v>225610398</v>
      </c>
      <c r="AS29">
        <v>5733345</v>
      </c>
      <c r="AT29">
        <v>25532777</v>
      </c>
      <c r="AU29">
        <v>16609619</v>
      </c>
      <c r="AV29">
        <v>36381640</v>
      </c>
      <c r="AW29">
        <v>4290818</v>
      </c>
      <c r="AX29">
        <v>5700000</v>
      </c>
      <c r="AY29">
        <v>1700000</v>
      </c>
      <c r="AZ29">
        <v>58225167</v>
      </c>
      <c r="BA29">
        <v>7997351</v>
      </c>
      <c r="BB29">
        <v>79927090</v>
      </c>
      <c r="BC29">
        <v>2520366</v>
      </c>
      <c r="BD29">
        <v>19290524</v>
      </c>
      <c r="BE29">
        <v>9900000</v>
      </c>
      <c r="BF29">
        <v>21001352</v>
      </c>
      <c r="BG29">
        <v>8952740</v>
      </c>
      <c r="BH29">
        <v>4895043</v>
      </c>
      <c r="BI29">
        <v>6000000</v>
      </c>
      <c r="BJ29">
        <v>9606334</v>
      </c>
      <c r="BK29">
        <v>538015366</v>
      </c>
      <c r="BL29">
        <v>2199346</v>
      </c>
      <c r="BM29">
        <v>5312648</v>
      </c>
      <c r="BN29">
        <v>30350000</v>
      </c>
      <c r="BO29">
        <v>20500261</v>
      </c>
      <c r="BP29">
        <v>91892112</v>
      </c>
      <c r="BQ29">
        <v>3780000</v>
      </c>
      <c r="BR29">
        <v>57404464</v>
      </c>
      <c r="BS29">
        <v>89353187</v>
      </c>
      <c r="BT29">
        <v>4000000</v>
      </c>
      <c r="BU29">
        <v>12065130</v>
      </c>
      <c r="BV29">
        <v>21720842</v>
      </c>
      <c r="BW29">
        <v>3000000</v>
      </c>
      <c r="BX29">
        <v>10796900</v>
      </c>
      <c r="BY29">
        <v>43283624</v>
      </c>
      <c r="BZ29">
        <v>5130055</v>
      </c>
      <c r="CA29">
        <v>27865357</v>
      </c>
      <c r="CB29">
        <v>8009422</v>
      </c>
      <c r="CC29">
        <v>13360800</v>
      </c>
      <c r="CD29">
        <v>15834840</v>
      </c>
      <c r="CE29">
        <v>40334525</v>
      </c>
      <c r="CF29">
        <v>16810376</v>
      </c>
      <c r="CG29">
        <v>13313055</v>
      </c>
      <c r="CH29">
        <v>10004000</v>
      </c>
      <c r="CI29">
        <v>12285000</v>
      </c>
      <c r="CJ29">
        <v>14888890</v>
      </c>
      <c r="CK29">
        <v>12974746</v>
      </c>
      <c r="CL29">
        <v>1109743</v>
      </c>
      <c r="CM29">
        <v>12956586</v>
      </c>
      <c r="CN29">
        <v>592595</v>
      </c>
      <c r="CO29">
        <v>111552371</v>
      </c>
      <c r="CP29">
        <v>8482440</v>
      </c>
      <c r="CQ29">
        <v>543317051</v>
      </c>
      <c r="CR29">
        <v>5333331</v>
      </c>
      <c r="CS29">
        <v>1735000</v>
      </c>
      <c r="CT29">
        <v>14280571</v>
      </c>
      <c r="CU29">
        <v>23423605</v>
      </c>
      <c r="CV29">
        <v>13917773</v>
      </c>
      <c r="CW29">
        <v>23135788</v>
      </c>
      <c r="CX29">
        <v>7326228</v>
      </c>
      <c r="CY29">
        <v>3415418</v>
      </c>
    </row>
    <row r="30" spans="1:103" x14ac:dyDescent="0.3">
      <c r="A30">
        <v>148</v>
      </c>
      <c r="B30" t="s">
        <v>606</v>
      </c>
      <c r="D30">
        <v>0</v>
      </c>
      <c r="E30">
        <v>1434217</v>
      </c>
      <c r="F30">
        <v>389673</v>
      </c>
      <c r="G30">
        <v>500000</v>
      </c>
      <c r="H30">
        <v>1540670</v>
      </c>
      <c r="I30">
        <v>750000</v>
      </c>
      <c r="J30">
        <v>1115695</v>
      </c>
      <c r="K30">
        <v>375000</v>
      </c>
      <c r="L30">
        <v>27373</v>
      </c>
      <c r="M30">
        <v>16568410</v>
      </c>
      <c r="N30">
        <v>36300446</v>
      </c>
      <c r="O30">
        <v>2596041</v>
      </c>
      <c r="P30">
        <v>28341414</v>
      </c>
      <c r="Q30">
        <v>7604924</v>
      </c>
      <c r="R30">
        <v>0</v>
      </c>
      <c r="S30">
        <v>2251554</v>
      </c>
      <c r="T30">
        <v>465000</v>
      </c>
      <c r="U30">
        <v>12642937</v>
      </c>
      <c r="V30">
        <v>0</v>
      </c>
      <c r="W30">
        <v>1229248</v>
      </c>
      <c r="X30">
        <v>200000</v>
      </c>
      <c r="Y30">
        <v>35000</v>
      </c>
      <c r="Z30">
        <v>7100000</v>
      </c>
      <c r="AA30">
        <v>363975</v>
      </c>
      <c r="AB30">
        <v>1958000</v>
      </c>
      <c r="AC30">
        <v>10972027</v>
      </c>
      <c r="AD30">
        <v>1400000</v>
      </c>
      <c r="AE30">
        <v>1189286</v>
      </c>
      <c r="AF30">
        <v>5651497</v>
      </c>
      <c r="AG30">
        <v>2864661</v>
      </c>
      <c r="AH30">
        <v>249771</v>
      </c>
      <c r="AI30">
        <v>63511029</v>
      </c>
      <c r="AJ30">
        <v>698484</v>
      </c>
      <c r="AK30">
        <v>44625009</v>
      </c>
      <c r="AL30">
        <v>1500000</v>
      </c>
      <c r="AM30">
        <v>5948376</v>
      </c>
      <c r="AN30">
        <v>0</v>
      </c>
      <c r="AO30">
        <v>0</v>
      </c>
      <c r="AP30">
        <v>1571895</v>
      </c>
      <c r="AQ30">
        <v>961229</v>
      </c>
      <c r="AR30">
        <v>13276299</v>
      </c>
      <c r="AS30">
        <v>1181606</v>
      </c>
      <c r="AT30">
        <v>35169374</v>
      </c>
      <c r="AU30">
        <v>1810499</v>
      </c>
      <c r="AV30">
        <v>27326495</v>
      </c>
      <c r="AW30">
        <v>287306</v>
      </c>
      <c r="AX30">
        <v>997663</v>
      </c>
      <c r="AY30">
        <v>447245</v>
      </c>
      <c r="AZ30">
        <v>29012789</v>
      </c>
      <c r="BA30">
        <v>1485759</v>
      </c>
      <c r="BB30">
        <v>2900000</v>
      </c>
      <c r="BC30">
        <v>208540</v>
      </c>
      <c r="BD30">
        <v>1381532</v>
      </c>
      <c r="BE30">
        <v>250000</v>
      </c>
      <c r="BF30">
        <v>5965985</v>
      </c>
      <c r="BG30">
        <v>9424540</v>
      </c>
      <c r="BH30">
        <v>4895043</v>
      </c>
      <c r="BI30">
        <v>586384</v>
      </c>
      <c r="BJ30">
        <v>1225745</v>
      </c>
      <c r="BK30">
        <v>233589349</v>
      </c>
      <c r="BL30">
        <v>1182215</v>
      </c>
      <c r="BM30">
        <v>2535234</v>
      </c>
      <c r="BN30">
        <v>3190945</v>
      </c>
      <c r="BO30">
        <v>1396890</v>
      </c>
      <c r="BP30">
        <v>7798002</v>
      </c>
      <c r="BQ30">
        <v>453000</v>
      </c>
      <c r="BR30">
        <v>11177335</v>
      </c>
      <c r="BS30">
        <v>10221621</v>
      </c>
      <c r="BT30">
        <v>375000</v>
      </c>
      <c r="BU30">
        <v>701130</v>
      </c>
      <c r="BV30">
        <v>2917084</v>
      </c>
      <c r="BW30">
        <v>0</v>
      </c>
      <c r="BX30">
        <v>662824</v>
      </c>
      <c r="BY30">
        <v>15351830</v>
      </c>
      <c r="BZ30">
        <v>483056</v>
      </c>
      <c r="CA30">
        <v>22526760</v>
      </c>
      <c r="CB30">
        <v>2429000</v>
      </c>
      <c r="CC30">
        <v>6857356</v>
      </c>
      <c r="CD30">
        <v>2139960</v>
      </c>
      <c r="CE30">
        <v>2795200</v>
      </c>
      <c r="CF30">
        <v>12457714</v>
      </c>
      <c r="CG30">
        <v>1472504</v>
      </c>
      <c r="CH30">
        <v>300000</v>
      </c>
      <c r="CI30">
        <v>4225000</v>
      </c>
      <c r="CJ30">
        <v>2122600</v>
      </c>
      <c r="CK30">
        <v>2200637</v>
      </c>
      <c r="CL30">
        <v>359937</v>
      </c>
      <c r="CM30">
        <v>1183263</v>
      </c>
      <c r="CN30">
        <v>100000</v>
      </c>
      <c r="CO30">
        <v>0</v>
      </c>
      <c r="CP30">
        <v>625000</v>
      </c>
      <c r="CQ30">
        <v>287399216</v>
      </c>
      <c r="CR30">
        <v>350000</v>
      </c>
      <c r="CS30">
        <v>488055</v>
      </c>
      <c r="CT30">
        <v>1162645</v>
      </c>
      <c r="CU30">
        <v>2042910</v>
      </c>
      <c r="CV30">
        <v>6108345</v>
      </c>
      <c r="CW30">
        <v>15974873</v>
      </c>
      <c r="CX30">
        <v>1711614</v>
      </c>
      <c r="CY30">
        <v>856886</v>
      </c>
    </row>
    <row r="31" spans="1:103" x14ac:dyDescent="0.3">
      <c r="A31">
        <v>171</v>
      </c>
      <c r="B31" t="s">
        <v>184</v>
      </c>
      <c r="D31">
        <v>22587722</v>
      </c>
      <c r="E31">
        <v>769443</v>
      </c>
      <c r="F31">
        <v>1165649</v>
      </c>
      <c r="G31">
        <v>916186</v>
      </c>
      <c r="H31">
        <v>1914544</v>
      </c>
      <c r="I31">
        <v>1501435</v>
      </c>
      <c r="J31">
        <v>2393756</v>
      </c>
      <c r="K31">
        <v>2838491</v>
      </c>
      <c r="L31">
        <v>1205674</v>
      </c>
      <c r="M31">
        <v>16379452</v>
      </c>
      <c r="N31">
        <v>50188603</v>
      </c>
      <c r="O31">
        <v>7808357</v>
      </c>
      <c r="P31">
        <v>47165724</v>
      </c>
      <c r="Q31">
        <v>6646972</v>
      </c>
      <c r="R31">
        <v>708116</v>
      </c>
      <c r="S31">
        <v>6592204</v>
      </c>
      <c r="T31">
        <v>1313076</v>
      </c>
      <c r="U31">
        <v>18793971</v>
      </c>
      <c r="V31">
        <v>23989412</v>
      </c>
      <c r="W31">
        <v>1255126</v>
      </c>
      <c r="X31">
        <v>2003305</v>
      </c>
      <c r="Y31">
        <v>1272871</v>
      </c>
      <c r="Z31">
        <v>12929414</v>
      </c>
      <c r="AA31">
        <v>4226281</v>
      </c>
      <c r="AB31">
        <v>6925459</v>
      </c>
      <c r="AC31">
        <v>12513892</v>
      </c>
      <c r="AD31">
        <v>3058830</v>
      </c>
      <c r="AE31">
        <v>24232621</v>
      </c>
      <c r="AF31">
        <v>14621950</v>
      </c>
      <c r="AG31">
        <v>9115762</v>
      </c>
      <c r="AH31">
        <v>4689900</v>
      </c>
      <c r="AI31">
        <v>63590278</v>
      </c>
      <c r="AJ31">
        <v>6242403</v>
      </c>
      <c r="AK31">
        <v>81925180</v>
      </c>
      <c r="AL31">
        <v>9674197</v>
      </c>
      <c r="AM31">
        <v>31311385</v>
      </c>
      <c r="AN31">
        <v>1245760</v>
      </c>
      <c r="AO31">
        <v>1090519</v>
      </c>
      <c r="AP31">
        <v>11913292</v>
      </c>
      <c r="AQ31">
        <v>1379345</v>
      </c>
      <c r="AR31">
        <v>93954559</v>
      </c>
      <c r="AS31">
        <v>3273282</v>
      </c>
      <c r="AT31">
        <v>20184548</v>
      </c>
      <c r="AU31">
        <v>6487892</v>
      </c>
      <c r="AV31">
        <v>20109195</v>
      </c>
      <c r="AW31">
        <v>1847965</v>
      </c>
      <c r="AX31">
        <v>4080172</v>
      </c>
      <c r="AY31">
        <v>588386</v>
      </c>
      <c r="AZ31">
        <v>29218525</v>
      </c>
      <c r="BA31">
        <v>3992113</v>
      </c>
      <c r="BB31">
        <v>41366284</v>
      </c>
      <c r="BC31">
        <v>1107553</v>
      </c>
      <c r="BD31">
        <v>11230899</v>
      </c>
      <c r="BE31">
        <v>6184735</v>
      </c>
      <c r="BF31">
        <v>17080746</v>
      </c>
      <c r="BG31">
        <v>3724060</v>
      </c>
      <c r="BH31">
        <v>1227147</v>
      </c>
      <c r="BI31">
        <v>779602</v>
      </c>
      <c r="BJ31">
        <v>2987650</v>
      </c>
      <c r="BK31">
        <v>216973826</v>
      </c>
      <c r="BL31">
        <v>177750</v>
      </c>
      <c r="BM31">
        <v>4580421</v>
      </c>
      <c r="BN31">
        <v>25905951</v>
      </c>
      <c r="BO31">
        <v>6615493</v>
      </c>
      <c r="BP31">
        <v>61766443</v>
      </c>
      <c r="BQ31">
        <v>1485684</v>
      </c>
      <c r="BR31">
        <v>26928581</v>
      </c>
      <c r="BS31">
        <v>44288777</v>
      </c>
      <c r="BT31">
        <v>1021578</v>
      </c>
      <c r="BU31">
        <v>4581511</v>
      </c>
      <c r="BV31">
        <v>11490894</v>
      </c>
      <c r="BW31">
        <v>1189143</v>
      </c>
      <c r="BX31">
        <v>2880532</v>
      </c>
      <c r="BY31">
        <v>19401198</v>
      </c>
      <c r="BZ31">
        <v>1810492</v>
      </c>
      <c r="CA31">
        <v>17991655</v>
      </c>
      <c r="CB31">
        <v>0</v>
      </c>
      <c r="CC31">
        <v>5086508</v>
      </c>
      <c r="CD31">
        <v>6929575</v>
      </c>
      <c r="CE31">
        <v>9279193</v>
      </c>
      <c r="CF31">
        <v>7097214</v>
      </c>
      <c r="CG31">
        <v>10051901</v>
      </c>
      <c r="CH31">
        <v>4436985</v>
      </c>
      <c r="CI31">
        <v>3998264</v>
      </c>
      <c r="CJ31">
        <v>5894983</v>
      </c>
      <c r="CK31">
        <v>7266154</v>
      </c>
      <c r="CL31">
        <v>25328896</v>
      </c>
      <c r="CM31">
        <v>655926</v>
      </c>
      <c r="CN31">
        <v>264606</v>
      </c>
      <c r="CO31">
        <v>49709511</v>
      </c>
      <c r="CP31">
        <v>2519387</v>
      </c>
      <c r="CQ31">
        <v>374323949</v>
      </c>
      <c r="CR31">
        <v>1328230</v>
      </c>
      <c r="CS31">
        <v>88451</v>
      </c>
      <c r="CT31">
        <v>6472398</v>
      </c>
      <c r="CU31">
        <v>6753828</v>
      </c>
      <c r="CV31">
        <v>3303722</v>
      </c>
      <c r="CW31">
        <v>2842217</v>
      </c>
      <c r="CX31">
        <v>3728949</v>
      </c>
      <c r="CY31">
        <v>1696120</v>
      </c>
    </row>
    <row r="32" spans="1:103" x14ac:dyDescent="0.3">
      <c r="A32">
        <v>191</v>
      </c>
      <c r="B32" t="s">
        <v>197</v>
      </c>
      <c r="D32">
        <v>0</v>
      </c>
      <c r="E32">
        <v>147368</v>
      </c>
      <c r="F32">
        <v>0</v>
      </c>
      <c r="G32">
        <v>0</v>
      </c>
      <c r="H32">
        <v>0</v>
      </c>
      <c r="I32">
        <v>0</v>
      </c>
      <c r="J32">
        <v>525762</v>
      </c>
      <c r="K32">
        <v>79186</v>
      </c>
      <c r="L32">
        <v>1000000</v>
      </c>
      <c r="M32">
        <v>10125100</v>
      </c>
      <c r="N32">
        <v>0</v>
      </c>
      <c r="O32">
        <v>0</v>
      </c>
      <c r="P32">
        <v>0</v>
      </c>
      <c r="Q32">
        <v>0</v>
      </c>
      <c r="R32">
        <v>0</v>
      </c>
      <c r="S32">
        <v>0</v>
      </c>
      <c r="T32">
        <v>0</v>
      </c>
      <c r="U32">
        <v>0</v>
      </c>
      <c r="V32">
        <v>0</v>
      </c>
      <c r="W32">
        <v>0</v>
      </c>
      <c r="X32">
        <v>341649</v>
      </c>
      <c r="Y32">
        <v>0</v>
      </c>
      <c r="Z32">
        <v>0</v>
      </c>
      <c r="AA32">
        <v>22435</v>
      </c>
      <c r="AB32">
        <v>0</v>
      </c>
      <c r="AC32">
        <v>0</v>
      </c>
      <c r="AD32">
        <v>30000</v>
      </c>
      <c r="AE32">
        <v>0</v>
      </c>
      <c r="AF32">
        <v>0</v>
      </c>
      <c r="AG32">
        <v>0</v>
      </c>
      <c r="AH32">
        <v>0</v>
      </c>
      <c r="AI32">
        <v>892852</v>
      </c>
      <c r="AJ32">
        <v>0</v>
      </c>
      <c r="AK32">
        <v>0</v>
      </c>
      <c r="AL32">
        <v>217083</v>
      </c>
      <c r="AM32">
        <v>0</v>
      </c>
      <c r="AN32">
        <v>0</v>
      </c>
      <c r="AO32">
        <v>0</v>
      </c>
      <c r="AP32">
        <v>0</v>
      </c>
      <c r="AQ32">
        <v>337771</v>
      </c>
      <c r="AR32">
        <v>0</v>
      </c>
      <c r="AS32">
        <v>0</v>
      </c>
      <c r="AT32">
        <v>7766687</v>
      </c>
      <c r="AU32">
        <v>0</v>
      </c>
      <c r="AV32">
        <v>0</v>
      </c>
      <c r="AW32">
        <v>0</v>
      </c>
      <c r="AX32">
        <v>1456600</v>
      </c>
      <c r="AY32">
        <v>0</v>
      </c>
      <c r="AZ32">
        <v>0</v>
      </c>
      <c r="BA32">
        <v>0</v>
      </c>
      <c r="BB32">
        <v>14250808</v>
      </c>
      <c r="BC32">
        <v>2666132</v>
      </c>
      <c r="BD32">
        <v>0</v>
      </c>
      <c r="BE32">
        <v>0</v>
      </c>
      <c r="BF32">
        <v>2649817</v>
      </c>
      <c r="BG32">
        <v>0</v>
      </c>
      <c r="BH32">
        <v>0</v>
      </c>
      <c r="BI32">
        <v>0</v>
      </c>
      <c r="BJ32">
        <v>0</v>
      </c>
      <c r="BK32">
        <v>0</v>
      </c>
      <c r="BL32">
        <v>0</v>
      </c>
      <c r="BM32">
        <v>2209217</v>
      </c>
      <c r="BN32">
        <v>586233</v>
      </c>
      <c r="BO32">
        <v>505053</v>
      </c>
      <c r="BP32">
        <v>0</v>
      </c>
      <c r="BQ32">
        <v>0</v>
      </c>
      <c r="BR32">
        <v>0</v>
      </c>
      <c r="BS32">
        <v>0</v>
      </c>
      <c r="BT32">
        <v>0</v>
      </c>
      <c r="BU32">
        <v>206050</v>
      </c>
      <c r="BV32">
        <v>0</v>
      </c>
      <c r="BW32">
        <v>0</v>
      </c>
      <c r="BX32">
        <v>0</v>
      </c>
      <c r="BY32">
        <v>0</v>
      </c>
      <c r="BZ32">
        <v>0</v>
      </c>
      <c r="CA32">
        <v>0</v>
      </c>
      <c r="CB32">
        <v>0</v>
      </c>
      <c r="CC32">
        <v>8768</v>
      </c>
      <c r="CD32">
        <v>2964956</v>
      </c>
      <c r="CE32">
        <v>0</v>
      </c>
      <c r="CF32">
        <v>0</v>
      </c>
      <c r="CG32">
        <v>10363162</v>
      </c>
      <c r="CH32">
        <v>0</v>
      </c>
      <c r="CI32">
        <v>468323</v>
      </c>
      <c r="CJ32">
        <v>0</v>
      </c>
      <c r="CK32">
        <v>0</v>
      </c>
      <c r="CL32">
        <v>0</v>
      </c>
      <c r="CM32">
        <v>0</v>
      </c>
      <c r="CN32">
        <v>0</v>
      </c>
      <c r="CO32">
        <v>22093752</v>
      </c>
      <c r="CP32">
        <v>0</v>
      </c>
      <c r="CQ32">
        <v>0</v>
      </c>
      <c r="CR32">
        <v>48500</v>
      </c>
      <c r="CS32">
        <v>0</v>
      </c>
      <c r="CT32">
        <v>0</v>
      </c>
      <c r="CU32">
        <v>0</v>
      </c>
      <c r="CV32">
        <v>0</v>
      </c>
      <c r="CW32">
        <v>0</v>
      </c>
      <c r="CX32">
        <v>0</v>
      </c>
      <c r="CY32">
        <v>447320</v>
      </c>
    </row>
    <row r="33" spans="1:103" x14ac:dyDescent="0.3">
      <c r="A33">
        <v>252</v>
      </c>
      <c r="B33" t="s">
        <v>87</v>
      </c>
      <c r="D33">
        <v>52560069</v>
      </c>
      <c r="E33">
        <v>17037979</v>
      </c>
      <c r="F33">
        <v>16013918</v>
      </c>
      <c r="G33">
        <v>20406252</v>
      </c>
      <c r="H33">
        <v>36077341</v>
      </c>
      <c r="I33">
        <v>34793128</v>
      </c>
      <c r="J33">
        <v>21662820</v>
      </c>
      <c r="K33">
        <v>14168650</v>
      </c>
      <c r="L33">
        <v>11764827</v>
      </c>
      <c r="M33">
        <v>127746956</v>
      </c>
      <c r="N33">
        <v>86010615</v>
      </c>
      <c r="O33">
        <v>36079462</v>
      </c>
      <c r="P33">
        <v>156428800</v>
      </c>
      <c r="Q33">
        <v>22645701</v>
      </c>
      <c r="R33">
        <v>13447330</v>
      </c>
      <c r="S33">
        <v>26311016</v>
      </c>
      <c r="T33">
        <v>9578690</v>
      </c>
      <c r="U33">
        <v>131737711</v>
      </c>
      <c r="V33">
        <v>66655633</v>
      </c>
      <c r="W33">
        <v>16923678</v>
      </c>
      <c r="X33">
        <v>23940926</v>
      </c>
      <c r="Y33">
        <v>18582472</v>
      </c>
      <c r="Z33">
        <v>84103556</v>
      </c>
      <c r="AA33">
        <v>71619948</v>
      </c>
      <c r="AB33">
        <v>53172950</v>
      </c>
      <c r="AC33">
        <v>158558572</v>
      </c>
      <c r="AD33">
        <v>102559955</v>
      </c>
      <c r="AE33">
        <v>109016078</v>
      </c>
      <c r="AF33">
        <v>64434632</v>
      </c>
      <c r="AG33">
        <v>21296969</v>
      </c>
      <c r="AH33">
        <v>12419305</v>
      </c>
      <c r="AI33">
        <v>108073865</v>
      </c>
      <c r="AJ33">
        <v>17231689</v>
      </c>
      <c r="AK33">
        <v>194391826</v>
      </c>
      <c r="AL33">
        <v>40734153</v>
      </c>
      <c r="AM33">
        <v>84203927</v>
      </c>
      <c r="AN33">
        <v>7022407</v>
      </c>
      <c r="AO33">
        <v>11564236</v>
      </c>
      <c r="AP33">
        <v>43120085</v>
      </c>
      <c r="AQ33">
        <v>13748012</v>
      </c>
      <c r="AR33">
        <v>177303005</v>
      </c>
      <c r="AS33">
        <v>15872923</v>
      </c>
      <c r="AT33">
        <v>57578059</v>
      </c>
      <c r="AU33">
        <v>59468047</v>
      </c>
      <c r="AV33">
        <v>69357469</v>
      </c>
      <c r="AW33">
        <v>28023546</v>
      </c>
      <c r="AX33">
        <v>20472395</v>
      </c>
      <c r="AY33">
        <v>18853774</v>
      </c>
      <c r="AZ33">
        <v>257273207</v>
      </c>
      <c r="BA33">
        <v>86016523</v>
      </c>
      <c r="BB33">
        <v>62035930</v>
      </c>
      <c r="BC33">
        <v>5113737</v>
      </c>
      <c r="BD33">
        <v>30225186</v>
      </c>
      <c r="BE33">
        <v>14619820</v>
      </c>
      <c r="BF33">
        <v>80496053</v>
      </c>
      <c r="BG33">
        <v>21530233</v>
      </c>
      <c r="BH33">
        <v>7783723</v>
      </c>
      <c r="BI33">
        <v>11717910</v>
      </c>
      <c r="BJ33">
        <v>29770319</v>
      </c>
      <c r="BK33">
        <v>1274244490</v>
      </c>
      <c r="BL33">
        <v>13946052</v>
      </c>
      <c r="BM33">
        <v>27828227</v>
      </c>
      <c r="BN33">
        <v>65310961</v>
      </c>
      <c r="BO33">
        <v>59969498</v>
      </c>
      <c r="BP33">
        <v>158331129</v>
      </c>
      <c r="BQ33">
        <v>10818692</v>
      </c>
      <c r="BR33">
        <v>245213899</v>
      </c>
      <c r="BS33">
        <v>64787858</v>
      </c>
      <c r="BT33">
        <v>4193934</v>
      </c>
      <c r="BU33">
        <v>23834297</v>
      </c>
      <c r="BV33">
        <v>29185261</v>
      </c>
      <c r="BW33">
        <v>3588987</v>
      </c>
      <c r="BX33">
        <v>41858897</v>
      </c>
      <c r="BY33">
        <v>59494188</v>
      </c>
      <c r="BZ33">
        <v>28463258</v>
      </c>
      <c r="CA33">
        <v>68749487</v>
      </c>
      <c r="CB33">
        <v>23160814</v>
      </c>
      <c r="CC33">
        <v>23331121</v>
      </c>
      <c r="CD33">
        <v>20436907</v>
      </c>
      <c r="CE33">
        <v>65452414</v>
      </c>
      <c r="CF33">
        <v>71606467</v>
      </c>
      <c r="CG33">
        <v>35680715</v>
      </c>
      <c r="CH33">
        <v>14928149</v>
      </c>
      <c r="CI33">
        <v>18531676</v>
      </c>
      <c r="CJ33">
        <v>29343312</v>
      </c>
      <c r="CK33">
        <v>15971993</v>
      </c>
      <c r="CL33">
        <v>12715935</v>
      </c>
      <c r="CM33">
        <v>37460724</v>
      </c>
      <c r="CN33">
        <v>3430631</v>
      </c>
      <c r="CO33">
        <v>50651906</v>
      </c>
      <c r="CP33">
        <v>5736289</v>
      </c>
      <c r="CQ33">
        <v>567068232</v>
      </c>
      <c r="CR33">
        <v>15201929</v>
      </c>
      <c r="CS33">
        <v>19612779</v>
      </c>
      <c r="CT33">
        <v>106042522</v>
      </c>
      <c r="CU33">
        <v>97579730</v>
      </c>
      <c r="CV33">
        <v>27584281</v>
      </c>
      <c r="CW33">
        <v>29410751</v>
      </c>
      <c r="CX33">
        <v>35854490</v>
      </c>
      <c r="CY33">
        <v>14126061</v>
      </c>
    </row>
    <row r="34" spans="1:103" x14ac:dyDescent="0.3">
      <c r="A34">
        <v>253</v>
      </c>
      <c r="B34" t="s">
        <v>88</v>
      </c>
      <c r="D34">
        <v>25251849</v>
      </c>
      <c r="E34">
        <v>8104261</v>
      </c>
      <c r="F34">
        <v>1912477</v>
      </c>
      <c r="G34">
        <v>7439432</v>
      </c>
      <c r="H34">
        <v>10508251</v>
      </c>
      <c r="I34">
        <v>8201703</v>
      </c>
      <c r="J34">
        <v>12906140</v>
      </c>
      <c r="K34">
        <v>4226574</v>
      </c>
      <c r="L34">
        <v>20289768</v>
      </c>
      <c r="M34">
        <v>23171792</v>
      </c>
      <c r="N34">
        <v>105625683</v>
      </c>
      <c r="O34">
        <v>45140758</v>
      </c>
      <c r="P34">
        <v>110468295</v>
      </c>
      <c r="Q34">
        <v>10000083</v>
      </c>
      <c r="R34">
        <v>7224052</v>
      </c>
      <c r="S34">
        <v>41518084</v>
      </c>
      <c r="T34">
        <v>9421488</v>
      </c>
      <c r="U34">
        <v>36821265</v>
      </c>
      <c r="V34">
        <v>12937461</v>
      </c>
      <c r="W34">
        <v>12233822</v>
      </c>
      <c r="X34">
        <v>2538168</v>
      </c>
      <c r="Y34">
        <v>2450172</v>
      </c>
      <c r="Z34">
        <v>25102730</v>
      </c>
      <c r="AA34">
        <v>60837029</v>
      </c>
      <c r="AB34">
        <v>31832174</v>
      </c>
      <c r="AC34">
        <v>99565582</v>
      </c>
      <c r="AD34">
        <v>67058289</v>
      </c>
      <c r="AE34">
        <v>78457012</v>
      </c>
      <c r="AF34">
        <v>24981683</v>
      </c>
      <c r="AG34">
        <v>12739652</v>
      </c>
      <c r="AH34">
        <v>18344671</v>
      </c>
      <c r="AI34">
        <v>115860818</v>
      </c>
      <c r="AJ34">
        <v>8837702</v>
      </c>
      <c r="AK34">
        <v>147893636</v>
      </c>
      <c r="AL34">
        <v>31294213</v>
      </c>
      <c r="AM34">
        <v>63100685</v>
      </c>
      <c r="AN34">
        <v>3711373</v>
      </c>
      <c r="AO34">
        <v>2491431</v>
      </c>
      <c r="AP34">
        <v>14785285</v>
      </c>
      <c r="AQ34">
        <v>6261539</v>
      </c>
      <c r="AR34">
        <v>119387618</v>
      </c>
      <c r="AS34">
        <v>26492533</v>
      </c>
      <c r="AT34">
        <v>24411608</v>
      </c>
      <c r="AU34">
        <v>12732310</v>
      </c>
      <c r="AV34">
        <v>31688891</v>
      </c>
      <c r="AW34">
        <v>5635127</v>
      </c>
      <c r="AX34">
        <v>15197347</v>
      </c>
      <c r="AY34">
        <v>12028874</v>
      </c>
      <c r="AZ34">
        <v>81092396</v>
      </c>
      <c r="BA34">
        <v>9828623</v>
      </c>
      <c r="BB34">
        <v>54509569</v>
      </c>
      <c r="BC34">
        <v>7026611</v>
      </c>
      <c r="BD34">
        <v>17340006</v>
      </c>
      <c r="BE34">
        <v>10591108</v>
      </c>
      <c r="BF34">
        <v>44152021</v>
      </c>
      <c r="BG34">
        <v>8437616</v>
      </c>
      <c r="BH34">
        <v>11385822</v>
      </c>
      <c r="BI34">
        <v>23733209</v>
      </c>
      <c r="BJ34">
        <v>8590525</v>
      </c>
      <c r="BK34">
        <v>221564287</v>
      </c>
      <c r="BL34">
        <v>1769787</v>
      </c>
      <c r="BM34">
        <v>24804966</v>
      </c>
      <c r="BN34">
        <v>24887494</v>
      </c>
      <c r="BO34">
        <v>40535085</v>
      </c>
      <c r="BP34">
        <v>488327065</v>
      </c>
      <c r="BQ34">
        <v>4071432</v>
      </c>
      <c r="BR34">
        <v>50055740</v>
      </c>
      <c r="BS34">
        <v>28245307</v>
      </c>
      <c r="BT34">
        <v>2384445</v>
      </c>
      <c r="BU34">
        <v>8277773</v>
      </c>
      <c r="BV34">
        <v>17095653</v>
      </c>
      <c r="BW34">
        <v>8368352</v>
      </c>
      <c r="BX34">
        <v>20085679</v>
      </c>
      <c r="BY34">
        <v>17602986</v>
      </c>
      <c r="BZ34">
        <v>4280097</v>
      </c>
      <c r="CA34">
        <v>28935078</v>
      </c>
      <c r="CB34">
        <v>16445557</v>
      </c>
      <c r="CC34">
        <v>13841900</v>
      </c>
      <c r="CD34">
        <v>43407652</v>
      </c>
      <c r="CE34">
        <v>24960376</v>
      </c>
      <c r="CF34">
        <v>32490590</v>
      </c>
      <c r="CG34">
        <v>17079616</v>
      </c>
      <c r="CH34">
        <v>8549126</v>
      </c>
      <c r="CI34">
        <v>9762196</v>
      </c>
      <c r="CJ34">
        <v>9608475</v>
      </c>
      <c r="CK34">
        <v>22287087</v>
      </c>
      <c r="CL34">
        <v>57904692</v>
      </c>
      <c r="CM34">
        <v>11194536</v>
      </c>
      <c r="CN34">
        <v>1297098</v>
      </c>
      <c r="CO34">
        <v>89263583</v>
      </c>
      <c r="CP34">
        <v>11478378</v>
      </c>
      <c r="CQ34">
        <v>445049051</v>
      </c>
      <c r="CR34">
        <v>8075265</v>
      </c>
      <c r="CS34">
        <v>4664059</v>
      </c>
      <c r="CT34">
        <v>13075064</v>
      </c>
      <c r="CU34">
        <v>41429433</v>
      </c>
      <c r="CV34">
        <v>7200118</v>
      </c>
      <c r="CW34">
        <v>37733692</v>
      </c>
      <c r="CX34">
        <v>3738712</v>
      </c>
      <c r="CY34">
        <v>3848482</v>
      </c>
    </row>
    <row r="35" spans="1:103" x14ac:dyDescent="0.3">
      <c r="A35">
        <v>254</v>
      </c>
      <c r="B35" t="s">
        <v>89</v>
      </c>
      <c r="D35">
        <v>-111967028</v>
      </c>
      <c r="E35">
        <v>-5965847</v>
      </c>
      <c r="F35">
        <v>-3936825</v>
      </c>
      <c r="G35">
        <v>13297947</v>
      </c>
      <c r="H35">
        <v>3039057</v>
      </c>
      <c r="I35">
        <v>23602568</v>
      </c>
      <c r="J35">
        <v>22960530</v>
      </c>
      <c r="K35">
        <v>-18470393</v>
      </c>
      <c r="L35">
        <v>-1090668</v>
      </c>
      <c r="M35">
        <v>-58291400</v>
      </c>
      <c r="N35">
        <v>-267344791</v>
      </c>
      <c r="O35">
        <v>-22974016</v>
      </c>
      <c r="P35">
        <v>-218982098</v>
      </c>
      <c r="Q35">
        <v>-6118756</v>
      </c>
      <c r="R35">
        <v>2956290</v>
      </c>
      <c r="S35">
        <v>34706796</v>
      </c>
      <c r="T35">
        <v>-2719129</v>
      </c>
      <c r="U35">
        <v>10189348</v>
      </c>
      <c r="V35">
        <v>-34878262</v>
      </c>
      <c r="W35">
        <v>7207703</v>
      </c>
      <c r="X35">
        <v>4745296</v>
      </c>
      <c r="Y35">
        <v>157719</v>
      </c>
      <c r="Z35">
        <v>23902557</v>
      </c>
      <c r="AA35">
        <v>-84879753</v>
      </c>
      <c r="AB35">
        <v>28047649</v>
      </c>
      <c r="AC35">
        <v>-67035224</v>
      </c>
      <c r="AD35">
        <v>25447416</v>
      </c>
      <c r="AE35">
        <v>-85034270</v>
      </c>
      <c r="AF35">
        <v>46390070</v>
      </c>
      <c r="AG35">
        <v>-46887941</v>
      </c>
      <c r="AH35">
        <v>-17051810</v>
      </c>
      <c r="AI35">
        <v>-160393172</v>
      </c>
      <c r="AJ35">
        <v>15622416</v>
      </c>
      <c r="AK35">
        <v>-376204756</v>
      </c>
      <c r="AL35">
        <v>-65361909</v>
      </c>
      <c r="AM35">
        <v>-87946311</v>
      </c>
      <c r="AN35">
        <v>-5986229</v>
      </c>
      <c r="AO35">
        <v>9762885</v>
      </c>
      <c r="AP35">
        <v>-34972531</v>
      </c>
      <c r="AQ35">
        <v>-3287485</v>
      </c>
      <c r="AR35">
        <v>-639035400</v>
      </c>
      <c r="AS35">
        <v>-5072449</v>
      </c>
      <c r="AT35">
        <v>-75414982</v>
      </c>
      <c r="AU35">
        <v>-4795773</v>
      </c>
      <c r="AV35">
        <v>-83572909</v>
      </c>
      <c r="AW35">
        <v>-2765123</v>
      </c>
      <c r="AX35">
        <v>11210051</v>
      </c>
      <c r="AY35">
        <v>-4090515</v>
      </c>
      <c r="AZ35">
        <v>66405993</v>
      </c>
      <c r="BA35">
        <v>-31194428</v>
      </c>
      <c r="BB35">
        <v>-283743159</v>
      </c>
      <c r="BC35">
        <v>35623812</v>
      </c>
      <c r="BD35">
        <v>-74004881</v>
      </c>
      <c r="BE35">
        <v>-6657220</v>
      </c>
      <c r="BF35">
        <v>-59123510</v>
      </c>
      <c r="BG35">
        <v>-46379410</v>
      </c>
      <c r="BH35">
        <v>4198525</v>
      </c>
      <c r="BI35">
        <v>-4930976</v>
      </c>
      <c r="BJ35">
        <v>5460176</v>
      </c>
      <c r="BK35">
        <v>-1131335818</v>
      </c>
      <c r="BL35">
        <v>-2738309</v>
      </c>
      <c r="BM35">
        <v>24202261</v>
      </c>
      <c r="BN35">
        <v>-126273905</v>
      </c>
      <c r="BO35">
        <v>-70266071</v>
      </c>
      <c r="BP35">
        <v>-668527571</v>
      </c>
      <c r="BQ35">
        <v>-662825</v>
      </c>
      <c r="BR35">
        <v>-260115762</v>
      </c>
      <c r="BS35">
        <v>-255080848</v>
      </c>
      <c r="BT35">
        <v>7547403</v>
      </c>
      <c r="BU35">
        <v>-2818428</v>
      </c>
      <c r="BV35">
        <v>-40084138</v>
      </c>
      <c r="BW35">
        <v>5731816</v>
      </c>
      <c r="BX35">
        <v>15193213</v>
      </c>
      <c r="BY35">
        <v>3206252</v>
      </c>
      <c r="BZ35">
        <v>10900716</v>
      </c>
      <c r="CA35">
        <v>-35408255</v>
      </c>
      <c r="CB35">
        <v>-10932400</v>
      </c>
      <c r="CC35">
        <v>-16646916</v>
      </c>
      <c r="CD35">
        <v>-44423788</v>
      </c>
      <c r="CE35">
        <v>20577542</v>
      </c>
      <c r="CF35">
        <v>-17655693</v>
      </c>
      <c r="CG35">
        <v>14847507</v>
      </c>
      <c r="CH35">
        <v>-52018344</v>
      </c>
      <c r="CI35">
        <v>25413805</v>
      </c>
      <c r="CJ35">
        <v>-597736</v>
      </c>
      <c r="CK35">
        <v>19303716</v>
      </c>
      <c r="CL35">
        <v>-3712306</v>
      </c>
      <c r="CM35">
        <v>40727245</v>
      </c>
      <c r="CN35">
        <v>-3045226</v>
      </c>
      <c r="CO35">
        <v>-193063777</v>
      </c>
      <c r="CP35">
        <v>2139317</v>
      </c>
      <c r="CQ35">
        <v>-2464141422</v>
      </c>
      <c r="CR35">
        <v>12610874</v>
      </c>
      <c r="CS35">
        <v>-5764262</v>
      </c>
      <c r="CT35">
        <v>85264312</v>
      </c>
      <c r="CU35">
        <v>-2232330</v>
      </c>
      <c r="CV35">
        <v>-20221735</v>
      </c>
      <c r="CW35">
        <v>-52941951</v>
      </c>
      <c r="CX35">
        <v>18786439</v>
      </c>
      <c r="CY35">
        <v>-6998213</v>
      </c>
    </row>
    <row r="36" spans="1:103" x14ac:dyDescent="0.3">
      <c r="A36">
        <v>255</v>
      </c>
      <c r="B36" t="s">
        <v>165</v>
      </c>
      <c r="D36">
        <v>-36280853</v>
      </c>
      <c r="E36">
        <v>2006104</v>
      </c>
      <c r="F36">
        <v>3209270</v>
      </c>
      <c r="G36">
        <v>3240976</v>
      </c>
      <c r="H36">
        <v>6758528</v>
      </c>
      <c r="I36">
        <v>11583824</v>
      </c>
      <c r="J36">
        <v>14893040</v>
      </c>
      <c r="K36">
        <v>541027</v>
      </c>
      <c r="L36">
        <v>15316304</v>
      </c>
      <c r="M36">
        <v>33287939</v>
      </c>
      <c r="N36">
        <v>59558131</v>
      </c>
      <c r="O36">
        <v>18415394</v>
      </c>
      <c r="P36">
        <v>70265676</v>
      </c>
      <c r="Q36">
        <v>14217343</v>
      </c>
      <c r="R36">
        <v>4346886</v>
      </c>
      <c r="S36">
        <v>20944395</v>
      </c>
      <c r="T36">
        <v>-4623476</v>
      </c>
      <c r="U36">
        <v>48374256</v>
      </c>
      <c r="V36">
        <v>15430435</v>
      </c>
      <c r="W36">
        <v>5347210</v>
      </c>
      <c r="X36">
        <v>6101122</v>
      </c>
      <c r="Y36">
        <v>2995016</v>
      </c>
      <c r="Z36">
        <v>19010058</v>
      </c>
      <c r="AA36">
        <v>28757135</v>
      </c>
      <c r="AB36">
        <v>20441358</v>
      </c>
      <c r="AC36">
        <v>86727726</v>
      </c>
      <c r="AD36">
        <v>23797420</v>
      </c>
      <c r="AE36">
        <v>60718243</v>
      </c>
      <c r="AF36">
        <v>36111932</v>
      </c>
      <c r="AG36">
        <v>11257504</v>
      </c>
      <c r="AH36">
        <v>38802793</v>
      </c>
      <c r="AI36">
        <v>4561031</v>
      </c>
      <c r="AJ36">
        <v>10508638</v>
      </c>
      <c r="AK36">
        <v>62862585</v>
      </c>
      <c r="AL36">
        <v>9560866</v>
      </c>
      <c r="AM36">
        <v>42394617</v>
      </c>
      <c r="AN36">
        <v>2238553</v>
      </c>
      <c r="AO36">
        <v>46641</v>
      </c>
      <c r="AP36">
        <v>9067676</v>
      </c>
      <c r="AQ36">
        <v>6458951</v>
      </c>
      <c r="AR36">
        <v>67972383</v>
      </c>
      <c r="AS36">
        <v>3034655</v>
      </c>
      <c r="AT36">
        <v>-2290477</v>
      </c>
      <c r="AU36">
        <v>16074198</v>
      </c>
      <c r="AV36">
        <v>-8543202</v>
      </c>
      <c r="AW36">
        <v>5890930</v>
      </c>
      <c r="AX36">
        <v>12251805</v>
      </c>
      <c r="AY36">
        <v>-1013731</v>
      </c>
      <c r="AZ36">
        <v>46079208</v>
      </c>
      <c r="BA36">
        <v>11171267</v>
      </c>
      <c r="BB36">
        <v>36757758</v>
      </c>
      <c r="BC36">
        <v>2045211</v>
      </c>
      <c r="BD36">
        <v>18173079</v>
      </c>
      <c r="BE36">
        <v>8631988</v>
      </c>
      <c r="BF36">
        <v>28769971</v>
      </c>
      <c r="BG36">
        <v>4689075</v>
      </c>
      <c r="BH36">
        <v>10678332</v>
      </c>
      <c r="BI36">
        <v>4658891</v>
      </c>
      <c r="BJ36">
        <v>6744701</v>
      </c>
      <c r="BK36">
        <v>73616697</v>
      </c>
      <c r="BL36">
        <v>-514314</v>
      </c>
      <c r="BM36">
        <v>9011463</v>
      </c>
      <c r="BN36">
        <v>29389003</v>
      </c>
      <c r="BO36">
        <v>18683142</v>
      </c>
      <c r="BP36">
        <v>29592902</v>
      </c>
      <c r="BQ36">
        <v>4905977</v>
      </c>
      <c r="BR36">
        <v>38964059</v>
      </c>
      <c r="BS36">
        <v>21222902</v>
      </c>
      <c r="BT36">
        <v>1781837</v>
      </c>
      <c r="BU36">
        <v>10928461</v>
      </c>
      <c r="BV36">
        <v>24681672</v>
      </c>
      <c r="BW36">
        <v>5877246</v>
      </c>
      <c r="BX36">
        <v>7316355</v>
      </c>
      <c r="BY36">
        <v>29436041</v>
      </c>
      <c r="BZ36">
        <v>5571273</v>
      </c>
      <c r="CA36">
        <v>8167814</v>
      </c>
      <c r="CB36">
        <v>5250278</v>
      </c>
      <c r="CC36">
        <v>9499299</v>
      </c>
      <c r="CD36">
        <v>25016544</v>
      </c>
      <c r="CE36">
        <v>26378748</v>
      </c>
      <c r="CF36">
        <v>37135067</v>
      </c>
      <c r="CG36">
        <v>23674641</v>
      </c>
      <c r="CH36">
        <v>4754959</v>
      </c>
      <c r="CI36">
        <v>9761787</v>
      </c>
      <c r="CJ36">
        <v>3643524</v>
      </c>
      <c r="CK36">
        <v>11018502</v>
      </c>
      <c r="CL36">
        <v>1871846</v>
      </c>
      <c r="CM36">
        <v>13898128</v>
      </c>
      <c r="CN36">
        <v>1675388</v>
      </c>
      <c r="CO36">
        <v>55937922</v>
      </c>
      <c r="CP36">
        <v>8234595</v>
      </c>
      <c r="CQ36">
        <v>57040177</v>
      </c>
      <c r="CR36">
        <v>3183157</v>
      </c>
      <c r="CS36">
        <v>3322645</v>
      </c>
      <c r="CT36">
        <v>25764781</v>
      </c>
      <c r="CU36">
        <v>20458978</v>
      </c>
      <c r="CV36">
        <v>2560687</v>
      </c>
      <c r="CW36">
        <v>6650226</v>
      </c>
      <c r="CX36">
        <v>10173330</v>
      </c>
      <c r="CY36">
        <v>6316356</v>
      </c>
    </row>
    <row r="37" spans="1:103" x14ac:dyDescent="0.3">
      <c r="A37">
        <v>327</v>
      </c>
      <c r="B37" t="s">
        <v>607</v>
      </c>
      <c r="D37">
        <v>0</v>
      </c>
      <c r="E37">
        <v>0</v>
      </c>
      <c r="F37">
        <v>0</v>
      </c>
      <c r="G37">
        <v>145590</v>
      </c>
      <c r="H37">
        <v>0</v>
      </c>
      <c r="I37">
        <v>0</v>
      </c>
      <c r="J37">
        <v>105789</v>
      </c>
      <c r="K37">
        <v>129994</v>
      </c>
      <c r="L37">
        <v>454855</v>
      </c>
      <c r="M37">
        <v>2902315</v>
      </c>
      <c r="N37">
        <v>0</v>
      </c>
      <c r="O37">
        <v>656166</v>
      </c>
      <c r="P37">
        <v>0</v>
      </c>
      <c r="Q37">
        <v>60181</v>
      </c>
      <c r="R37">
        <v>1050394</v>
      </c>
      <c r="S37">
        <v>222608</v>
      </c>
      <c r="T37">
        <v>0</v>
      </c>
      <c r="U37">
        <v>0</v>
      </c>
      <c r="V37">
        <v>484753</v>
      </c>
      <c r="W37">
        <v>0</v>
      </c>
      <c r="X37">
        <v>140847</v>
      </c>
      <c r="Y37">
        <v>120280</v>
      </c>
      <c r="Z37">
        <v>0</v>
      </c>
      <c r="AA37">
        <v>125300</v>
      </c>
      <c r="AB37">
        <v>947354</v>
      </c>
      <c r="AC37">
        <v>28963</v>
      </c>
      <c r="AD37">
        <v>1907991</v>
      </c>
      <c r="AE37">
        <v>4573941</v>
      </c>
      <c r="AF37">
        <v>0</v>
      </c>
      <c r="AG37">
        <v>338521</v>
      </c>
      <c r="AH37">
        <v>403998</v>
      </c>
      <c r="AI37">
        <v>5253865</v>
      </c>
      <c r="AJ37">
        <v>51992</v>
      </c>
      <c r="AK37">
        <v>0</v>
      </c>
      <c r="AL37">
        <v>369456</v>
      </c>
      <c r="AM37">
        <v>0</v>
      </c>
      <c r="AN37">
        <v>432336</v>
      </c>
      <c r="AO37">
        <v>0</v>
      </c>
      <c r="AP37">
        <v>0</v>
      </c>
      <c r="AQ37">
        <v>231692</v>
      </c>
      <c r="AR37">
        <v>0</v>
      </c>
      <c r="AS37">
        <v>124477</v>
      </c>
      <c r="AT37">
        <v>1206943</v>
      </c>
      <c r="AU37">
        <v>0</v>
      </c>
      <c r="AV37">
        <v>6664</v>
      </c>
      <c r="AW37">
        <v>21271</v>
      </c>
      <c r="AX37">
        <v>488804</v>
      </c>
      <c r="AY37">
        <v>57839</v>
      </c>
      <c r="AZ37">
        <v>0</v>
      </c>
      <c r="BA37">
        <v>0</v>
      </c>
      <c r="BB37">
        <v>2387042</v>
      </c>
      <c r="BC37">
        <v>54808</v>
      </c>
      <c r="BD37">
        <v>0</v>
      </c>
      <c r="BE37">
        <v>0</v>
      </c>
      <c r="BF37">
        <v>838427</v>
      </c>
      <c r="BG37">
        <v>0</v>
      </c>
      <c r="BH37">
        <v>0</v>
      </c>
      <c r="BI37">
        <v>46800</v>
      </c>
      <c r="BJ37">
        <v>0</v>
      </c>
      <c r="BK37">
        <v>0</v>
      </c>
      <c r="BL37">
        <v>0</v>
      </c>
      <c r="BM37">
        <v>156681</v>
      </c>
      <c r="BN37">
        <v>689981</v>
      </c>
      <c r="BO37">
        <v>0</v>
      </c>
      <c r="BP37">
        <v>0</v>
      </c>
      <c r="BQ37">
        <v>0</v>
      </c>
      <c r="BR37">
        <v>0</v>
      </c>
      <c r="BS37">
        <v>0</v>
      </c>
      <c r="BT37">
        <v>70286</v>
      </c>
      <c r="BU37">
        <v>777074</v>
      </c>
      <c r="BV37">
        <v>366193</v>
      </c>
      <c r="BW37">
        <v>187056</v>
      </c>
      <c r="BX37">
        <v>0</v>
      </c>
      <c r="BY37">
        <v>0</v>
      </c>
      <c r="BZ37">
        <v>1917545</v>
      </c>
      <c r="CA37">
        <v>0</v>
      </c>
      <c r="CB37">
        <v>290699</v>
      </c>
      <c r="CC37">
        <v>1542006</v>
      </c>
      <c r="CD37">
        <v>46284</v>
      </c>
      <c r="CE37">
        <v>0</v>
      </c>
      <c r="CF37">
        <v>0</v>
      </c>
      <c r="CG37">
        <v>225319</v>
      </c>
      <c r="CH37">
        <v>0</v>
      </c>
      <c r="CI37">
        <v>223784</v>
      </c>
      <c r="CJ37">
        <v>57701</v>
      </c>
      <c r="CK37">
        <v>80875</v>
      </c>
      <c r="CL37">
        <v>0</v>
      </c>
      <c r="CM37">
        <v>0</v>
      </c>
      <c r="CN37">
        <v>68261</v>
      </c>
      <c r="CO37">
        <v>3872571</v>
      </c>
      <c r="CP37">
        <v>16480</v>
      </c>
      <c r="CQ37">
        <v>0</v>
      </c>
      <c r="CR37">
        <v>118990</v>
      </c>
      <c r="CS37">
        <v>35864</v>
      </c>
      <c r="CT37">
        <v>0</v>
      </c>
      <c r="CU37">
        <v>23628</v>
      </c>
      <c r="CV37">
        <v>0</v>
      </c>
      <c r="CW37">
        <v>127058</v>
      </c>
      <c r="CX37">
        <v>0</v>
      </c>
      <c r="CY37">
        <v>0</v>
      </c>
    </row>
    <row r="38" spans="1:103" x14ac:dyDescent="0.3">
      <c r="A38">
        <v>328</v>
      </c>
      <c r="B38" t="s">
        <v>259</v>
      </c>
      <c r="D38">
        <v>0</v>
      </c>
      <c r="E38">
        <v>10540855</v>
      </c>
      <c r="F38">
        <v>0</v>
      </c>
      <c r="G38">
        <v>0</v>
      </c>
      <c r="H38">
        <v>0</v>
      </c>
      <c r="I38">
        <v>0</v>
      </c>
      <c r="J38">
        <v>8301049</v>
      </c>
      <c r="K38">
        <v>0</v>
      </c>
      <c r="L38">
        <v>5000</v>
      </c>
      <c r="M38">
        <v>176523657</v>
      </c>
      <c r="N38">
        <v>0</v>
      </c>
      <c r="O38">
        <v>0</v>
      </c>
      <c r="P38">
        <v>0</v>
      </c>
      <c r="Q38">
        <v>226590</v>
      </c>
      <c r="R38">
        <v>37503</v>
      </c>
      <c r="S38">
        <v>0</v>
      </c>
      <c r="T38">
        <v>0</v>
      </c>
      <c r="U38">
        <v>0</v>
      </c>
      <c r="V38">
        <v>9618542</v>
      </c>
      <c r="W38">
        <v>0</v>
      </c>
      <c r="X38">
        <v>0</v>
      </c>
      <c r="Y38">
        <v>0</v>
      </c>
      <c r="Z38">
        <v>0</v>
      </c>
      <c r="AA38">
        <v>7812588</v>
      </c>
      <c r="AB38">
        <v>1344156</v>
      </c>
      <c r="AC38">
        <v>17247</v>
      </c>
      <c r="AD38">
        <v>159628</v>
      </c>
      <c r="AE38">
        <v>11756162</v>
      </c>
      <c r="AF38">
        <v>0</v>
      </c>
      <c r="AG38">
        <v>5194092</v>
      </c>
      <c r="AH38">
        <v>0</v>
      </c>
      <c r="AI38">
        <v>16472619</v>
      </c>
      <c r="AJ38">
        <v>0</v>
      </c>
      <c r="AK38">
        <v>0</v>
      </c>
      <c r="AL38">
        <v>8902871</v>
      </c>
      <c r="AM38">
        <v>0</v>
      </c>
      <c r="AN38">
        <v>0</v>
      </c>
      <c r="AO38">
        <v>0</v>
      </c>
      <c r="AP38">
        <v>0</v>
      </c>
      <c r="AQ38">
        <v>840528</v>
      </c>
      <c r="AR38">
        <v>0</v>
      </c>
      <c r="AS38">
        <v>0</v>
      </c>
      <c r="AT38">
        <v>35975318</v>
      </c>
      <c r="AU38">
        <v>0</v>
      </c>
      <c r="AV38">
        <v>0</v>
      </c>
      <c r="AW38">
        <v>0</v>
      </c>
      <c r="AX38">
        <v>1495275</v>
      </c>
      <c r="AY38">
        <v>0</v>
      </c>
      <c r="AZ38">
        <v>0</v>
      </c>
      <c r="BA38">
        <v>0</v>
      </c>
      <c r="BB38">
        <v>71941918</v>
      </c>
      <c r="BC38">
        <v>9832998</v>
      </c>
      <c r="BD38">
        <v>0</v>
      </c>
      <c r="BE38">
        <v>0</v>
      </c>
      <c r="BF38">
        <v>44487216</v>
      </c>
      <c r="BG38">
        <v>0</v>
      </c>
      <c r="BH38">
        <v>0</v>
      </c>
      <c r="BI38">
        <v>41527</v>
      </c>
      <c r="BJ38">
        <v>14655</v>
      </c>
      <c r="BK38">
        <v>0</v>
      </c>
      <c r="BL38">
        <v>0</v>
      </c>
      <c r="BM38">
        <v>6761067</v>
      </c>
      <c r="BN38">
        <v>2674377</v>
      </c>
      <c r="BO38">
        <v>9507690</v>
      </c>
      <c r="BP38">
        <v>0</v>
      </c>
      <c r="BQ38">
        <v>608928</v>
      </c>
      <c r="BR38">
        <v>0</v>
      </c>
      <c r="BS38">
        <v>0</v>
      </c>
      <c r="BT38">
        <v>894728</v>
      </c>
      <c r="BU38">
        <v>321118</v>
      </c>
      <c r="BV38">
        <v>1984319</v>
      </c>
      <c r="BW38">
        <v>0</v>
      </c>
      <c r="BX38">
        <v>0</v>
      </c>
      <c r="BY38">
        <v>0</v>
      </c>
      <c r="BZ38">
        <v>555232</v>
      </c>
      <c r="CA38">
        <v>0</v>
      </c>
      <c r="CB38">
        <v>1400656</v>
      </c>
      <c r="CC38">
        <v>0</v>
      </c>
      <c r="CD38">
        <v>7419797</v>
      </c>
      <c r="CE38">
        <v>0</v>
      </c>
      <c r="CF38">
        <v>0</v>
      </c>
      <c r="CG38">
        <v>7285697</v>
      </c>
      <c r="CH38">
        <v>25807</v>
      </c>
      <c r="CI38">
        <v>9679140</v>
      </c>
      <c r="CJ38">
        <v>0</v>
      </c>
      <c r="CK38">
        <v>0</v>
      </c>
      <c r="CL38">
        <v>0</v>
      </c>
      <c r="CM38">
        <v>0</v>
      </c>
      <c r="CN38">
        <v>0</v>
      </c>
      <c r="CO38">
        <v>257413672</v>
      </c>
      <c r="CP38">
        <v>69640</v>
      </c>
      <c r="CQ38">
        <v>0</v>
      </c>
      <c r="CR38">
        <v>123215</v>
      </c>
      <c r="CS38">
        <v>0</v>
      </c>
      <c r="CT38">
        <v>0</v>
      </c>
      <c r="CU38">
        <v>0</v>
      </c>
      <c r="CV38">
        <v>0</v>
      </c>
      <c r="CW38">
        <v>0</v>
      </c>
      <c r="CX38">
        <v>0</v>
      </c>
      <c r="CY38">
        <v>8041720</v>
      </c>
    </row>
    <row r="39" spans="1:103" x14ac:dyDescent="0.3">
      <c r="A39">
        <v>331</v>
      </c>
      <c r="B39" t="s">
        <v>201</v>
      </c>
      <c r="D39">
        <v>0</v>
      </c>
      <c r="E39">
        <v>895286</v>
      </c>
      <c r="F39">
        <v>0</v>
      </c>
      <c r="G39">
        <v>89411</v>
      </c>
      <c r="H39">
        <v>0</v>
      </c>
      <c r="I39">
        <v>0</v>
      </c>
      <c r="J39">
        <v>2254594</v>
      </c>
      <c r="K39">
        <v>661345</v>
      </c>
      <c r="L39">
        <v>681280</v>
      </c>
      <c r="M39">
        <v>12831145</v>
      </c>
      <c r="N39">
        <v>0</v>
      </c>
      <c r="O39">
        <v>68771</v>
      </c>
      <c r="P39">
        <v>0</v>
      </c>
      <c r="Q39">
        <v>0</v>
      </c>
      <c r="R39">
        <v>276390</v>
      </c>
      <c r="S39">
        <v>190032</v>
      </c>
      <c r="T39">
        <v>0</v>
      </c>
      <c r="U39">
        <v>0</v>
      </c>
      <c r="V39">
        <v>1115019</v>
      </c>
      <c r="W39">
        <v>0</v>
      </c>
      <c r="X39">
        <v>0</v>
      </c>
      <c r="Y39">
        <v>100274</v>
      </c>
      <c r="Z39">
        <v>0</v>
      </c>
      <c r="AA39">
        <v>526553</v>
      </c>
      <c r="AB39">
        <v>889062</v>
      </c>
      <c r="AC39">
        <v>62658</v>
      </c>
      <c r="AD39">
        <v>2150000</v>
      </c>
      <c r="AE39">
        <v>1400000</v>
      </c>
      <c r="AF39">
        <v>650000</v>
      </c>
      <c r="AG39">
        <v>820105</v>
      </c>
      <c r="AH39">
        <v>620000</v>
      </c>
      <c r="AI39">
        <v>1471145</v>
      </c>
      <c r="AJ39">
        <v>567106</v>
      </c>
      <c r="AK39">
        <v>0</v>
      </c>
      <c r="AL39">
        <v>970465</v>
      </c>
      <c r="AM39">
        <v>0</v>
      </c>
      <c r="AN39">
        <v>0</v>
      </c>
      <c r="AO39">
        <v>0</v>
      </c>
      <c r="AP39">
        <v>0</v>
      </c>
      <c r="AQ39">
        <v>638940</v>
      </c>
      <c r="AR39">
        <v>0</v>
      </c>
      <c r="AS39">
        <v>1264511</v>
      </c>
      <c r="AT39">
        <v>2992000</v>
      </c>
      <c r="AU39">
        <v>0</v>
      </c>
      <c r="AV39">
        <v>0</v>
      </c>
      <c r="AW39">
        <v>459024</v>
      </c>
      <c r="AX39">
        <v>1037129</v>
      </c>
      <c r="AY39">
        <v>152244</v>
      </c>
      <c r="AZ39">
        <v>0</v>
      </c>
      <c r="BA39">
        <v>0</v>
      </c>
      <c r="BB39">
        <v>7446906</v>
      </c>
      <c r="BC39">
        <v>297624</v>
      </c>
      <c r="BD39">
        <v>0</v>
      </c>
      <c r="BE39">
        <v>0</v>
      </c>
      <c r="BF39">
        <v>1851408</v>
      </c>
      <c r="BG39">
        <v>0</v>
      </c>
      <c r="BH39">
        <v>0</v>
      </c>
      <c r="BI39">
        <v>375000</v>
      </c>
      <c r="BJ39">
        <v>112500</v>
      </c>
      <c r="BK39">
        <v>0</v>
      </c>
      <c r="BL39">
        <v>0</v>
      </c>
      <c r="BM39">
        <v>811144</v>
      </c>
      <c r="BN39">
        <v>3162474</v>
      </c>
      <c r="BO39">
        <v>583100</v>
      </c>
      <c r="BP39">
        <v>0</v>
      </c>
      <c r="BQ39">
        <v>693434</v>
      </c>
      <c r="BR39">
        <v>0</v>
      </c>
      <c r="BS39">
        <v>0</v>
      </c>
      <c r="BT39">
        <v>346942</v>
      </c>
      <c r="BU39">
        <v>963500</v>
      </c>
      <c r="BV39">
        <v>1684981</v>
      </c>
      <c r="BW39">
        <v>159292</v>
      </c>
      <c r="BX39">
        <v>0</v>
      </c>
      <c r="BY39">
        <v>0</v>
      </c>
      <c r="BZ39">
        <v>0</v>
      </c>
      <c r="CA39">
        <v>0</v>
      </c>
      <c r="CB39">
        <v>495414</v>
      </c>
      <c r="CC39">
        <v>1277971</v>
      </c>
      <c r="CD39">
        <v>434006</v>
      </c>
      <c r="CE39">
        <v>0</v>
      </c>
      <c r="CF39">
        <v>0</v>
      </c>
      <c r="CG39">
        <v>546431</v>
      </c>
      <c r="CH39">
        <v>155000</v>
      </c>
      <c r="CI39">
        <v>373015</v>
      </c>
      <c r="CJ39">
        <v>0</v>
      </c>
      <c r="CK39">
        <v>47000</v>
      </c>
      <c r="CL39">
        <v>0</v>
      </c>
      <c r="CM39">
        <v>0</v>
      </c>
      <c r="CN39">
        <v>88000</v>
      </c>
      <c r="CO39">
        <v>4600000</v>
      </c>
      <c r="CP39">
        <v>217688</v>
      </c>
      <c r="CQ39">
        <v>0</v>
      </c>
      <c r="CR39">
        <v>396713</v>
      </c>
      <c r="CS39">
        <v>290993</v>
      </c>
      <c r="CT39">
        <v>0</v>
      </c>
      <c r="CU39">
        <v>90000</v>
      </c>
      <c r="CV39">
        <v>0</v>
      </c>
      <c r="CW39">
        <v>297911</v>
      </c>
      <c r="CX39">
        <v>209200</v>
      </c>
      <c r="CY39">
        <v>38162</v>
      </c>
    </row>
    <row r="40" spans="1:103" x14ac:dyDescent="0.3">
      <c r="A40">
        <v>332</v>
      </c>
      <c r="B40" t="s">
        <v>202</v>
      </c>
      <c r="D40">
        <v>0</v>
      </c>
      <c r="E40">
        <v>1650666</v>
      </c>
      <c r="F40">
        <v>0</v>
      </c>
      <c r="G40">
        <v>846066</v>
      </c>
      <c r="H40">
        <v>0</v>
      </c>
      <c r="I40">
        <v>0</v>
      </c>
      <c r="J40">
        <v>2084134</v>
      </c>
      <c r="K40">
        <v>0</v>
      </c>
      <c r="L40">
        <v>1218310</v>
      </c>
      <c r="M40">
        <v>61971524</v>
      </c>
      <c r="N40">
        <v>0</v>
      </c>
      <c r="O40">
        <v>318260</v>
      </c>
      <c r="P40">
        <v>0</v>
      </c>
      <c r="Q40">
        <v>23125</v>
      </c>
      <c r="R40">
        <v>0</v>
      </c>
      <c r="S40">
        <v>0</v>
      </c>
      <c r="T40">
        <v>0</v>
      </c>
      <c r="U40">
        <v>0</v>
      </c>
      <c r="V40">
        <v>849502</v>
      </c>
      <c r="W40">
        <v>0</v>
      </c>
      <c r="X40">
        <v>123996</v>
      </c>
      <c r="Y40">
        <v>34148</v>
      </c>
      <c r="Z40">
        <v>0</v>
      </c>
      <c r="AA40">
        <v>2083479</v>
      </c>
      <c r="AB40">
        <v>751227</v>
      </c>
      <c r="AC40">
        <v>17247</v>
      </c>
      <c r="AD40">
        <v>1679036</v>
      </c>
      <c r="AE40">
        <v>4187814</v>
      </c>
      <c r="AF40">
        <v>440</v>
      </c>
      <c r="AG40">
        <v>3203917</v>
      </c>
      <c r="AH40">
        <v>63728</v>
      </c>
      <c r="AI40">
        <v>7134101</v>
      </c>
      <c r="AJ40">
        <v>48196</v>
      </c>
      <c r="AK40">
        <v>0</v>
      </c>
      <c r="AL40">
        <v>8541482</v>
      </c>
      <c r="AM40">
        <v>0</v>
      </c>
      <c r="AN40">
        <v>0</v>
      </c>
      <c r="AO40">
        <v>0</v>
      </c>
      <c r="AP40">
        <v>0</v>
      </c>
      <c r="AQ40">
        <v>356126</v>
      </c>
      <c r="AR40">
        <v>0</v>
      </c>
      <c r="AS40">
        <v>74294</v>
      </c>
      <c r="AT40">
        <v>7196383</v>
      </c>
      <c r="AU40">
        <v>0</v>
      </c>
      <c r="AV40">
        <v>0</v>
      </c>
      <c r="AW40">
        <v>160215</v>
      </c>
      <c r="AX40">
        <v>1917425</v>
      </c>
      <c r="AY40">
        <v>162140</v>
      </c>
      <c r="AZ40">
        <v>0</v>
      </c>
      <c r="BA40">
        <v>0</v>
      </c>
      <c r="BB40">
        <v>51715283</v>
      </c>
      <c r="BC40">
        <v>2507326</v>
      </c>
      <c r="BD40">
        <v>0</v>
      </c>
      <c r="BE40">
        <v>0</v>
      </c>
      <c r="BF40">
        <v>21940360</v>
      </c>
      <c r="BG40">
        <v>0</v>
      </c>
      <c r="BH40">
        <v>0</v>
      </c>
      <c r="BI40">
        <v>55968</v>
      </c>
      <c r="BJ40">
        <v>20550</v>
      </c>
      <c r="BK40">
        <v>0</v>
      </c>
      <c r="BL40">
        <v>0</v>
      </c>
      <c r="BM40">
        <v>3370391</v>
      </c>
      <c r="BN40">
        <v>2113146</v>
      </c>
      <c r="BO40">
        <v>464791</v>
      </c>
      <c r="BP40">
        <v>0</v>
      </c>
      <c r="BQ40">
        <v>97272</v>
      </c>
      <c r="BR40">
        <v>0</v>
      </c>
      <c r="BS40">
        <v>0</v>
      </c>
      <c r="BT40">
        <v>427377</v>
      </c>
      <c r="BU40">
        <v>2007201</v>
      </c>
      <c r="BV40">
        <v>1950065</v>
      </c>
      <c r="BW40">
        <v>108207</v>
      </c>
      <c r="BX40">
        <v>0</v>
      </c>
      <c r="BY40">
        <v>0</v>
      </c>
      <c r="BZ40">
        <v>339073</v>
      </c>
      <c r="CA40">
        <v>0</v>
      </c>
      <c r="CB40">
        <v>196247</v>
      </c>
      <c r="CC40">
        <v>1998934</v>
      </c>
      <c r="CD40">
        <v>3051272</v>
      </c>
      <c r="CE40">
        <v>321217</v>
      </c>
      <c r="CF40">
        <v>0</v>
      </c>
      <c r="CG40">
        <v>4322825</v>
      </c>
      <c r="CH40">
        <v>25807</v>
      </c>
      <c r="CI40">
        <v>4749708</v>
      </c>
      <c r="CJ40">
        <v>38879</v>
      </c>
      <c r="CK40">
        <v>0</v>
      </c>
      <c r="CL40">
        <v>0</v>
      </c>
      <c r="CM40">
        <v>0</v>
      </c>
      <c r="CN40">
        <v>52424</v>
      </c>
      <c r="CO40">
        <v>170053736</v>
      </c>
      <c r="CP40">
        <v>69640</v>
      </c>
      <c r="CQ40">
        <v>0</v>
      </c>
      <c r="CR40">
        <v>265586</v>
      </c>
      <c r="CS40">
        <v>49902</v>
      </c>
      <c r="CT40">
        <v>0</v>
      </c>
      <c r="CU40">
        <v>25020</v>
      </c>
      <c r="CV40">
        <v>0</v>
      </c>
      <c r="CW40">
        <v>44812</v>
      </c>
      <c r="CX40">
        <v>0</v>
      </c>
      <c r="CY40">
        <v>835877</v>
      </c>
    </row>
    <row r="41" spans="1:103" x14ac:dyDescent="0.3">
      <c r="A41">
        <v>333</v>
      </c>
      <c r="B41" t="s">
        <v>153</v>
      </c>
      <c r="D41">
        <v>116694531</v>
      </c>
      <c r="E41">
        <v>27353295</v>
      </c>
      <c r="F41">
        <v>12304983</v>
      </c>
      <c r="G41">
        <v>23037259</v>
      </c>
      <c r="H41">
        <v>22387168</v>
      </c>
      <c r="I41">
        <v>37251545</v>
      </c>
      <c r="J41">
        <v>50775819</v>
      </c>
      <c r="K41">
        <v>3519794</v>
      </c>
      <c r="L41">
        <v>40864391</v>
      </c>
      <c r="M41">
        <v>215672215</v>
      </c>
      <c r="N41">
        <v>215546808</v>
      </c>
      <c r="O41">
        <v>92431565</v>
      </c>
      <c r="P41">
        <v>235470718</v>
      </c>
      <c r="Q41">
        <v>32645710</v>
      </c>
      <c r="R41">
        <v>15742300</v>
      </c>
      <c r="S41">
        <v>89714122</v>
      </c>
      <c r="T41">
        <v>12377888</v>
      </c>
      <c r="U41">
        <v>152880349</v>
      </c>
      <c r="V41">
        <v>140871305</v>
      </c>
      <c r="W41">
        <v>28489046</v>
      </c>
      <c r="X41">
        <v>13172363</v>
      </c>
      <c r="Y41">
        <v>9094206</v>
      </c>
      <c r="Z41">
        <v>70161502</v>
      </c>
      <c r="AA41">
        <v>26328494</v>
      </c>
      <c r="AB41">
        <v>74844078</v>
      </c>
      <c r="AC41">
        <v>271651449</v>
      </c>
      <c r="AD41">
        <v>134458249</v>
      </c>
      <c r="AE41">
        <v>133733656</v>
      </c>
      <c r="AF41">
        <v>153397037</v>
      </c>
      <c r="AG41">
        <v>19841323</v>
      </c>
      <c r="AH41">
        <v>86189660</v>
      </c>
      <c r="AI41">
        <v>357674865</v>
      </c>
      <c r="AJ41">
        <v>25836053</v>
      </c>
      <c r="AK41">
        <v>261686225</v>
      </c>
      <c r="AL41">
        <v>47587484</v>
      </c>
      <c r="AM41">
        <v>203835656</v>
      </c>
      <c r="AN41">
        <v>8555584</v>
      </c>
      <c r="AO41">
        <v>8731630</v>
      </c>
      <c r="AP41">
        <v>44431937</v>
      </c>
      <c r="AQ41">
        <v>14230678</v>
      </c>
      <c r="AR41">
        <v>528143617</v>
      </c>
      <c r="AS41">
        <v>57778270</v>
      </c>
      <c r="AT41">
        <v>120029974</v>
      </c>
      <c r="AU41">
        <v>70393531</v>
      </c>
      <c r="AV41">
        <v>100337789</v>
      </c>
      <c r="AW41">
        <v>7691834</v>
      </c>
      <c r="AX41">
        <v>46778474</v>
      </c>
      <c r="AY41">
        <v>5707893</v>
      </c>
      <c r="AZ41">
        <v>183407267</v>
      </c>
      <c r="BA41">
        <v>48099417</v>
      </c>
      <c r="BB41">
        <v>197548029</v>
      </c>
      <c r="BC41">
        <v>6081098</v>
      </c>
      <c r="BD41">
        <v>37186057</v>
      </c>
      <c r="BE41">
        <v>41872584</v>
      </c>
      <c r="BF41">
        <v>78869044</v>
      </c>
      <c r="BG41">
        <v>52021706</v>
      </c>
      <c r="BH41">
        <v>19088354</v>
      </c>
      <c r="BI41">
        <v>26231873</v>
      </c>
      <c r="BJ41">
        <v>28616016</v>
      </c>
      <c r="BK41">
        <v>1365148178</v>
      </c>
      <c r="BL41">
        <v>9160879</v>
      </c>
      <c r="BM41">
        <v>54780162</v>
      </c>
      <c r="BN41">
        <v>113803854</v>
      </c>
      <c r="BO41">
        <v>64350953</v>
      </c>
      <c r="BP41">
        <v>205778851</v>
      </c>
      <c r="BQ41">
        <v>24630709</v>
      </c>
      <c r="BR41">
        <v>137107016</v>
      </c>
      <c r="BS41">
        <v>109898003</v>
      </c>
      <c r="BT41">
        <v>12135837</v>
      </c>
      <c r="BU41">
        <v>30418782</v>
      </c>
      <c r="BV41">
        <v>67786220</v>
      </c>
      <c r="BW41">
        <v>9148441</v>
      </c>
      <c r="BX41">
        <v>34279562</v>
      </c>
      <c r="BY41">
        <v>108313985</v>
      </c>
      <c r="BZ41">
        <v>19890525</v>
      </c>
      <c r="CA41">
        <v>139040152</v>
      </c>
      <c r="CB41">
        <v>20713815</v>
      </c>
      <c r="CC41">
        <v>55751293</v>
      </c>
      <c r="CD41">
        <v>54488559</v>
      </c>
      <c r="CE41">
        <v>95833614</v>
      </c>
      <c r="CF41">
        <v>66216505</v>
      </c>
      <c r="CG41">
        <v>36191375</v>
      </c>
      <c r="CH41">
        <v>15752633</v>
      </c>
      <c r="CI41">
        <v>49090753</v>
      </c>
      <c r="CJ41">
        <v>19965102</v>
      </c>
      <c r="CK41">
        <v>52942338</v>
      </c>
      <c r="CL41">
        <v>10918773</v>
      </c>
      <c r="CM41">
        <v>53431719</v>
      </c>
      <c r="CN41">
        <v>1427813</v>
      </c>
      <c r="CO41">
        <v>146648679</v>
      </c>
      <c r="CP41">
        <v>30199156</v>
      </c>
      <c r="CQ41">
        <v>1230103342</v>
      </c>
      <c r="CR41">
        <v>19797224</v>
      </c>
      <c r="CS41">
        <v>14164002</v>
      </c>
      <c r="CT41">
        <v>80858908</v>
      </c>
      <c r="CU41">
        <v>82882072</v>
      </c>
      <c r="CV41">
        <v>43693262</v>
      </c>
      <c r="CW41">
        <v>60212646</v>
      </c>
      <c r="CX41">
        <v>29088898</v>
      </c>
      <c r="CY41">
        <v>18188883</v>
      </c>
    </row>
    <row r="42" spans="1:103" x14ac:dyDescent="0.3">
      <c r="A42">
        <v>334</v>
      </c>
      <c r="B42" t="s">
        <v>218</v>
      </c>
      <c r="D42">
        <v>93273517</v>
      </c>
      <c r="E42">
        <v>34685233</v>
      </c>
      <c r="F42">
        <v>37793255</v>
      </c>
      <c r="G42">
        <v>37631764</v>
      </c>
      <c r="H42">
        <v>65265568</v>
      </c>
      <c r="I42">
        <v>40170361</v>
      </c>
      <c r="J42">
        <v>30859984</v>
      </c>
      <c r="K42">
        <v>44485385</v>
      </c>
      <c r="L42">
        <v>51596348</v>
      </c>
      <c r="M42">
        <v>238052571</v>
      </c>
      <c r="N42">
        <v>387067454</v>
      </c>
      <c r="O42">
        <v>91051635</v>
      </c>
      <c r="P42">
        <v>283864972</v>
      </c>
      <c r="Q42">
        <v>62901182</v>
      </c>
      <c r="R42">
        <v>18268834</v>
      </c>
      <c r="S42">
        <v>58738679</v>
      </c>
      <c r="T42">
        <v>43047558</v>
      </c>
      <c r="U42">
        <v>236101475</v>
      </c>
      <c r="V42">
        <v>116934843</v>
      </c>
      <c r="W42">
        <v>64635361</v>
      </c>
      <c r="X42">
        <v>53417224</v>
      </c>
      <c r="Y42">
        <v>44696191</v>
      </c>
      <c r="Z42">
        <v>158703496</v>
      </c>
      <c r="AA42">
        <v>65372302</v>
      </c>
      <c r="AB42">
        <v>122147583</v>
      </c>
      <c r="AC42">
        <v>367010315</v>
      </c>
      <c r="AD42">
        <v>182767272</v>
      </c>
      <c r="AE42">
        <v>253587302</v>
      </c>
      <c r="AF42">
        <v>132308353</v>
      </c>
      <c r="AG42">
        <v>54700603</v>
      </c>
      <c r="AH42">
        <v>43288590</v>
      </c>
      <c r="AI42">
        <v>498442891</v>
      </c>
      <c r="AJ42">
        <v>46904331</v>
      </c>
      <c r="AK42">
        <v>404158456</v>
      </c>
      <c r="AL42">
        <v>70822252</v>
      </c>
      <c r="AM42">
        <v>193902605</v>
      </c>
      <c r="AN42">
        <v>10540124</v>
      </c>
      <c r="AO42">
        <v>25503306</v>
      </c>
      <c r="AP42">
        <v>93935885</v>
      </c>
      <c r="AQ42">
        <v>33672569</v>
      </c>
      <c r="AR42">
        <v>420787026</v>
      </c>
      <c r="AS42">
        <v>42680227</v>
      </c>
      <c r="AT42">
        <v>134474385</v>
      </c>
      <c r="AU42">
        <v>118947567</v>
      </c>
      <c r="AV42">
        <v>161573880</v>
      </c>
      <c r="AW42">
        <v>32393783</v>
      </c>
      <c r="AX42">
        <v>40465160</v>
      </c>
      <c r="AY42">
        <v>30635239</v>
      </c>
      <c r="AZ42">
        <v>564040909</v>
      </c>
      <c r="BA42">
        <v>88700883</v>
      </c>
      <c r="BB42">
        <v>120113024</v>
      </c>
      <c r="BC42">
        <v>14137891</v>
      </c>
      <c r="BD42">
        <v>52726830</v>
      </c>
      <c r="BE42">
        <v>58932056</v>
      </c>
      <c r="BF42">
        <v>128637977</v>
      </c>
      <c r="BG42">
        <v>46281173</v>
      </c>
      <c r="BH42">
        <v>23179266</v>
      </c>
      <c r="BI42">
        <v>38850765</v>
      </c>
      <c r="BJ42">
        <v>58679305</v>
      </c>
      <c r="BK42">
        <v>1192044362</v>
      </c>
      <c r="BL42">
        <v>20116396</v>
      </c>
      <c r="BM42">
        <v>52701892</v>
      </c>
      <c r="BN42">
        <v>100424833</v>
      </c>
      <c r="BO42">
        <v>100073544</v>
      </c>
      <c r="BP42">
        <v>315800073</v>
      </c>
      <c r="BQ42">
        <v>28446767</v>
      </c>
      <c r="BR42">
        <v>216739429</v>
      </c>
      <c r="BS42">
        <v>193268548</v>
      </c>
      <c r="BT42">
        <v>19485344</v>
      </c>
      <c r="BU42">
        <v>79965587</v>
      </c>
      <c r="BV42">
        <v>46484422</v>
      </c>
      <c r="BW42">
        <v>16202085</v>
      </c>
      <c r="BX42">
        <v>92026434</v>
      </c>
      <c r="BY42">
        <v>218217075</v>
      </c>
      <c r="BZ42">
        <v>41995208</v>
      </c>
      <c r="CA42">
        <v>88540123</v>
      </c>
      <c r="CB42">
        <v>63038373</v>
      </c>
      <c r="CC42">
        <v>88808621</v>
      </c>
      <c r="CD42">
        <v>108411047</v>
      </c>
      <c r="CE42">
        <v>131878335</v>
      </c>
      <c r="CF42">
        <v>82553661</v>
      </c>
      <c r="CG42">
        <v>178291924</v>
      </c>
      <c r="CH42">
        <v>29317297</v>
      </c>
      <c r="CI42">
        <v>58566101</v>
      </c>
      <c r="CJ42">
        <v>84417286</v>
      </c>
      <c r="CK42">
        <v>119217652</v>
      </c>
      <c r="CL42">
        <v>33710528</v>
      </c>
      <c r="CM42">
        <v>64306525</v>
      </c>
      <c r="CN42">
        <v>5807474</v>
      </c>
      <c r="CO42">
        <v>182290509</v>
      </c>
      <c r="CP42">
        <v>35899628</v>
      </c>
      <c r="CQ42">
        <v>1101088230</v>
      </c>
      <c r="CR42">
        <v>38869315</v>
      </c>
      <c r="CS42">
        <v>26159028</v>
      </c>
      <c r="CT42">
        <v>163412877</v>
      </c>
      <c r="CU42">
        <v>211235738</v>
      </c>
      <c r="CV42">
        <v>58140070</v>
      </c>
      <c r="CW42">
        <v>59954760</v>
      </c>
      <c r="CX42">
        <v>65799255</v>
      </c>
      <c r="CY42">
        <v>24132998</v>
      </c>
    </row>
    <row r="43" spans="1:103" x14ac:dyDescent="0.3">
      <c r="A43">
        <v>335</v>
      </c>
      <c r="B43" t="s">
        <v>97</v>
      </c>
      <c r="D43">
        <v>0</v>
      </c>
      <c r="E43">
        <v>126190</v>
      </c>
      <c r="F43">
        <v>2326043</v>
      </c>
      <c r="G43">
        <v>2374175</v>
      </c>
      <c r="H43">
        <v>4902974</v>
      </c>
      <c r="I43">
        <v>0</v>
      </c>
      <c r="J43">
        <v>0</v>
      </c>
      <c r="K43">
        <v>0</v>
      </c>
      <c r="L43">
        <v>0</v>
      </c>
      <c r="M43">
        <v>15727779</v>
      </c>
      <c r="N43">
        <v>44835261</v>
      </c>
      <c r="O43">
        <v>0</v>
      </c>
      <c r="P43">
        <v>413100</v>
      </c>
      <c r="Q43">
        <v>315793</v>
      </c>
      <c r="R43">
        <v>0</v>
      </c>
      <c r="S43">
        <v>11074531</v>
      </c>
      <c r="T43">
        <v>3387480</v>
      </c>
      <c r="U43">
        <v>0</v>
      </c>
      <c r="V43">
        <v>0</v>
      </c>
      <c r="W43">
        <v>1803601</v>
      </c>
      <c r="X43">
        <v>0</v>
      </c>
      <c r="Y43">
        <v>3738194</v>
      </c>
      <c r="Z43">
        <v>58750000</v>
      </c>
      <c r="AA43">
        <v>10338593</v>
      </c>
      <c r="AB43">
        <v>24491035</v>
      </c>
      <c r="AC43">
        <v>64095952</v>
      </c>
      <c r="AD43">
        <v>46214</v>
      </c>
      <c r="AE43">
        <v>717618</v>
      </c>
      <c r="AF43">
        <v>480078</v>
      </c>
      <c r="AG43">
        <v>6693551</v>
      </c>
      <c r="AH43">
        <v>12944470</v>
      </c>
      <c r="AI43">
        <v>0</v>
      </c>
      <c r="AJ43">
        <v>2030995</v>
      </c>
      <c r="AK43">
        <v>84625262</v>
      </c>
      <c r="AL43">
        <v>0</v>
      </c>
      <c r="AM43">
        <v>3326705</v>
      </c>
      <c r="AN43">
        <v>1122892</v>
      </c>
      <c r="AO43">
        <v>6264365</v>
      </c>
      <c r="AP43">
        <v>6016180</v>
      </c>
      <c r="AQ43">
        <v>758919</v>
      </c>
      <c r="AR43">
        <v>0</v>
      </c>
      <c r="AS43">
        <v>9713856</v>
      </c>
      <c r="AT43">
        <v>20142238</v>
      </c>
      <c r="AU43">
        <v>0</v>
      </c>
      <c r="AV43">
        <v>23070995</v>
      </c>
      <c r="AW43">
        <v>0</v>
      </c>
      <c r="AX43">
        <v>21868941</v>
      </c>
      <c r="AY43">
        <v>0</v>
      </c>
      <c r="AZ43">
        <v>523542</v>
      </c>
      <c r="BA43">
        <v>125634</v>
      </c>
      <c r="BB43">
        <v>0</v>
      </c>
      <c r="BC43">
        <v>0</v>
      </c>
      <c r="BD43">
        <v>526307</v>
      </c>
      <c r="BE43">
        <v>8416938</v>
      </c>
      <c r="BF43">
        <v>8162896</v>
      </c>
      <c r="BG43">
        <v>7079</v>
      </c>
      <c r="BH43">
        <v>50424</v>
      </c>
      <c r="BI43">
        <v>4416329</v>
      </c>
      <c r="BJ43">
        <v>0</v>
      </c>
      <c r="BK43">
        <v>0</v>
      </c>
      <c r="BL43">
        <v>8011724</v>
      </c>
      <c r="BM43">
        <v>2811599</v>
      </c>
      <c r="BN43">
        <v>9594757</v>
      </c>
      <c r="BO43">
        <v>14789985</v>
      </c>
      <c r="BP43">
        <v>29586521</v>
      </c>
      <c r="BQ43">
        <v>14604660</v>
      </c>
      <c r="BR43">
        <v>652836</v>
      </c>
      <c r="BS43">
        <v>23798242</v>
      </c>
      <c r="BT43">
        <v>2951552</v>
      </c>
      <c r="BU43">
        <v>8930784</v>
      </c>
      <c r="BV43">
        <v>6286579</v>
      </c>
      <c r="BW43">
        <v>0</v>
      </c>
      <c r="BX43">
        <v>19776976</v>
      </c>
      <c r="BY43">
        <v>17135840</v>
      </c>
      <c r="BZ43">
        <v>0</v>
      </c>
      <c r="CA43">
        <v>0</v>
      </c>
      <c r="CB43">
        <v>6239486</v>
      </c>
      <c r="CC43">
        <v>0</v>
      </c>
      <c r="CD43">
        <v>8240420</v>
      </c>
      <c r="CE43">
        <v>23775921</v>
      </c>
      <c r="CF43">
        <v>0</v>
      </c>
      <c r="CG43">
        <v>0</v>
      </c>
      <c r="CH43">
        <v>6576479</v>
      </c>
      <c r="CI43">
        <v>12302735</v>
      </c>
      <c r="CJ43">
        <v>21282702</v>
      </c>
      <c r="CK43">
        <v>0</v>
      </c>
      <c r="CL43">
        <v>3953556</v>
      </c>
      <c r="CM43">
        <v>123119</v>
      </c>
      <c r="CN43">
        <v>259638</v>
      </c>
      <c r="CO43">
        <v>4500</v>
      </c>
      <c r="CP43">
        <v>8650402</v>
      </c>
      <c r="CQ43">
        <v>0</v>
      </c>
      <c r="CR43">
        <v>0</v>
      </c>
      <c r="CS43">
        <v>0</v>
      </c>
      <c r="CT43">
        <v>0</v>
      </c>
      <c r="CU43">
        <v>0</v>
      </c>
      <c r="CV43">
        <v>7347374</v>
      </c>
      <c r="CW43">
        <v>72877</v>
      </c>
      <c r="CX43">
        <v>1639091</v>
      </c>
      <c r="CY43">
        <v>0</v>
      </c>
    </row>
    <row r="44" spans="1:103" x14ac:dyDescent="0.3">
      <c r="A44">
        <v>336</v>
      </c>
      <c r="B44" t="s">
        <v>608</v>
      </c>
      <c r="D44">
        <v>22449119</v>
      </c>
      <c r="E44">
        <v>6460573</v>
      </c>
      <c r="F44">
        <v>3723973</v>
      </c>
      <c r="G44">
        <v>4491546</v>
      </c>
      <c r="H44">
        <v>3326179</v>
      </c>
      <c r="I44">
        <v>1869713</v>
      </c>
      <c r="J44">
        <v>8588404</v>
      </c>
      <c r="K44">
        <v>2788191</v>
      </c>
      <c r="L44">
        <v>5780223</v>
      </c>
      <c r="M44">
        <v>41853941</v>
      </c>
      <c r="N44">
        <v>129122002</v>
      </c>
      <c r="O44">
        <v>20719804</v>
      </c>
      <c r="P44">
        <v>127552806</v>
      </c>
      <c r="Q44">
        <v>8161605</v>
      </c>
      <c r="R44">
        <v>2016288</v>
      </c>
      <c r="S44">
        <v>17557115</v>
      </c>
      <c r="T44">
        <v>7904501</v>
      </c>
      <c r="U44">
        <v>42912952</v>
      </c>
      <c r="V44">
        <v>36048168</v>
      </c>
      <c r="W44">
        <v>9899476</v>
      </c>
      <c r="X44">
        <v>2336345</v>
      </c>
      <c r="Y44">
        <v>5917953</v>
      </c>
      <c r="Z44">
        <v>72703473</v>
      </c>
      <c r="AA44">
        <v>21747219</v>
      </c>
      <c r="AB44">
        <v>36248417</v>
      </c>
      <c r="AC44">
        <v>38575416</v>
      </c>
      <c r="AD44">
        <v>9156257</v>
      </c>
      <c r="AE44">
        <v>49094231</v>
      </c>
      <c r="AF44">
        <v>17054642</v>
      </c>
      <c r="AG44">
        <v>10527485</v>
      </c>
      <c r="AH44">
        <v>28664388</v>
      </c>
      <c r="AI44">
        <v>72510218</v>
      </c>
      <c r="AJ44">
        <v>9035873</v>
      </c>
      <c r="AK44">
        <v>185354933</v>
      </c>
      <c r="AL44">
        <v>12882364</v>
      </c>
      <c r="AM44">
        <v>95807028</v>
      </c>
      <c r="AN44">
        <v>2513092</v>
      </c>
      <c r="AO44">
        <v>7790997</v>
      </c>
      <c r="AP44">
        <v>11428528</v>
      </c>
      <c r="AQ44">
        <v>1933865</v>
      </c>
      <c r="AR44">
        <v>215170716</v>
      </c>
      <c r="AS44">
        <v>14996349</v>
      </c>
      <c r="AT44">
        <v>56662113</v>
      </c>
      <c r="AU44">
        <v>11206388</v>
      </c>
      <c r="AV44">
        <v>29939410</v>
      </c>
      <c r="AW44">
        <v>3930519</v>
      </c>
      <c r="AX44">
        <v>28567469</v>
      </c>
      <c r="AY44">
        <v>1480972</v>
      </c>
      <c r="AZ44">
        <v>67954326</v>
      </c>
      <c r="BA44">
        <v>19118618</v>
      </c>
      <c r="BB44">
        <v>42206390</v>
      </c>
      <c r="BC44">
        <v>2570820</v>
      </c>
      <c r="BD44">
        <v>22999425</v>
      </c>
      <c r="BE44">
        <v>20504531</v>
      </c>
      <c r="BF44">
        <v>22983151</v>
      </c>
      <c r="BG44">
        <v>8099014</v>
      </c>
      <c r="BH44">
        <v>2907973</v>
      </c>
      <c r="BI44">
        <v>6855766</v>
      </c>
      <c r="BJ44">
        <v>1886380</v>
      </c>
      <c r="BK44">
        <v>569060067</v>
      </c>
      <c r="BL44">
        <v>1825931</v>
      </c>
      <c r="BM44">
        <v>7621646</v>
      </c>
      <c r="BN44">
        <v>34881165</v>
      </c>
      <c r="BO44">
        <v>12791517</v>
      </c>
      <c r="BP44">
        <v>113829439</v>
      </c>
      <c r="BQ44">
        <v>17066103</v>
      </c>
      <c r="BR44">
        <v>72933292</v>
      </c>
      <c r="BS44">
        <v>71383586</v>
      </c>
      <c r="BT44">
        <v>4215787</v>
      </c>
      <c r="BU44">
        <v>10261436</v>
      </c>
      <c r="BV44">
        <v>19784555</v>
      </c>
      <c r="BW44">
        <v>1337835</v>
      </c>
      <c r="BX44">
        <v>25681557</v>
      </c>
      <c r="BY44">
        <v>42198819</v>
      </c>
      <c r="BZ44">
        <v>11358337</v>
      </c>
      <c r="CA44">
        <v>47592473</v>
      </c>
      <c r="CB44">
        <v>7353040</v>
      </c>
      <c r="CC44">
        <v>6213916</v>
      </c>
      <c r="CD44">
        <v>19073938</v>
      </c>
      <c r="CE44">
        <v>42886499</v>
      </c>
      <c r="CF44">
        <v>10374300</v>
      </c>
      <c r="CG44">
        <v>14379798</v>
      </c>
      <c r="CH44">
        <v>4837799</v>
      </c>
      <c r="CI44">
        <v>19984966</v>
      </c>
      <c r="CJ44">
        <v>28738368</v>
      </c>
      <c r="CK44">
        <v>15189553</v>
      </c>
      <c r="CL44">
        <v>7850314</v>
      </c>
      <c r="CM44">
        <v>6163354</v>
      </c>
      <c r="CN44">
        <v>451037</v>
      </c>
      <c r="CO44">
        <v>112722156</v>
      </c>
      <c r="CP44">
        <v>12744864</v>
      </c>
      <c r="CQ44">
        <v>374623661</v>
      </c>
      <c r="CR44">
        <v>4532748</v>
      </c>
      <c r="CS44">
        <v>1414232</v>
      </c>
      <c r="CT44">
        <v>16657584</v>
      </c>
      <c r="CU44">
        <v>51484867</v>
      </c>
      <c r="CV44">
        <v>13876169</v>
      </c>
      <c r="CW44">
        <v>11792976</v>
      </c>
      <c r="CX44">
        <v>6629627</v>
      </c>
      <c r="CY44">
        <v>2636477</v>
      </c>
    </row>
    <row r="45" spans="1:103" x14ac:dyDescent="0.3">
      <c r="A45">
        <v>337</v>
      </c>
      <c r="B45" t="s">
        <v>205</v>
      </c>
      <c r="D45">
        <v>202718819</v>
      </c>
      <c r="E45">
        <v>2790097</v>
      </c>
      <c r="F45">
        <v>3412927</v>
      </c>
      <c r="G45">
        <v>2087144</v>
      </c>
      <c r="H45">
        <v>14533490</v>
      </c>
      <c r="I45">
        <v>10710724</v>
      </c>
      <c r="J45">
        <v>12952153</v>
      </c>
      <c r="K45">
        <v>19227025</v>
      </c>
      <c r="L45">
        <v>19905695</v>
      </c>
      <c r="M45">
        <v>110661977</v>
      </c>
      <c r="N45">
        <v>409809103</v>
      </c>
      <c r="O45">
        <v>44720000</v>
      </c>
      <c r="P45">
        <v>414327913</v>
      </c>
      <c r="Q45">
        <v>39351535</v>
      </c>
      <c r="R45">
        <v>13190137</v>
      </c>
      <c r="S45">
        <v>17193742</v>
      </c>
      <c r="T45">
        <v>17968003</v>
      </c>
      <c r="U45">
        <v>147410281</v>
      </c>
      <c r="V45">
        <v>244272661</v>
      </c>
      <c r="W45">
        <v>1308243</v>
      </c>
      <c r="X45">
        <v>6754805</v>
      </c>
      <c r="Y45">
        <v>7083816</v>
      </c>
      <c r="Z45">
        <v>51776194</v>
      </c>
      <c r="AA45">
        <v>75740276</v>
      </c>
      <c r="AB45">
        <v>24774004</v>
      </c>
      <c r="AC45">
        <v>62886448</v>
      </c>
      <c r="AD45">
        <v>17104118</v>
      </c>
      <c r="AE45">
        <v>124076363</v>
      </c>
      <c r="AF45">
        <v>109902831</v>
      </c>
      <c r="AG45">
        <v>66490326</v>
      </c>
      <c r="AH45">
        <v>50487676</v>
      </c>
      <c r="AI45">
        <v>566388997</v>
      </c>
      <c r="AJ45">
        <v>27344107</v>
      </c>
      <c r="AK45">
        <v>748969433</v>
      </c>
      <c r="AL45">
        <v>61779665</v>
      </c>
      <c r="AM45">
        <v>212741713</v>
      </c>
      <c r="AN45">
        <v>8399008</v>
      </c>
      <c r="AO45">
        <v>5308738</v>
      </c>
      <c r="AP45">
        <v>84321544</v>
      </c>
      <c r="AQ45">
        <v>20570507</v>
      </c>
      <c r="AR45">
        <v>0</v>
      </c>
      <c r="AS45">
        <v>19137657</v>
      </c>
      <c r="AT45">
        <v>210115190</v>
      </c>
      <c r="AU45">
        <v>34417832</v>
      </c>
      <c r="AV45">
        <v>169281562</v>
      </c>
      <c r="AW45">
        <v>13078341</v>
      </c>
      <c r="AX45">
        <v>50062687</v>
      </c>
      <c r="AY45">
        <v>5424318</v>
      </c>
      <c r="AZ45">
        <v>217638424</v>
      </c>
      <c r="BA45">
        <v>40859325</v>
      </c>
      <c r="BB45">
        <v>316213768</v>
      </c>
      <c r="BC45">
        <v>14640577</v>
      </c>
      <c r="BD45">
        <v>85627468</v>
      </c>
      <c r="BE45">
        <v>36978280</v>
      </c>
      <c r="BF45">
        <v>105090115</v>
      </c>
      <c r="BG45">
        <v>27617179</v>
      </c>
      <c r="BH45">
        <v>7488962</v>
      </c>
      <c r="BI45">
        <v>14129881</v>
      </c>
      <c r="BJ45">
        <v>22874993</v>
      </c>
      <c r="BK45">
        <v>1624511482</v>
      </c>
      <c r="BL45">
        <v>0</v>
      </c>
      <c r="BM45">
        <v>72610596</v>
      </c>
      <c r="BN45">
        <v>253831858</v>
      </c>
      <c r="BO45">
        <v>63359722</v>
      </c>
      <c r="BP45">
        <v>439733387</v>
      </c>
      <c r="BQ45">
        <v>10493787</v>
      </c>
      <c r="BR45">
        <v>226412683</v>
      </c>
      <c r="BS45">
        <v>342540346</v>
      </c>
      <c r="BT45">
        <v>7017326</v>
      </c>
      <c r="BU45">
        <v>23591155</v>
      </c>
      <c r="BV45">
        <v>86952927</v>
      </c>
      <c r="BW45">
        <v>5872555</v>
      </c>
      <c r="BX45">
        <v>11502303</v>
      </c>
      <c r="BY45">
        <v>130348528</v>
      </c>
      <c r="BZ45">
        <v>15839685</v>
      </c>
      <c r="CA45">
        <v>159587953</v>
      </c>
      <c r="CB45">
        <v>18731134</v>
      </c>
      <c r="CC45">
        <v>31663367</v>
      </c>
      <c r="CD45">
        <v>62299607</v>
      </c>
      <c r="CE45">
        <v>41330182</v>
      </c>
      <c r="CF45">
        <v>33536407</v>
      </c>
      <c r="CG45">
        <v>109779845</v>
      </c>
      <c r="CH45">
        <v>40617031</v>
      </c>
      <c r="CI45">
        <v>17635425</v>
      </c>
      <c r="CJ45">
        <v>31714263</v>
      </c>
      <c r="CK45">
        <v>94922807</v>
      </c>
      <c r="CL45">
        <v>14094623</v>
      </c>
      <c r="CM45">
        <v>1746355</v>
      </c>
      <c r="CN45">
        <v>0</v>
      </c>
      <c r="CO45">
        <v>381140611</v>
      </c>
      <c r="CP45">
        <v>22816533</v>
      </c>
      <c r="CQ45">
        <v>2888003361</v>
      </c>
      <c r="CR45">
        <v>4359717</v>
      </c>
      <c r="CS45">
        <v>61813</v>
      </c>
      <c r="CT45">
        <v>38332367</v>
      </c>
      <c r="CU45">
        <v>66026000</v>
      </c>
      <c r="CV45">
        <v>35166956</v>
      </c>
      <c r="CW45">
        <v>23691169</v>
      </c>
      <c r="CX45">
        <v>16606084</v>
      </c>
      <c r="CY45">
        <v>11800015</v>
      </c>
    </row>
    <row r="46" spans="1:103" x14ac:dyDescent="0.3">
      <c r="A46">
        <v>338</v>
      </c>
      <c r="B46" t="s">
        <v>96</v>
      </c>
      <c r="D46">
        <v>389319294</v>
      </c>
      <c r="E46">
        <v>47084054</v>
      </c>
      <c r="F46">
        <v>23655993</v>
      </c>
      <c r="G46">
        <v>21827836</v>
      </c>
      <c r="H46">
        <v>38133567</v>
      </c>
      <c r="I46">
        <v>24441043</v>
      </c>
      <c r="J46">
        <v>36563064</v>
      </c>
      <c r="K46">
        <v>48280130</v>
      </c>
      <c r="L46">
        <v>73031069</v>
      </c>
      <c r="M46">
        <v>368113324</v>
      </c>
      <c r="N46">
        <v>763517177</v>
      </c>
      <c r="O46">
        <v>112319468</v>
      </c>
      <c r="P46">
        <v>602059685</v>
      </c>
      <c r="Q46">
        <v>92372797</v>
      </c>
      <c r="R46">
        <v>18649446</v>
      </c>
      <c r="S46">
        <v>61071908</v>
      </c>
      <c r="T46">
        <v>36277183</v>
      </c>
      <c r="U46">
        <v>249520262</v>
      </c>
      <c r="V46">
        <v>295599320</v>
      </c>
      <c r="W46">
        <v>51545630</v>
      </c>
      <c r="X46">
        <v>23127998</v>
      </c>
      <c r="Y46">
        <v>19907153</v>
      </c>
      <c r="Z46">
        <v>170133527</v>
      </c>
      <c r="AA46">
        <v>165795438</v>
      </c>
      <c r="AB46">
        <v>99319263</v>
      </c>
      <c r="AC46">
        <v>462609632</v>
      </c>
      <c r="AD46">
        <v>81759834</v>
      </c>
      <c r="AE46">
        <v>331276617</v>
      </c>
      <c r="AF46">
        <v>183732398</v>
      </c>
      <c r="AG46">
        <v>96961237</v>
      </c>
      <c r="AH46">
        <v>123565588</v>
      </c>
      <c r="AI46">
        <v>1008640242</v>
      </c>
      <c r="AJ46">
        <v>55290042</v>
      </c>
      <c r="AK46">
        <v>1020210377</v>
      </c>
      <c r="AL46">
        <v>161725249</v>
      </c>
      <c r="AM46">
        <v>438535225</v>
      </c>
      <c r="AN46">
        <v>16946157</v>
      </c>
      <c r="AO46">
        <v>15541906</v>
      </c>
      <c r="AP46">
        <v>131245881</v>
      </c>
      <c r="AQ46">
        <v>29887559</v>
      </c>
      <c r="AR46">
        <v>1274655278</v>
      </c>
      <c r="AS46">
        <v>62303105</v>
      </c>
      <c r="AT46">
        <v>325988628</v>
      </c>
      <c r="AU46">
        <v>139912461</v>
      </c>
      <c r="AV46">
        <v>298904297</v>
      </c>
      <c r="AW46">
        <v>35739902</v>
      </c>
      <c r="AX46">
        <v>94218531</v>
      </c>
      <c r="AY46">
        <v>12766340</v>
      </c>
      <c r="AZ46">
        <v>333456216</v>
      </c>
      <c r="BA46">
        <v>136671674</v>
      </c>
      <c r="BB46">
        <v>626446384</v>
      </c>
      <c r="BC46">
        <v>19643249</v>
      </c>
      <c r="BD46">
        <v>143972516</v>
      </c>
      <c r="BE46">
        <v>78103749</v>
      </c>
      <c r="BF46">
        <v>216599830</v>
      </c>
      <c r="BG46">
        <v>135277910</v>
      </c>
      <c r="BH46">
        <v>15516252</v>
      </c>
      <c r="BI46">
        <v>49375188</v>
      </c>
      <c r="BJ46">
        <v>55075272</v>
      </c>
      <c r="BK46">
        <v>2815483900</v>
      </c>
      <c r="BL46">
        <v>25187006</v>
      </c>
      <c r="BM46">
        <v>87897011</v>
      </c>
      <c r="BN46">
        <v>356939743</v>
      </c>
      <c r="BO46">
        <v>185880840</v>
      </c>
      <c r="BP46">
        <v>1121408370</v>
      </c>
      <c r="BQ46">
        <v>59763954</v>
      </c>
      <c r="BR46">
        <v>337376678</v>
      </c>
      <c r="BS46">
        <v>591331631</v>
      </c>
      <c r="BT46">
        <v>16200036</v>
      </c>
      <c r="BU46">
        <v>73688986</v>
      </c>
      <c r="BV46">
        <v>135994246</v>
      </c>
      <c r="BW46">
        <v>13336051</v>
      </c>
      <c r="BX46">
        <v>60896550</v>
      </c>
      <c r="BY46">
        <v>306911574</v>
      </c>
      <c r="BZ46">
        <v>32528304</v>
      </c>
      <c r="CA46">
        <v>258425241</v>
      </c>
      <c r="CB46">
        <v>48239572</v>
      </c>
      <c r="CC46">
        <v>157507746</v>
      </c>
      <c r="CD46">
        <v>185862314</v>
      </c>
      <c r="CE46">
        <v>120695152</v>
      </c>
      <c r="CF46">
        <v>101754612</v>
      </c>
      <c r="CG46">
        <v>149624477</v>
      </c>
      <c r="CH46">
        <v>108876921</v>
      </c>
      <c r="CI46">
        <v>59645295</v>
      </c>
      <c r="CJ46">
        <v>75733350</v>
      </c>
      <c r="CK46">
        <v>158171611</v>
      </c>
      <c r="CL46">
        <v>27767864</v>
      </c>
      <c r="CM46">
        <v>22893707</v>
      </c>
      <c r="CN46">
        <v>7487866</v>
      </c>
      <c r="CO46">
        <v>737484748</v>
      </c>
      <c r="CP46">
        <v>70533033</v>
      </c>
      <c r="CQ46">
        <v>4181962737</v>
      </c>
      <c r="CR46">
        <v>15536101</v>
      </c>
      <c r="CS46">
        <v>22186463</v>
      </c>
      <c r="CT46">
        <v>62098340</v>
      </c>
      <c r="CU46">
        <v>188591498</v>
      </c>
      <c r="CV46">
        <v>110273697</v>
      </c>
      <c r="CW46">
        <v>140028391</v>
      </c>
      <c r="CX46">
        <v>36581287</v>
      </c>
      <c r="CY46">
        <v>33755012</v>
      </c>
    </row>
    <row r="47" spans="1:103" x14ac:dyDescent="0.3">
      <c r="A47">
        <v>339</v>
      </c>
      <c r="B47" t="s">
        <v>158</v>
      </c>
      <c r="D47">
        <v>18026898</v>
      </c>
      <c r="E47">
        <v>5335713</v>
      </c>
      <c r="F47">
        <v>1455622</v>
      </c>
      <c r="G47">
        <v>6542390</v>
      </c>
      <c r="H47">
        <v>2105499</v>
      </c>
      <c r="I47">
        <v>3328208</v>
      </c>
      <c r="J47">
        <v>6021587</v>
      </c>
      <c r="K47">
        <v>7419202</v>
      </c>
      <c r="L47">
        <v>10551200</v>
      </c>
      <c r="M47">
        <v>28753942</v>
      </c>
      <c r="N47">
        <v>31895979</v>
      </c>
      <c r="O47">
        <v>8344158</v>
      </c>
      <c r="P47">
        <v>28573284</v>
      </c>
      <c r="Q47">
        <v>20137316</v>
      </c>
      <c r="R47">
        <v>1444363</v>
      </c>
      <c r="S47">
        <v>10361526</v>
      </c>
      <c r="T47">
        <v>4254065</v>
      </c>
      <c r="U47">
        <v>21319718</v>
      </c>
      <c r="V47">
        <v>11153325</v>
      </c>
      <c r="W47">
        <v>8044230</v>
      </c>
      <c r="X47">
        <v>2586918</v>
      </c>
      <c r="Y47">
        <v>3083907</v>
      </c>
      <c r="Z47">
        <v>17580306</v>
      </c>
      <c r="AA47">
        <v>4048939</v>
      </c>
      <c r="AB47">
        <v>15752578</v>
      </c>
      <c r="AC47">
        <v>19760821</v>
      </c>
      <c r="AD47">
        <v>6559967</v>
      </c>
      <c r="AE47">
        <v>17320475</v>
      </c>
      <c r="AF47">
        <v>7448125</v>
      </c>
      <c r="AG47">
        <v>6906395</v>
      </c>
      <c r="AH47">
        <v>14313612</v>
      </c>
      <c r="AI47">
        <v>40882755</v>
      </c>
      <c r="AJ47">
        <v>6728516</v>
      </c>
      <c r="AK47">
        <v>42428232</v>
      </c>
      <c r="AL47">
        <v>14531306</v>
      </c>
      <c r="AM47">
        <v>38588850</v>
      </c>
      <c r="AN47">
        <v>683909</v>
      </c>
      <c r="AO47">
        <v>2531518</v>
      </c>
      <c r="AP47">
        <v>2628516</v>
      </c>
      <c r="AQ47">
        <v>3148187</v>
      </c>
      <c r="AR47">
        <v>50164932</v>
      </c>
      <c r="AS47">
        <v>7291687</v>
      </c>
      <c r="AT47">
        <v>37707274</v>
      </c>
      <c r="AU47">
        <v>12088884</v>
      </c>
      <c r="AV47">
        <v>12004456</v>
      </c>
      <c r="AW47">
        <v>1669937</v>
      </c>
      <c r="AX47">
        <v>5694259</v>
      </c>
      <c r="AY47">
        <v>901812</v>
      </c>
      <c r="AZ47">
        <v>25760550</v>
      </c>
      <c r="BA47">
        <v>6222545</v>
      </c>
      <c r="BB47">
        <v>34777110</v>
      </c>
      <c r="BC47">
        <v>3213051</v>
      </c>
      <c r="BD47">
        <v>3916381</v>
      </c>
      <c r="BE47">
        <v>6398553</v>
      </c>
      <c r="BF47">
        <v>12150268</v>
      </c>
      <c r="BG47">
        <v>6108851</v>
      </c>
      <c r="BH47">
        <v>3480426</v>
      </c>
      <c r="BI47">
        <v>3963115</v>
      </c>
      <c r="BJ47">
        <v>6973932</v>
      </c>
      <c r="BK47">
        <v>332709138</v>
      </c>
      <c r="BL47">
        <v>971660</v>
      </c>
      <c r="BM47">
        <v>4267235</v>
      </c>
      <c r="BN47">
        <v>17471884</v>
      </c>
      <c r="BO47">
        <v>10617508</v>
      </c>
      <c r="BP47">
        <v>20339989</v>
      </c>
      <c r="BQ47">
        <v>5040594</v>
      </c>
      <c r="BR47">
        <v>25105346</v>
      </c>
      <c r="BS47">
        <v>14984721</v>
      </c>
      <c r="BT47">
        <v>2059389</v>
      </c>
      <c r="BU47">
        <v>7912830</v>
      </c>
      <c r="BV47">
        <v>7302992</v>
      </c>
      <c r="BW47">
        <v>3363346</v>
      </c>
      <c r="BX47">
        <v>11394232</v>
      </c>
      <c r="BY47">
        <v>24183623</v>
      </c>
      <c r="BZ47">
        <v>3942393</v>
      </c>
      <c r="CA47">
        <v>16190822</v>
      </c>
      <c r="CB47">
        <v>2723487</v>
      </c>
      <c r="CC47">
        <v>13738921</v>
      </c>
      <c r="CD47">
        <v>25008125</v>
      </c>
      <c r="CE47">
        <v>12717814</v>
      </c>
      <c r="CF47">
        <v>6358498</v>
      </c>
      <c r="CG47">
        <v>9953151</v>
      </c>
      <c r="CH47">
        <v>7145528</v>
      </c>
      <c r="CI47">
        <v>10288449</v>
      </c>
      <c r="CJ47">
        <v>5799005</v>
      </c>
      <c r="CK47">
        <v>12163191</v>
      </c>
      <c r="CL47">
        <v>4597054</v>
      </c>
      <c r="CM47">
        <v>5638481</v>
      </c>
      <c r="CN47">
        <v>457088</v>
      </c>
      <c r="CO47">
        <v>42819993</v>
      </c>
      <c r="CP47">
        <v>4664190</v>
      </c>
      <c r="CQ47">
        <v>258441192</v>
      </c>
      <c r="CR47">
        <v>3119030</v>
      </c>
      <c r="CS47">
        <v>2371376</v>
      </c>
      <c r="CT47">
        <v>4361245</v>
      </c>
      <c r="CU47">
        <v>21566878</v>
      </c>
      <c r="CV47">
        <v>10404082</v>
      </c>
      <c r="CW47">
        <v>11543721</v>
      </c>
      <c r="CX47">
        <v>4048380</v>
      </c>
      <c r="CY47">
        <v>3119011</v>
      </c>
    </row>
    <row r="48" spans="1:103" x14ac:dyDescent="0.3">
      <c r="A48">
        <v>341</v>
      </c>
      <c r="B48" t="s">
        <v>609</v>
      </c>
      <c r="D48">
        <v>160268777</v>
      </c>
      <c r="E48">
        <v>37643824</v>
      </c>
      <c r="F48">
        <v>16685095</v>
      </c>
      <c r="G48">
        <v>23660538</v>
      </c>
      <c r="H48">
        <v>32911586</v>
      </c>
      <c r="I48">
        <v>34152261</v>
      </c>
      <c r="J48">
        <v>56266321</v>
      </c>
      <c r="K48">
        <v>16074242</v>
      </c>
      <c r="L48">
        <v>36017986</v>
      </c>
      <c r="M48">
        <v>207927160</v>
      </c>
      <c r="N48">
        <v>456194450</v>
      </c>
      <c r="O48">
        <v>84160690</v>
      </c>
      <c r="P48">
        <v>302706459</v>
      </c>
      <c r="Q48">
        <v>77662110</v>
      </c>
      <c r="R48">
        <v>16953188</v>
      </c>
      <c r="S48">
        <v>104963148</v>
      </c>
      <c r="T48">
        <v>21002380</v>
      </c>
      <c r="U48">
        <v>175884388</v>
      </c>
      <c r="V48">
        <v>134224298</v>
      </c>
      <c r="W48">
        <v>37364963</v>
      </c>
      <c r="X48">
        <v>18754184</v>
      </c>
      <c r="Y48">
        <v>15663999</v>
      </c>
      <c r="Z48">
        <v>105385833</v>
      </c>
      <c r="AA48">
        <v>52266726</v>
      </c>
      <c r="AB48">
        <v>93721296</v>
      </c>
      <c r="AC48">
        <v>332699107</v>
      </c>
      <c r="AD48">
        <v>87046076</v>
      </c>
      <c r="AE48">
        <v>143630337</v>
      </c>
      <c r="AF48">
        <v>160439135</v>
      </c>
      <c r="AG48">
        <v>55304333</v>
      </c>
      <c r="AH48">
        <v>54380975</v>
      </c>
      <c r="AI48">
        <v>484990474</v>
      </c>
      <c r="AJ48">
        <v>47118299</v>
      </c>
      <c r="AK48">
        <v>430974763</v>
      </c>
      <c r="AL48">
        <v>80781252</v>
      </c>
      <c r="AM48">
        <v>256401646</v>
      </c>
      <c r="AN48">
        <v>11490916</v>
      </c>
      <c r="AO48">
        <v>12355082</v>
      </c>
      <c r="AP48">
        <v>60827388</v>
      </c>
      <c r="AQ48">
        <v>17520053</v>
      </c>
      <c r="AR48">
        <v>561375155</v>
      </c>
      <c r="AS48">
        <v>51863705</v>
      </c>
      <c r="AT48">
        <v>132169168</v>
      </c>
      <c r="AU48">
        <v>86529479</v>
      </c>
      <c r="AV48">
        <v>156024299</v>
      </c>
      <c r="AW48">
        <v>20813979</v>
      </c>
      <c r="AX48">
        <v>48717536</v>
      </c>
      <c r="AY48">
        <v>11215947</v>
      </c>
      <c r="AZ48">
        <v>235168661</v>
      </c>
      <c r="BA48">
        <v>66114044</v>
      </c>
      <c r="BB48">
        <v>253278733</v>
      </c>
      <c r="BC48">
        <v>11180885</v>
      </c>
      <c r="BD48">
        <v>78980137</v>
      </c>
      <c r="BE48">
        <v>58838592</v>
      </c>
      <c r="BF48">
        <v>125272484</v>
      </c>
      <c r="BG48">
        <v>57187273</v>
      </c>
      <c r="BH48">
        <v>30193908</v>
      </c>
      <c r="BI48">
        <v>24703652</v>
      </c>
      <c r="BJ48">
        <v>48879174</v>
      </c>
      <c r="BK48">
        <v>1647152598</v>
      </c>
      <c r="BL48">
        <v>17338809</v>
      </c>
      <c r="BM48">
        <v>33099340</v>
      </c>
      <c r="BN48">
        <v>124964612</v>
      </c>
      <c r="BO48">
        <v>83374643</v>
      </c>
      <c r="BP48">
        <v>345678722</v>
      </c>
      <c r="BQ48">
        <v>26081392</v>
      </c>
      <c r="BR48">
        <v>191285183</v>
      </c>
      <c r="BS48">
        <v>267945922</v>
      </c>
      <c r="BT48">
        <v>17997811</v>
      </c>
      <c r="BU48">
        <v>48427350</v>
      </c>
      <c r="BV48">
        <v>98883661</v>
      </c>
      <c r="BW48">
        <v>13183493</v>
      </c>
      <c r="BX48">
        <v>53930178</v>
      </c>
      <c r="BY48">
        <v>166056623</v>
      </c>
      <c r="BZ48">
        <v>27934439</v>
      </c>
      <c r="CA48">
        <v>139334917</v>
      </c>
      <c r="CB48">
        <v>45105231</v>
      </c>
      <c r="CC48">
        <v>102346641</v>
      </c>
      <c r="CD48">
        <v>85915270</v>
      </c>
      <c r="CE48">
        <v>143185776</v>
      </c>
      <c r="CF48">
        <v>73327286</v>
      </c>
      <c r="CG48">
        <v>68072572</v>
      </c>
      <c r="CH48">
        <v>35518653</v>
      </c>
      <c r="CI48">
        <v>61109251</v>
      </c>
      <c r="CJ48">
        <v>49917319</v>
      </c>
      <c r="CK48">
        <v>72795871</v>
      </c>
      <c r="CL48">
        <v>15822393</v>
      </c>
      <c r="CM48">
        <v>62496476</v>
      </c>
      <c r="CN48">
        <v>5947222</v>
      </c>
      <c r="CO48">
        <v>305325783</v>
      </c>
      <c r="CP48">
        <v>41629856</v>
      </c>
      <c r="CQ48">
        <v>1589689840</v>
      </c>
      <c r="CR48">
        <v>27602605</v>
      </c>
      <c r="CS48">
        <v>11957319</v>
      </c>
      <c r="CT48">
        <v>74728720</v>
      </c>
      <c r="CU48">
        <v>102811317</v>
      </c>
      <c r="CV48">
        <v>70591569</v>
      </c>
      <c r="CW48">
        <v>83311672</v>
      </c>
      <c r="CX48">
        <v>34956440</v>
      </c>
      <c r="CY48">
        <v>22212176</v>
      </c>
    </row>
    <row r="49" spans="1:103" x14ac:dyDescent="0.3">
      <c r="A49">
        <v>343</v>
      </c>
      <c r="B49" t="s">
        <v>206</v>
      </c>
      <c r="D49">
        <v>15516224</v>
      </c>
      <c r="E49">
        <v>732869</v>
      </c>
      <c r="F49">
        <v>1082463</v>
      </c>
      <c r="G49">
        <v>844920</v>
      </c>
      <c r="H49">
        <v>1578722</v>
      </c>
      <c r="I49">
        <v>1107902</v>
      </c>
      <c r="J49">
        <v>2245793</v>
      </c>
      <c r="K49">
        <v>1953780</v>
      </c>
      <c r="L49">
        <v>463002</v>
      </c>
      <c r="M49">
        <v>22764114</v>
      </c>
      <c r="N49">
        <v>33584822</v>
      </c>
      <c r="O49">
        <v>6235000</v>
      </c>
      <c r="P49">
        <v>35176453</v>
      </c>
      <c r="Q49">
        <v>6007821</v>
      </c>
      <c r="R49">
        <v>653643</v>
      </c>
      <c r="S49">
        <v>6118509</v>
      </c>
      <c r="T49">
        <v>4418917</v>
      </c>
      <c r="U49">
        <v>14950643</v>
      </c>
      <c r="V49">
        <v>23574291</v>
      </c>
      <c r="W49">
        <v>1210388</v>
      </c>
      <c r="X49">
        <v>1918515</v>
      </c>
      <c r="Y49">
        <v>1048570</v>
      </c>
      <c r="Z49">
        <v>11645460</v>
      </c>
      <c r="AA49">
        <v>3170039</v>
      </c>
      <c r="AB49">
        <v>6286945</v>
      </c>
      <c r="AC49">
        <v>9441129</v>
      </c>
      <c r="AD49">
        <v>2579992</v>
      </c>
      <c r="AE49">
        <v>21677567</v>
      </c>
      <c r="AF49">
        <v>10160558</v>
      </c>
      <c r="AG49">
        <v>6748697</v>
      </c>
      <c r="AH49">
        <v>2348137</v>
      </c>
      <c r="AI49">
        <v>45109043</v>
      </c>
      <c r="AJ49">
        <v>5390807</v>
      </c>
      <c r="AK49">
        <v>56487785</v>
      </c>
      <c r="AL49">
        <v>8090905</v>
      </c>
      <c r="AM49">
        <v>22669305</v>
      </c>
      <c r="AN49">
        <v>927227</v>
      </c>
      <c r="AO49">
        <v>981862</v>
      </c>
      <c r="AP49">
        <v>9275701</v>
      </c>
      <c r="AQ49">
        <v>468772</v>
      </c>
      <c r="AR49">
        <v>0</v>
      </c>
      <c r="AS49">
        <v>2697567</v>
      </c>
      <c r="AT49">
        <v>13773022</v>
      </c>
      <c r="AU49">
        <v>5406129</v>
      </c>
      <c r="AV49">
        <v>13764521</v>
      </c>
      <c r="AW49">
        <v>1542254</v>
      </c>
      <c r="AX49">
        <v>2773241</v>
      </c>
      <c r="AY49">
        <v>470415</v>
      </c>
      <c r="AZ49">
        <v>21313931</v>
      </c>
      <c r="BA49">
        <v>3444120</v>
      </c>
      <c r="BB49">
        <v>33501224</v>
      </c>
      <c r="BC49">
        <v>930648</v>
      </c>
      <c r="BD49">
        <v>8642327</v>
      </c>
      <c r="BE49">
        <v>4758000</v>
      </c>
      <c r="BF49">
        <v>14043213</v>
      </c>
      <c r="BG49">
        <v>2728227</v>
      </c>
      <c r="BH49">
        <v>909667</v>
      </c>
      <c r="BI49">
        <v>16009</v>
      </c>
      <c r="BJ49">
        <v>2454798</v>
      </c>
      <c r="BK49">
        <v>156336648</v>
      </c>
      <c r="BL49">
        <v>176168</v>
      </c>
      <c r="BM49">
        <v>2922658</v>
      </c>
      <c r="BN49">
        <v>17209250</v>
      </c>
      <c r="BO49">
        <v>5517868</v>
      </c>
      <c r="BP49">
        <v>45681369</v>
      </c>
      <c r="BQ49">
        <v>1056567</v>
      </c>
      <c r="BR49">
        <v>20207219</v>
      </c>
      <c r="BS49">
        <v>32953113</v>
      </c>
      <c r="BT49">
        <v>709564</v>
      </c>
      <c r="BU49">
        <v>3736662</v>
      </c>
      <c r="BV49">
        <v>8395859</v>
      </c>
      <c r="BW49">
        <v>1062786</v>
      </c>
      <c r="BX49">
        <v>2880533</v>
      </c>
      <c r="BY49">
        <v>14123321</v>
      </c>
      <c r="BZ49">
        <v>1430655</v>
      </c>
      <c r="CA49">
        <v>14634934</v>
      </c>
      <c r="CB49">
        <v>3455495</v>
      </c>
      <c r="CC49">
        <v>4481728</v>
      </c>
      <c r="CD49">
        <v>5474003</v>
      </c>
      <c r="CE49">
        <v>8200911</v>
      </c>
      <c r="CF49">
        <v>5951897</v>
      </c>
      <c r="CG49">
        <v>6080216</v>
      </c>
      <c r="CH49">
        <v>3034073</v>
      </c>
      <c r="CI49">
        <v>4018449</v>
      </c>
      <c r="CJ49">
        <v>4284641</v>
      </c>
      <c r="CK49">
        <v>4688942</v>
      </c>
      <c r="CL49">
        <v>1744134</v>
      </c>
      <c r="CM49">
        <v>599454</v>
      </c>
      <c r="CN49">
        <v>792566</v>
      </c>
      <c r="CO49">
        <v>36686664</v>
      </c>
      <c r="CP49">
        <v>2205722</v>
      </c>
      <c r="CQ49">
        <v>266574000</v>
      </c>
      <c r="CR49">
        <v>1340923</v>
      </c>
      <c r="CS49">
        <v>85731</v>
      </c>
      <c r="CT49">
        <v>5257990</v>
      </c>
      <c r="CU49">
        <v>4228000</v>
      </c>
      <c r="CV49">
        <v>2447033</v>
      </c>
      <c r="CW49">
        <v>2462876</v>
      </c>
      <c r="CX49">
        <v>3363462</v>
      </c>
      <c r="CY49">
        <v>1296031</v>
      </c>
    </row>
    <row r="50" spans="1:103" x14ac:dyDescent="0.3">
      <c r="A50">
        <v>344</v>
      </c>
      <c r="B50" t="s">
        <v>156</v>
      </c>
      <c r="D50">
        <v>6716077</v>
      </c>
      <c r="E50">
        <v>33413</v>
      </c>
      <c r="F50">
        <v>69667</v>
      </c>
      <c r="G50">
        <v>60938</v>
      </c>
      <c r="H50">
        <v>342819</v>
      </c>
      <c r="I50">
        <v>92363</v>
      </c>
      <c r="J50">
        <v>282579</v>
      </c>
      <c r="K50">
        <v>884711</v>
      </c>
      <c r="L50">
        <v>733584</v>
      </c>
      <c r="M50">
        <v>4006029</v>
      </c>
      <c r="N50">
        <v>12316370</v>
      </c>
      <c r="O50">
        <v>1802559</v>
      </c>
      <c r="P50">
        <v>12271921</v>
      </c>
      <c r="Q50">
        <v>593189</v>
      </c>
      <c r="R50">
        <v>83249</v>
      </c>
      <c r="S50">
        <v>649124</v>
      </c>
      <c r="T50">
        <v>49811</v>
      </c>
      <c r="U50">
        <v>2562883</v>
      </c>
      <c r="V50">
        <v>9093556</v>
      </c>
      <c r="W50">
        <v>20025</v>
      </c>
      <c r="X50">
        <v>107109</v>
      </c>
      <c r="Y50">
        <v>224301</v>
      </c>
      <c r="Z50">
        <v>1319872</v>
      </c>
      <c r="AA50">
        <v>1031911</v>
      </c>
      <c r="AB50">
        <v>1119654</v>
      </c>
      <c r="AC50">
        <v>2380021</v>
      </c>
      <c r="AD50">
        <v>478838</v>
      </c>
      <c r="AE50">
        <v>2654743</v>
      </c>
      <c r="AF50">
        <v>3613216</v>
      </c>
      <c r="AG50">
        <v>1903283</v>
      </c>
      <c r="AH50">
        <v>2340513</v>
      </c>
      <c r="AI50">
        <v>14794595</v>
      </c>
      <c r="AJ50">
        <v>842985</v>
      </c>
      <c r="AK50">
        <v>17652260</v>
      </c>
      <c r="AL50">
        <v>1370521</v>
      </c>
      <c r="AM50">
        <v>6978209</v>
      </c>
      <c r="AN50">
        <v>298772</v>
      </c>
      <c r="AO50">
        <v>108657</v>
      </c>
      <c r="AP50">
        <v>3082417</v>
      </c>
      <c r="AQ50">
        <v>805692</v>
      </c>
      <c r="AR50">
        <v>20551974</v>
      </c>
      <c r="AS50">
        <v>566697</v>
      </c>
      <c r="AT50">
        <v>8454218</v>
      </c>
      <c r="AU50">
        <v>913286</v>
      </c>
      <c r="AV50">
        <v>5358185</v>
      </c>
      <c r="AW50">
        <v>411260</v>
      </c>
      <c r="AX50">
        <v>1306931</v>
      </c>
      <c r="AY50">
        <v>116111</v>
      </c>
      <c r="AZ50">
        <v>5876932</v>
      </c>
      <c r="BA50">
        <v>600683</v>
      </c>
      <c r="BB50">
        <v>9081858</v>
      </c>
      <c r="BC50">
        <v>176905</v>
      </c>
      <c r="BD50">
        <v>2549037</v>
      </c>
      <c r="BE50">
        <v>1324849</v>
      </c>
      <c r="BF50">
        <v>2532813</v>
      </c>
      <c r="BG50">
        <v>823020</v>
      </c>
      <c r="BH50">
        <v>300920</v>
      </c>
      <c r="BI50">
        <v>763593</v>
      </c>
      <c r="BJ50">
        <v>677808</v>
      </c>
      <c r="BK50">
        <v>61532273</v>
      </c>
      <c r="BL50">
        <v>1582</v>
      </c>
      <c r="BM50">
        <v>1628628</v>
      </c>
      <c r="BN50">
        <v>7206248</v>
      </c>
      <c r="BO50">
        <v>1455952</v>
      </c>
      <c r="BP50">
        <v>8689824</v>
      </c>
      <c r="BQ50">
        <v>429324</v>
      </c>
      <c r="BR50">
        <v>7677130</v>
      </c>
      <c r="BS50">
        <v>9301115</v>
      </c>
      <c r="BT50">
        <v>305634</v>
      </c>
      <c r="BU50">
        <v>819125</v>
      </c>
      <c r="BV50">
        <v>2424019</v>
      </c>
      <c r="BW50">
        <v>128660</v>
      </c>
      <c r="BX50">
        <v>228927</v>
      </c>
      <c r="BY50">
        <v>4577711</v>
      </c>
      <c r="BZ50">
        <v>333418</v>
      </c>
      <c r="CA50">
        <v>4060499</v>
      </c>
      <c r="CB50">
        <v>437853</v>
      </c>
      <c r="CC50">
        <v>567884</v>
      </c>
      <c r="CD50">
        <v>1648476</v>
      </c>
      <c r="CE50">
        <v>1004943</v>
      </c>
      <c r="CF50">
        <v>1227226</v>
      </c>
      <c r="CG50">
        <v>4362670</v>
      </c>
      <c r="CH50">
        <v>1959018</v>
      </c>
      <c r="CI50">
        <v>332682</v>
      </c>
      <c r="CJ50">
        <v>1588068</v>
      </c>
      <c r="CK50">
        <v>2392699</v>
      </c>
      <c r="CL50">
        <v>524362</v>
      </c>
      <c r="CM50">
        <v>53240</v>
      </c>
      <c r="CN50">
        <v>29061</v>
      </c>
      <c r="CO50">
        <v>12714619</v>
      </c>
      <c r="CP50">
        <v>315728</v>
      </c>
      <c r="CQ50">
        <v>100747112</v>
      </c>
      <c r="CR50">
        <v>122560</v>
      </c>
      <c r="CS50">
        <v>1813</v>
      </c>
      <c r="CT50">
        <v>1482080</v>
      </c>
      <c r="CU50">
        <v>2367500</v>
      </c>
      <c r="CV50">
        <v>1694369</v>
      </c>
      <c r="CW50">
        <v>433719</v>
      </c>
      <c r="CX50">
        <v>446535</v>
      </c>
      <c r="CY50">
        <v>349328</v>
      </c>
    </row>
    <row r="51" spans="1:103" x14ac:dyDescent="0.3">
      <c r="A51">
        <v>349</v>
      </c>
      <c r="B51" t="s">
        <v>102</v>
      </c>
      <c r="D51">
        <v>0</v>
      </c>
      <c r="E51">
        <v>12140959</v>
      </c>
      <c r="F51">
        <v>0</v>
      </c>
      <c r="G51">
        <v>4422128</v>
      </c>
      <c r="H51">
        <v>0</v>
      </c>
      <c r="I51">
        <v>0</v>
      </c>
      <c r="J51">
        <v>38017027</v>
      </c>
      <c r="K51">
        <v>14563913</v>
      </c>
      <c r="L51">
        <v>21540661</v>
      </c>
      <c r="M51">
        <v>367580661</v>
      </c>
      <c r="N51">
        <v>0</v>
      </c>
      <c r="O51">
        <v>1678607</v>
      </c>
      <c r="P51">
        <v>0</v>
      </c>
      <c r="Q51">
        <v>671708</v>
      </c>
      <c r="R51">
        <v>3847711</v>
      </c>
      <c r="S51">
        <v>2403524</v>
      </c>
      <c r="T51">
        <v>0</v>
      </c>
      <c r="U51">
        <v>0</v>
      </c>
      <c r="V51">
        <v>12949169</v>
      </c>
      <c r="W51">
        <v>0</v>
      </c>
      <c r="X51">
        <v>816465</v>
      </c>
      <c r="Y51">
        <v>1149977</v>
      </c>
      <c r="Z51">
        <v>0</v>
      </c>
      <c r="AA51">
        <v>30299801</v>
      </c>
      <c r="AB51">
        <v>13523265</v>
      </c>
      <c r="AC51">
        <v>2415195</v>
      </c>
      <c r="AD51">
        <v>19012255</v>
      </c>
      <c r="AE51">
        <v>47062197</v>
      </c>
      <c r="AF51">
        <v>5308293</v>
      </c>
      <c r="AG51">
        <v>16537054</v>
      </c>
      <c r="AH51">
        <v>15416151</v>
      </c>
      <c r="AI51">
        <v>13697536</v>
      </c>
      <c r="AJ51">
        <v>15365659</v>
      </c>
      <c r="AK51">
        <v>0</v>
      </c>
      <c r="AL51">
        <v>20184484</v>
      </c>
      <c r="AM51">
        <v>0</v>
      </c>
      <c r="AN51">
        <v>1795441</v>
      </c>
      <c r="AO51">
        <v>0</v>
      </c>
      <c r="AP51">
        <v>0</v>
      </c>
      <c r="AQ51">
        <v>17253746</v>
      </c>
      <c r="AR51">
        <v>0</v>
      </c>
      <c r="AS51">
        <v>17797609</v>
      </c>
      <c r="AT51">
        <v>56943388</v>
      </c>
      <c r="AU51">
        <v>0</v>
      </c>
      <c r="AV51">
        <v>2160</v>
      </c>
      <c r="AW51">
        <v>8178689</v>
      </c>
      <c r="AX51">
        <v>24786800</v>
      </c>
      <c r="AY51">
        <v>2755518</v>
      </c>
      <c r="AZ51">
        <v>0</v>
      </c>
      <c r="BA51">
        <v>0</v>
      </c>
      <c r="BB51">
        <v>280514576</v>
      </c>
      <c r="BC51">
        <v>9449653</v>
      </c>
      <c r="BD51">
        <v>326749</v>
      </c>
      <c r="BE51">
        <v>0</v>
      </c>
      <c r="BF51">
        <v>64824687</v>
      </c>
      <c r="BG51">
        <v>0</v>
      </c>
      <c r="BH51">
        <v>0</v>
      </c>
      <c r="BI51">
        <v>14238041</v>
      </c>
      <c r="BJ51">
        <v>34250</v>
      </c>
      <c r="BK51">
        <v>0</v>
      </c>
      <c r="BL51">
        <v>0</v>
      </c>
      <c r="BM51">
        <v>9688143</v>
      </c>
      <c r="BN51">
        <v>55453245</v>
      </c>
      <c r="BO51">
        <v>20851628</v>
      </c>
      <c r="BP51">
        <v>0</v>
      </c>
      <c r="BQ51">
        <v>10865328</v>
      </c>
      <c r="BR51">
        <v>0</v>
      </c>
      <c r="BS51">
        <v>0</v>
      </c>
      <c r="BT51">
        <v>3233175</v>
      </c>
      <c r="BU51">
        <v>11340973</v>
      </c>
      <c r="BV51">
        <v>69433517</v>
      </c>
      <c r="BW51">
        <v>1767318</v>
      </c>
      <c r="BX51">
        <v>0</v>
      </c>
      <c r="BY51">
        <v>0</v>
      </c>
      <c r="BZ51">
        <v>217189</v>
      </c>
      <c r="CA51">
        <v>0</v>
      </c>
      <c r="CB51">
        <v>11180820</v>
      </c>
      <c r="CC51">
        <v>13910443</v>
      </c>
      <c r="CD51">
        <v>4283003</v>
      </c>
      <c r="CE51">
        <v>48075</v>
      </c>
      <c r="CF51">
        <v>0</v>
      </c>
      <c r="CG51">
        <v>13588600</v>
      </c>
      <c r="CH51">
        <v>6170952</v>
      </c>
      <c r="CI51">
        <v>15468522</v>
      </c>
      <c r="CJ51">
        <v>9429</v>
      </c>
      <c r="CK51">
        <v>2839072</v>
      </c>
      <c r="CL51">
        <v>0</v>
      </c>
      <c r="CM51">
        <v>0</v>
      </c>
      <c r="CN51">
        <v>5226642</v>
      </c>
      <c r="CO51">
        <v>535073155</v>
      </c>
      <c r="CP51">
        <v>11221756</v>
      </c>
      <c r="CQ51">
        <v>0</v>
      </c>
      <c r="CR51">
        <v>12961992</v>
      </c>
      <c r="CS51">
        <v>5117946</v>
      </c>
      <c r="CT51">
        <v>0</v>
      </c>
      <c r="CU51">
        <v>1826685</v>
      </c>
      <c r="CV51">
        <v>0</v>
      </c>
      <c r="CW51">
        <v>8698976</v>
      </c>
      <c r="CX51">
        <v>3334430</v>
      </c>
      <c r="CY51">
        <v>670639</v>
      </c>
    </row>
    <row r="52" spans="1:103" x14ac:dyDescent="0.3">
      <c r="A52">
        <v>350</v>
      </c>
      <c r="B52" t="s">
        <v>610</v>
      </c>
      <c r="D52">
        <v>0</v>
      </c>
      <c r="E52">
        <v>7432</v>
      </c>
      <c r="F52">
        <v>0</v>
      </c>
      <c r="G52">
        <v>37631</v>
      </c>
      <c r="H52">
        <v>0</v>
      </c>
      <c r="I52">
        <v>0</v>
      </c>
      <c r="J52">
        <v>18579</v>
      </c>
      <c r="K52">
        <v>2882</v>
      </c>
      <c r="L52">
        <v>4072</v>
      </c>
      <c r="M52">
        <v>171131</v>
      </c>
      <c r="N52">
        <v>0</v>
      </c>
      <c r="O52">
        <v>18211</v>
      </c>
      <c r="P52">
        <v>0</v>
      </c>
      <c r="Q52">
        <v>0</v>
      </c>
      <c r="R52">
        <v>5238</v>
      </c>
      <c r="S52">
        <v>0</v>
      </c>
      <c r="T52">
        <v>0</v>
      </c>
      <c r="U52">
        <v>0</v>
      </c>
      <c r="V52">
        <v>156788</v>
      </c>
      <c r="W52">
        <v>0</v>
      </c>
      <c r="X52">
        <v>9044</v>
      </c>
      <c r="Y52">
        <v>240</v>
      </c>
      <c r="Z52">
        <v>0</v>
      </c>
      <c r="AA52">
        <v>12</v>
      </c>
      <c r="AB52">
        <v>17111</v>
      </c>
      <c r="AC52">
        <v>864</v>
      </c>
      <c r="AD52">
        <v>828149</v>
      </c>
      <c r="AE52">
        <v>277622</v>
      </c>
      <c r="AF52">
        <v>104765</v>
      </c>
      <c r="AG52">
        <v>994018</v>
      </c>
      <c r="AH52">
        <v>524303</v>
      </c>
      <c r="AI52">
        <v>3129825</v>
      </c>
      <c r="AJ52">
        <v>323</v>
      </c>
      <c r="AK52">
        <v>0</v>
      </c>
      <c r="AL52">
        <v>17097</v>
      </c>
      <c r="AM52">
        <v>0</v>
      </c>
      <c r="AN52">
        <v>4626</v>
      </c>
      <c r="AO52">
        <v>0</v>
      </c>
      <c r="AP52">
        <v>0</v>
      </c>
      <c r="AQ52">
        <v>1050179</v>
      </c>
      <c r="AR52">
        <v>0</v>
      </c>
      <c r="AS52">
        <v>1793</v>
      </c>
      <c r="AT52">
        <v>1149</v>
      </c>
      <c r="AU52">
        <v>0</v>
      </c>
      <c r="AV52">
        <v>3032</v>
      </c>
      <c r="AW52">
        <v>20451</v>
      </c>
      <c r="AX52">
        <v>0</v>
      </c>
      <c r="AY52">
        <v>63773</v>
      </c>
      <c r="AZ52">
        <v>0</v>
      </c>
      <c r="BA52">
        <v>0</v>
      </c>
      <c r="BB52">
        <v>1445943</v>
      </c>
      <c r="BC52">
        <v>23732</v>
      </c>
      <c r="BD52">
        <v>0</v>
      </c>
      <c r="BE52">
        <v>0</v>
      </c>
      <c r="BF52">
        <v>-32815</v>
      </c>
      <c r="BG52">
        <v>0</v>
      </c>
      <c r="BH52">
        <v>0</v>
      </c>
      <c r="BI52">
        <v>118951</v>
      </c>
      <c r="BJ52">
        <v>405</v>
      </c>
      <c r="BK52">
        <v>0</v>
      </c>
      <c r="BL52">
        <v>0</v>
      </c>
      <c r="BM52">
        <v>9630</v>
      </c>
      <c r="BN52">
        <v>1391233</v>
      </c>
      <c r="BO52">
        <v>2806</v>
      </c>
      <c r="BP52">
        <v>0</v>
      </c>
      <c r="BQ52">
        <v>224</v>
      </c>
      <c r="BR52">
        <v>0</v>
      </c>
      <c r="BS52">
        <v>0</v>
      </c>
      <c r="BT52">
        <v>3630</v>
      </c>
      <c r="BU52">
        <v>271956</v>
      </c>
      <c r="BV52">
        <v>318086</v>
      </c>
      <c r="BW52">
        <v>6960</v>
      </c>
      <c r="BX52">
        <v>0</v>
      </c>
      <c r="BY52">
        <v>0</v>
      </c>
      <c r="BZ52">
        <v>0</v>
      </c>
      <c r="CA52">
        <v>0</v>
      </c>
      <c r="CB52">
        <v>132376</v>
      </c>
      <c r="CC52">
        <v>85436</v>
      </c>
      <c r="CD52">
        <v>15054</v>
      </c>
      <c r="CE52">
        <v>2068</v>
      </c>
      <c r="CF52">
        <v>0</v>
      </c>
      <c r="CG52">
        <v>14126</v>
      </c>
      <c r="CH52">
        <v>64799</v>
      </c>
      <c r="CI52">
        <v>266721</v>
      </c>
      <c r="CJ52">
        <v>620</v>
      </c>
      <c r="CK52">
        <v>1288</v>
      </c>
      <c r="CL52">
        <v>0</v>
      </c>
      <c r="CM52">
        <v>0</v>
      </c>
      <c r="CN52">
        <v>934</v>
      </c>
      <c r="CO52">
        <v>-913350</v>
      </c>
      <c r="CP52">
        <v>788</v>
      </c>
      <c r="CQ52">
        <v>0</v>
      </c>
      <c r="CR52">
        <v>25195</v>
      </c>
      <c r="CS52">
        <v>7224</v>
      </c>
      <c r="CT52">
        <v>0</v>
      </c>
      <c r="CU52">
        <v>7917</v>
      </c>
      <c r="CV52">
        <v>0</v>
      </c>
      <c r="CW52">
        <v>0</v>
      </c>
      <c r="CX52">
        <v>0</v>
      </c>
      <c r="CY52">
        <v>0</v>
      </c>
    </row>
    <row r="53" spans="1:103" x14ac:dyDescent="0.3">
      <c r="A53">
        <v>351</v>
      </c>
      <c r="B53" t="s">
        <v>196</v>
      </c>
      <c r="D53">
        <v>0</v>
      </c>
      <c r="E53">
        <v>114253</v>
      </c>
      <c r="F53">
        <v>0</v>
      </c>
      <c r="G53">
        <v>0</v>
      </c>
      <c r="H53">
        <v>0</v>
      </c>
      <c r="I53">
        <v>0</v>
      </c>
      <c r="J53">
        <v>714633</v>
      </c>
      <c r="K53">
        <v>365403</v>
      </c>
      <c r="L53">
        <v>641728</v>
      </c>
      <c r="M53">
        <v>7926548</v>
      </c>
      <c r="N53">
        <v>0</v>
      </c>
      <c r="O53">
        <v>0</v>
      </c>
      <c r="P53">
        <v>0</v>
      </c>
      <c r="Q53">
        <v>8</v>
      </c>
      <c r="R53">
        <v>94856</v>
      </c>
      <c r="S53">
        <v>43586</v>
      </c>
      <c r="T53">
        <v>0</v>
      </c>
      <c r="U53">
        <v>0</v>
      </c>
      <c r="V53">
        <v>464710</v>
      </c>
      <c r="W53">
        <v>0</v>
      </c>
      <c r="X53">
        <v>0</v>
      </c>
      <c r="Y53">
        <v>17168</v>
      </c>
      <c r="Z53">
        <v>0</v>
      </c>
      <c r="AA53">
        <v>662402</v>
      </c>
      <c r="AB53">
        <v>8169</v>
      </c>
      <c r="AC53">
        <v>68542</v>
      </c>
      <c r="AD53">
        <v>842043</v>
      </c>
      <c r="AE53">
        <v>917592</v>
      </c>
      <c r="AF53">
        <v>250950</v>
      </c>
      <c r="AG53">
        <v>402412</v>
      </c>
      <c r="AH53">
        <v>666002</v>
      </c>
      <c r="AI53">
        <v>323854</v>
      </c>
      <c r="AJ53">
        <v>496716</v>
      </c>
      <c r="AK53">
        <v>0</v>
      </c>
      <c r="AL53">
        <v>133036</v>
      </c>
      <c r="AM53">
        <v>0</v>
      </c>
      <c r="AN53">
        <v>0</v>
      </c>
      <c r="AO53">
        <v>0</v>
      </c>
      <c r="AP53">
        <v>0</v>
      </c>
      <c r="AQ53">
        <v>497202</v>
      </c>
      <c r="AR53">
        <v>0</v>
      </c>
      <c r="AS53">
        <v>424738</v>
      </c>
      <c r="AT53">
        <v>1336282</v>
      </c>
      <c r="AU53">
        <v>0</v>
      </c>
      <c r="AV53">
        <v>0</v>
      </c>
      <c r="AW53">
        <v>153257</v>
      </c>
      <c r="AX53">
        <v>608501</v>
      </c>
      <c r="AY53">
        <v>77054</v>
      </c>
      <c r="AZ53">
        <v>0</v>
      </c>
      <c r="BA53">
        <v>0</v>
      </c>
      <c r="BB53">
        <v>5625087</v>
      </c>
      <c r="BC53">
        <v>112473</v>
      </c>
      <c r="BD53">
        <v>0</v>
      </c>
      <c r="BE53">
        <v>0</v>
      </c>
      <c r="BF53">
        <v>1444003</v>
      </c>
      <c r="BG53">
        <v>0</v>
      </c>
      <c r="BH53">
        <v>0</v>
      </c>
      <c r="BI53">
        <v>471579</v>
      </c>
      <c r="BJ53">
        <v>2336</v>
      </c>
      <c r="BK53">
        <v>0</v>
      </c>
      <c r="BL53">
        <v>0</v>
      </c>
      <c r="BM53">
        <v>292047</v>
      </c>
      <c r="BN53">
        <v>1303932</v>
      </c>
      <c r="BO53">
        <v>338881</v>
      </c>
      <c r="BP53">
        <v>0</v>
      </c>
      <c r="BQ53">
        <v>328200</v>
      </c>
      <c r="BR53">
        <v>0</v>
      </c>
      <c r="BS53">
        <v>0</v>
      </c>
      <c r="BT53">
        <v>4338</v>
      </c>
      <c r="BU53">
        <v>185635</v>
      </c>
      <c r="BV53">
        <v>2810261</v>
      </c>
      <c r="BW53">
        <v>20054</v>
      </c>
      <c r="BX53">
        <v>0</v>
      </c>
      <c r="BY53">
        <v>0</v>
      </c>
      <c r="BZ53">
        <v>0</v>
      </c>
      <c r="CA53">
        <v>0</v>
      </c>
      <c r="CB53">
        <v>219712</v>
      </c>
      <c r="CC53">
        <v>184302</v>
      </c>
      <c r="CD53">
        <v>54750</v>
      </c>
      <c r="CE53">
        <v>0</v>
      </c>
      <c r="CF53">
        <v>0</v>
      </c>
      <c r="CG53">
        <v>436471</v>
      </c>
      <c r="CH53">
        <v>201242</v>
      </c>
      <c r="CI53">
        <v>87520</v>
      </c>
      <c r="CJ53">
        <v>0</v>
      </c>
      <c r="CK53">
        <v>89687</v>
      </c>
      <c r="CL53">
        <v>0</v>
      </c>
      <c r="CM53">
        <v>0</v>
      </c>
      <c r="CN53">
        <v>123240</v>
      </c>
      <c r="CO53">
        <v>14393571</v>
      </c>
      <c r="CP53">
        <v>327684</v>
      </c>
      <c r="CQ53">
        <v>0</v>
      </c>
      <c r="CR53">
        <v>454059</v>
      </c>
      <c r="CS53">
        <v>77510</v>
      </c>
      <c r="CT53">
        <v>0</v>
      </c>
      <c r="CU53">
        <v>61482</v>
      </c>
      <c r="CV53">
        <v>0</v>
      </c>
      <c r="CW53">
        <v>273243</v>
      </c>
      <c r="CX53">
        <v>0</v>
      </c>
      <c r="CY53">
        <v>0</v>
      </c>
    </row>
    <row r="54" spans="1:103" x14ac:dyDescent="0.3">
      <c r="A54">
        <v>352</v>
      </c>
      <c r="B54" t="s">
        <v>198</v>
      </c>
      <c r="D54">
        <v>0</v>
      </c>
      <c r="E54">
        <v>814289</v>
      </c>
      <c r="F54">
        <v>0</v>
      </c>
      <c r="G54">
        <v>0</v>
      </c>
      <c r="H54">
        <v>0</v>
      </c>
      <c r="I54">
        <v>0</v>
      </c>
      <c r="J54">
        <v>1609000</v>
      </c>
      <c r="K54">
        <v>0</v>
      </c>
      <c r="L54">
        <v>0</v>
      </c>
      <c r="M54">
        <v>126988</v>
      </c>
      <c r="N54">
        <v>0</v>
      </c>
      <c r="O54">
        <v>275000</v>
      </c>
      <c r="P54">
        <v>0</v>
      </c>
      <c r="Q54">
        <v>0</v>
      </c>
      <c r="R54">
        <v>0</v>
      </c>
      <c r="S54">
        <v>372670</v>
      </c>
      <c r="T54">
        <v>0</v>
      </c>
      <c r="U54">
        <v>0</v>
      </c>
      <c r="V54">
        <v>0</v>
      </c>
      <c r="W54">
        <v>0</v>
      </c>
      <c r="X54">
        <v>0</v>
      </c>
      <c r="Y54">
        <v>0</v>
      </c>
      <c r="Z54">
        <v>0</v>
      </c>
      <c r="AA54">
        <v>201561</v>
      </c>
      <c r="AB54">
        <v>672575</v>
      </c>
      <c r="AC54">
        <v>809113</v>
      </c>
      <c r="AD54">
        <v>0</v>
      </c>
      <c r="AE54">
        <v>0</v>
      </c>
      <c r="AF54">
        <v>900950</v>
      </c>
      <c r="AG54">
        <v>77363</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4055575</v>
      </c>
      <c r="BC54">
        <v>0</v>
      </c>
      <c r="BD54">
        <v>0</v>
      </c>
      <c r="BE54">
        <v>0</v>
      </c>
      <c r="BF54">
        <v>0</v>
      </c>
      <c r="BG54">
        <v>0</v>
      </c>
      <c r="BH54">
        <v>0</v>
      </c>
      <c r="BI54">
        <v>0</v>
      </c>
      <c r="BJ54">
        <v>115040</v>
      </c>
      <c r="BK54">
        <v>0</v>
      </c>
      <c r="BL54">
        <v>0</v>
      </c>
      <c r="BM54">
        <v>0</v>
      </c>
      <c r="BN54">
        <v>85936</v>
      </c>
      <c r="BO54">
        <v>13090</v>
      </c>
      <c r="BP54">
        <v>0</v>
      </c>
      <c r="BQ54">
        <v>251250</v>
      </c>
      <c r="BR54">
        <v>0</v>
      </c>
      <c r="BS54">
        <v>0</v>
      </c>
      <c r="BT54">
        <v>0</v>
      </c>
      <c r="BU54">
        <v>0</v>
      </c>
      <c r="BV54">
        <v>2382389</v>
      </c>
      <c r="BW54">
        <v>0</v>
      </c>
      <c r="BX54">
        <v>0</v>
      </c>
      <c r="BY54">
        <v>0</v>
      </c>
      <c r="BZ54">
        <v>236381</v>
      </c>
      <c r="CA54">
        <v>0</v>
      </c>
      <c r="CB54">
        <v>0</v>
      </c>
      <c r="CC54">
        <v>0</v>
      </c>
      <c r="CD54">
        <v>368212</v>
      </c>
      <c r="CE54">
        <v>226595</v>
      </c>
      <c r="CF54">
        <v>0</v>
      </c>
      <c r="CG54">
        <v>0</v>
      </c>
      <c r="CH54">
        <v>199212</v>
      </c>
      <c r="CI54">
        <v>165500</v>
      </c>
      <c r="CJ54">
        <v>0</v>
      </c>
      <c r="CK54">
        <v>35000</v>
      </c>
      <c r="CL54">
        <v>0</v>
      </c>
      <c r="CM54">
        <v>0</v>
      </c>
      <c r="CN54">
        <v>196407</v>
      </c>
      <c r="CO54">
        <v>0</v>
      </c>
      <c r="CP54">
        <v>0</v>
      </c>
      <c r="CQ54">
        <v>0</v>
      </c>
      <c r="CR54">
        <v>882940</v>
      </c>
      <c r="CS54">
        <v>0</v>
      </c>
      <c r="CT54">
        <v>0</v>
      </c>
      <c r="CU54">
        <v>152446</v>
      </c>
      <c r="CV54">
        <v>0</v>
      </c>
      <c r="CW54">
        <v>0</v>
      </c>
      <c r="CX54">
        <v>0</v>
      </c>
      <c r="CY54">
        <v>90000</v>
      </c>
    </row>
    <row r="55" spans="1:103" x14ac:dyDescent="0.3">
      <c r="A55">
        <v>353</v>
      </c>
      <c r="B55" t="s">
        <v>199</v>
      </c>
      <c r="D55">
        <v>0</v>
      </c>
      <c r="E55">
        <v>123269</v>
      </c>
      <c r="F55">
        <v>0</v>
      </c>
      <c r="G55">
        <v>0</v>
      </c>
      <c r="H55">
        <v>0</v>
      </c>
      <c r="I55">
        <v>0</v>
      </c>
      <c r="J55">
        <v>0</v>
      </c>
      <c r="K55">
        <v>0</v>
      </c>
      <c r="L55">
        <v>0</v>
      </c>
      <c r="M55">
        <v>0</v>
      </c>
      <c r="N55">
        <v>0</v>
      </c>
      <c r="O55">
        <v>174385</v>
      </c>
      <c r="P55">
        <v>0</v>
      </c>
      <c r="Q55">
        <v>0</v>
      </c>
      <c r="R55">
        <v>0</v>
      </c>
      <c r="S55">
        <v>0</v>
      </c>
      <c r="T55">
        <v>0</v>
      </c>
      <c r="U55">
        <v>0</v>
      </c>
      <c r="V55">
        <v>0</v>
      </c>
      <c r="W55">
        <v>0</v>
      </c>
      <c r="X55">
        <v>100000</v>
      </c>
      <c r="Y55">
        <v>0</v>
      </c>
      <c r="Z55">
        <v>0</v>
      </c>
      <c r="AA55">
        <v>149557</v>
      </c>
      <c r="AB55">
        <v>177169</v>
      </c>
      <c r="AC55">
        <v>0</v>
      </c>
      <c r="AD55">
        <v>0</v>
      </c>
      <c r="AE55">
        <v>0</v>
      </c>
      <c r="AF55">
        <v>0</v>
      </c>
      <c r="AG55">
        <v>0</v>
      </c>
      <c r="AH55">
        <v>0</v>
      </c>
      <c r="AI55">
        <v>0</v>
      </c>
      <c r="AJ55">
        <v>279316</v>
      </c>
      <c r="AK55">
        <v>0</v>
      </c>
      <c r="AL55">
        <v>160905</v>
      </c>
      <c r="AM55">
        <v>0</v>
      </c>
      <c r="AN55">
        <v>0</v>
      </c>
      <c r="AO55">
        <v>0</v>
      </c>
      <c r="AP55">
        <v>0</v>
      </c>
      <c r="AQ55">
        <v>0</v>
      </c>
      <c r="AR55">
        <v>0</v>
      </c>
      <c r="AS55">
        <v>0</v>
      </c>
      <c r="AT55">
        <v>0</v>
      </c>
      <c r="AU55">
        <v>0</v>
      </c>
      <c r="AV55">
        <v>0</v>
      </c>
      <c r="AW55">
        <v>0</v>
      </c>
      <c r="AX55">
        <v>0</v>
      </c>
      <c r="AY55">
        <v>0</v>
      </c>
      <c r="AZ55">
        <v>0</v>
      </c>
      <c r="BA55">
        <v>0</v>
      </c>
      <c r="BB55">
        <v>3199262</v>
      </c>
      <c r="BC55">
        <v>91503</v>
      </c>
      <c r="BD55">
        <v>0</v>
      </c>
      <c r="BE55">
        <v>0</v>
      </c>
      <c r="BF55">
        <v>0</v>
      </c>
      <c r="BG55">
        <v>0</v>
      </c>
      <c r="BH55">
        <v>0</v>
      </c>
      <c r="BI55">
        <v>0</v>
      </c>
      <c r="BJ55">
        <v>0</v>
      </c>
      <c r="BK55">
        <v>0</v>
      </c>
      <c r="BL55">
        <v>0</v>
      </c>
      <c r="BM55">
        <v>0</v>
      </c>
      <c r="BN55">
        <v>85936</v>
      </c>
      <c r="BO55">
        <v>0</v>
      </c>
      <c r="BP55">
        <v>0</v>
      </c>
      <c r="BQ55">
        <v>0</v>
      </c>
      <c r="BR55">
        <v>0</v>
      </c>
      <c r="BS55">
        <v>0</v>
      </c>
      <c r="BT55">
        <v>118475</v>
      </c>
      <c r="BU55">
        <v>0</v>
      </c>
      <c r="BV55">
        <v>1342493</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104070</v>
      </c>
      <c r="CS55">
        <v>0</v>
      </c>
      <c r="CT55">
        <v>0</v>
      </c>
      <c r="CU55">
        <v>0</v>
      </c>
      <c r="CV55">
        <v>0</v>
      </c>
      <c r="CW55">
        <v>0</v>
      </c>
      <c r="CX55">
        <v>0</v>
      </c>
      <c r="CY55">
        <v>0</v>
      </c>
    </row>
    <row r="56" spans="1:103" x14ac:dyDescent="0.3">
      <c r="A56">
        <v>368</v>
      </c>
      <c r="B56" t="s">
        <v>168</v>
      </c>
      <c r="D56">
        <v>0</v>
      </c>
      <c r="E56">
        <v>0</v>
      </c>
      <c r="F56">
        <v>0</v>
      </c>
      <c r="G56">
        <v>0</v>
      </c>
      <c r="H56">
        <v>0</v>
      </c>
      <c r="I56">
        <v>0</v>
      </c>
      <c r="J56">
        <v>0</v>
      </c>
      <c r="K56">
        <v>0</v>
      </c>
      <c r="L56">
        <v>0</v>
      </c>
      <c r="M56">
        <v>0</v>
      </c>
      <c r="N56">
        <v>0</v>
      </c>
      <c r="O56">
        <v>0</v>
      </c>
      <c r="P56">
        <v>0</v>
      </c>
      <c r="Q56">
        <v>0</v>
      </c>
      <c r="R56">
        <v>0</v>
      </c>
      <c r="S56">
        <v>0</v>
      </c>
      <c r="T56">
        <v>0</v>
      </c>
      <c r="U56">
        <v>0</v>
      </c>
      <c r="V56">
        <v>1001841</v>
      </c>
      <c r="W56">
        <v>0</v>
      </c>
      <c r="X56">
        <v>0</v>
      </c>
      <c r="Y56">
        <v>0</v>
      </c>
      <c r="Z56">
        <v>0</v>
      </c>
      <c r="AA56">
        <v>0</v>
      </c>
      <c r="AB56">
        <v>0</v>
      </c>
      <c r="AC56">
        <v>0</v>
      </c>
      <c r="AD56">
        <v>0</v>
      </c>
      <c r="AE56">
        <v>0</v>
      </c>
      <c r="AF56">
        <v>0</v>
      </c>
      <c r="AG56">
        <v>0</v>
      </c>
      <c r="AH56">
        <v>0</v>
      </c>
      <c r="AI56">
        <v>0</v>
      </c>
      <c r="AJ56">
        <v>0</v>
      </c>
      <c r="AK56">
        <v>0</v>
      </c>
      <c r="AL56">
        <v>1165791</v>
      </c>
      <c r="AM56">
        <v>0</v>
      </c>
      <c r="AN56">
        <v>0</v>
      </c>
      <c r="AO56">
        <v>0</v>
      </c>
      <c r="AP56">
        <v>0</v>
      </c>
      <c r="AQ56">
        <v>0</v>
      </c>
      <c r="AR56">
        <v>0</v>
      </c>
      <c r="AS56">
        <v>0</v>
      </c>
      <c r="AT56">
        <v>0</v>
      </c>
      <c r="AU56">
        <v>0</v>
      </c>
      <c r="AV56">
        <v>0</v>
      </c>
      <c r="AW56">
        <v>25000</v>
      </c>
      <c r="AX56">
        <v>16286</v>
      </c>
      <c r="AY56">
        <v>0</v>
      </c>
      <c r="AZ56">
        <v>50956</v>
      </c>
      <c r="BA56">
        <v>0</v>
      </c>
      <c r="BB56">
        <v>290000</v>
      </c>
      <c r="BC56">
        <v>0</v>
      </c>
      <c r="BD56">
        <v>0</v>
      </c>
      <c r="BE56">
        <v>0</v>
      </c>
      <c r="BF56">
        <v>0</v>
      </c>
      <c r="BG56">
        <v>84249</v>
      </c>
      <c r="BH56">
        <v>0</v>
      </c>
      <c r="BI56">
        <v>0</v>
      </c>
      <c r="BJ56">
        <v>0</v>
      </c>
      <c r="BK56">
        <v>0</v>
      </c>
      <c r="BL56">
        <v>0</v>
      </c>
      <c r="BM56">
        <v>0</v>
      </c>
      <c r="BN56">
        <v>0</v>
      </c>
      <c r="BO56">
        <v>0</v>
      </c>
      <c r="BP56">
        <v>0</v>
      </c>
      <c r="BQ56">
        <v>273000</v>
      </c>
      <c r="BR56">
        <v>0</v>
      </c>
      <c r="BS56">
        <v>0</v>
      </c>
      <c r="BT56">
        <v>0</v>
      </c>
      <c r="BU56">
        <v>0</v>
      </c>
      <c r="BV56">
        <v>0</v>
      </c>
      <c r="BW56">
        <v>0</v>
      </c>
      <c r="BX56">
        <v>0</v>
      </c>
      <c r="BY56">
        <v>0</v>
      </c>
      <c r="BZ56">
        <v>0</v>
      </c>
      <c r="CA56">
        <v>204296</v>
      </c>
      <c r="CB56">
        <v>0</v>
      </c>
      <c r="CC56">
        <v>0</v>
      </c>
      <c r="CD56">
        <v>0</v>
      </c>
      <c r="CE56">
        <v>0</v>
      </c>
      <c r="CF56">
        <v>0</v>
      </c>
      <c r="CG56">
        <v>0</v>
      </c>
      <c r="CH56">
        <v>547505</v>
      </c>
      <c r="CI56">
        <v>0</v>
      </c>
      <c r="CJ56">
        <v>50733</v>
      </c>
      <c r="CK56">
        <v>593673</v>
      </c>
      <c r="CL56">
        <v>0</v>
      </c>
      <c r="CM56">
        <v>0</v>
      </c>
      <c r="CN56">
        <v>0</v>
      </c>
      <c r="CO56">
        <v>572452</v>
      </c>
      <c r="CP56">
        <v>0</v>
      </c>
      <c r="CQ56">
        <v>0</v>
      </c>
      <c r="CR56">
        <v>42380</v>
      </c>
      <c r="CS56">
        <v>0</v>
      </c>
      <c r="CT56">
        <v>141666</v>
      </c>
      <c r="CU56">
        <v>0</v>
      </c>
      <c r="CV56">
        <v>0</v>
      </c>
      <c r="CW56">
        <v>0</v>
      </c>
      <c r="CX56">
        <v>0</v>
      </c>
      <c r="CY56">
        <v>672216</v>
      </c>
    </row>
    <row r="57" spans="1:103" x14ac:dyDescent="0.3">
      <c r="A57">
        <v>369</v>
      </c>
      <c r="B57" t="s">
        <v>172</v>
      </c>
      <c r="D57">
        <v>26669164</v>
      </c>
      <c r="E57">
        <v>5405768</v>
      </c>
      <c r="F57">
        <v>2420109</v>
      </c>
      <c r="G57">
        <v>6620842</v>
      </c>
      <c r="H57">
        <v>6371481</v>
      </c>
      <c r="I57">
        <v>3510888</v>
      </c>
      <c r="J57">
        <v>13226466</v>
      </c>
      <c r="K57">
        <v>8184217</v>
      </c>
      <c r="L57">
        <v>16895449</v>
      </c>
      <c r="M57">
        <v>26617350</v>
      </c>
      <c r="N57">
        <v>49094150</v>
      </c>
      <c r="O57">
        <v>19535655</v>
      </c>
      <c r="P57">
        <v>30534904</v>
      </c>
      <c r="Q57">
        <v>28519758</v>
      </c>
      <c r="R57">
        <v>1884220</v>
      </c>
      <c r="S57">
        <v>18113078</v>
      </c>
      <c r="T57">
        <v>4627248</v>
      </c>
      <c r="U57">
        <v>41233091</v>
      </c>
      <c r="V57">
        <v>14591204</v>
      </c>
      <c r="W57">
        <v>8676173</v>
      </c>
      <c r="X57">
        <v>2618696</v>
      </c>
      <c r="Y57">
        <v>4629643</v>
      </c>
      <c r="Z57">
        <v>20187311</v>
      </c>
      <c r="AA57">
        <v>13024341</v>
      </c>
      <c r="AB57">
        <v>28727920</v>
      </c>
      <c r="AC57">
        <v>72703833</v>
      </c>
      <c r="AD57">
        <v>3599877</v>
      </c>
      <c r="AE57">
        <v>8622092</v>
      </c>
      <c r="AF57">
        <v>20810969</v>
      </c>
      <c r="AG57">
        <v>9604294</v>
      </c>
      <c r="AH57">
        <v>10003649</v>
      </c>
      <c r="AI57">
        <v>90995806</v>
      </c>
      <c r="AJ57">
        <v>14645223</v>
      </c>
      <c r="AK57">
        <v>50227372</v>
      </c>
      <c r="AL57">
        <v>13849073</v>
      </c>
      <c r="AM57">
        <v>113903571</v>
      </c>
      <c r="AN57">
        <v>2175870</v>
      </c>
      <c r="AO57">
        <v>4823493</v>
      </c>
      <c r="AP57">
        <v>11591211</v>
      </c>
      <c r="AQ57">
        <v>3666036</v>
      </c>
      <c r="AR57">
        <v>81135702</v>
      </c>
      <c r="AS57">
        <v>16936945</v>
      </c>
      <c r="AT57">
        <v>21099437</v>
      </c>
      <c r="AU57">
        <v>15468465</v>
      </c>
      <c r="AV57">
        <v>20078576</v>
      </c>
      <c r="AW57">
        <v>4903242</v>
      </c>
      <c r="AX57">
        <v>10626166</v>
      </c>
      <c r="AY57">
        <v>3254295</v>
      </c>
      <c r="AZ57">
        <v>14743005</v>
      </c>
      <c r="BA57">
        <v>8973046</v>
      </c>
      <c r="BB57">
        <v>40056354</v>
      </c>
      <c r="BC57">
        <v>3659610</v>
      </c>
      <c r="BD57">
        <v>9012849</v>
      </c>
      <c r="BE57">
        <v>12309045</v>
      </c>
      <c r="BF57">
        <v>14680990</v>
      </c>
      <c r="BG57">
        <v>9129765</v>
      </c>
      <c r="BH57">
        <v>6900598</v>
      </c>
      <c r="BI57">
        <v>6770014</v>
      </c>
      <c r="BJ57">
        <v>9239599</v>
      </c>
      <c r="BK57">
        <v>148938444</v>
      </c>
      <c r="BL57">
        <v>3839923</v>
      </c>
      <c r="BM57">
        <v>5661731</v>
      </c>
      <c r="BN57">
        <v>15972239</v>
      </c>
      <c r="BO57">
        <v>17580940</v>
      </c>
      <c r="BP57">
        <v>50243855</v>
      </c>
      <c r="BQ57">
        <v>8028365</v>
      </c>
      <c r="BR57">
        <v>28340352</v>
      </c>
      <c r="BS57">
        <v>20573198</v>
      </c>
      <c r="BT57">
        <v>4907443</v>
      </c>
      <c r="BU57">
        <v>6555192</v>
      </c>
      <c r="BV57">
        <v>27917093</v>
      </c>
      <c r="BW57">
        <v>2282277</v>
      </c>
      <c r="BX57">
        <v>11027306</v>
      </c>
      <c r="BY57">
        <v>29173233</v>
      </c>
      <c r="BZ57">
        <v>3557075</v>
      </c>
      <c r="CA57">
        <v>19221237</v>
      </c>
      <c r="CB57">
        <v>17145698</v>
      </c>
      <c r="CC57">
        <v>36564742</v>
      </c>
      <c r="CD57">
        <v>17105924</v>
      </c>
      <c r="CE57">
        <v>24550854</v>
      </c>
      <c r="CF57">
        <v>11114560</v>
      </c>
      <c r="CG57">
        <v>12461916</v>
      </c>
      <c r="CH57">
        <v>10275864</v>
      </c>
      <c r="CI57">
        <v>10883182</v>
      </c>
      <c r="CJ57">
        <v>11357235</v>
      </c>
      <c r="CK57">
        <v>13882320</v>
      </c>
      <c r="CL57">
        <v>6506304</v>
      </c>
      <c r="CM57">
        <v>7546331</v>
      </c>
      <c r="CN57">
        <v>1523931</v>
      </c>
      <c r="CO57">
        <v>42188196</v>
      </c>
      <c r="CP57">
        <v>10037633</v>
      </c>
      <c r="CQ57">
        <v>90514596</v>
      </c>
      <c r="CR57">
        <v>5234571</v>
      </c>
      <c r="CS57">
        <v>3759587</v>
      </c>
      <c r="CT57">
        <v>12160634</v>
      </c>
      <c r="CU57">
        <v>20220327</v>
      </c>
      <c r="CV57">
        <v>12692293</v>
      </c>
      <c r="CW57">
        <v>19804370</v>
      </c>
      <c r="CX57">
        <v>5524647</v>
      </c>
      <c r="CY57">
        <v>4263108</v>
      </c>
    </row>
    <row r="58" spans="1:103" x14ac:dyDescent="0.3">
      <c r="A58">
        <v>370</v>
      </c>
      <c r="B58" t="s">
        <v>174</v>
      </c>
      <c r="D58">
        <v>22377408</v>
      </c>
      <c r="E58">
        <v>769443</v>
      </c>
      <c r="F58">
        <v>1165649</v>
      </c>
      <c r="G58">
        <v>916186</v>
      </c>
      <c r="H58">
        <v>1150831</v>
      </c>
      <c r="I58">
        <v>1501435</v>
      </c>
      <c r="J58">
        <v>2393756</v>
      </c>
      <c r="K58">
        <v>2838491</v>
      </c>
      <c r="L58">
        <v>1205674</v>
      </c>
      <c r="M58">
        <v>16379452</v>
      </c>
      <c r="N58">
        <v>19897595</v>
      </c>
      <c r="O58">
        <v>7808357</v>
      </c>
      <c r="P58">
        <v>47135960</v>
      </c>
      <c r="Q58">
        <v>3892198</v>
      </c>
      <c r="R58">
        <v>594836</v>
      </c>
      <c r="S58">
        <v>6592204</v>
      </c>
      <c r="T58">
        <v>1313076</v>
      </c>
      <c r="U58">
        <v>18793971</v>
      </c>
      <c r="V58">
        <v>23708059</v>
      </c>
      <c r="W58">
        <v>1255126</v>
      </c>
      <c r="X58">
        <v>0</v>
      </c>
      <c r="Y58">
        <v>1272871</v>
      </c>
      <c r="Z58">
        <v>613752</v>
      </c>
      <c r="AA58">
        <v>497161</v>
      </c>
      <c r="AB58">
        <v>2973010</v>
      </c>
      <c r="AC58">
        <v>12513892</v>
      </c>
      <c r="AD58">
        <v>3052753</v>
      </c>
      <c r="AE58">
        <v>15966797</v>
      </c>
      <c r="AF58">
        <v>13751950</v>
      </c>
      <c r="AG58">
        <v>9115762</v>
      </c>
      <c r="AH58">
        <v>112688</v>
      </c>
      <c r="AI58">
        <v>0</v>
      </c>
      <c r="AJ58">
        <v>6242403</v>
      </c>
      <c r="AK58">
        <v>0</v>
      </c>
      <c r="AL58">
        <v>9674197</v>
      </c>
      <c r="AM58">
        <v>484857</v>
      </c>
      <c r="AN58">
        <v>1245760</v>
      </c>
      <c r="AO58">
        <v>1090519</v>
      </c>
      <c r="AP58">
        <v>11913292</v>
      </c>
      <c r="AQ58">
        <v>659135</v>
      </c>
      <c r="AR58">
        <v>93954559</v>
      </c>
      <c r="AS58">
        <v>3273282</v>
      </c>
      <c r="AT58">
        <v>20184548</v>
      </c>
      <c r="AU58">
        <v>2721444</v>
      </c>
      <c r="AV58">
        <v>20109195</v>
      </c>
      <c r="AW58">
        <v>1847965</v>
      </c>
      <c r="AX58">
        <v>4080172</v>
      </c>
      <c r="AY58">
        <v>588386</v>
      </c>
      <c r="AZ58">
        <v>29218525</v>
      </c>
      <c r="BA58">
        <v>3992113</v>
      </c>
      <c r="BB58">
        <v>41339390</v>
      </c>
      <c r="BC58">
        <v>1107553</v>
      </c>
      <c r="BD58">
        <v>11230899</v>
      </c>
      <c r="BE58">
        <v>6184735</v>
      </c>
      <c r="BF58">
        <v>17080746</v>
      </c>
      <c r="BG58">
        <v>92890</v>
      </c>
      <c r="BH58">
        <v>1227147</v>
      </c>
      <c r="BI58">
        <v>779602</v>
      </c>
      <c r="BJ58">
        <v>1794667</v>
      </c>
      <c r="BK58">
        <v>0</v>
      </c>
      <c r="BL58">
        <v>177839</v>
      </c>
      <c r="BM58">
        <v>2050667</v>
      </c>
      <c r="BN58">
        <v>25786549</v>
      </c>
      <c r="BO58">
        <v>6587733</v>
      </c>
      <c r="BP58">
        <v>591122</v>
      </c>
      <c r="BQ58">
        <v>200198</v>
      </c>
      <c r="BR58">
        <v>26928581</v>
      </c>
      <c r="BS58">
        <v>43304765</v>
      </c>
      <c r="BT58">
        <v>1021578</v>
      </c>
      <c r="BU58">
        <v>4581511</v>
      </c>
      <c r="BV58">
        <v>1094931</v>
      </c>
      <c r="BW58">
        <v>1189143</v>
      </c>
      <c r="BX58">
        <v>0</v>
      </c>
      <c r="BY58">
        <v>901822</v>
      </c>
      <c r="BZ58">
        <v>1807915</v>
      </c>
      <c r="CA58">
        <v>17991655</v>
      </c>
      <c r="CB58">
        <v>3903343</v>
      </c>
      <c r="CC58">
        <v>5086508</v>
      </c>
      <c r="CD58">
        <v>35594</v>
      </c>
      <c r="CE58">
        <v>9279193</v>
      </c>
      <c r="CF58">
        <v>646753</v>
      </c>
      <c r="CG58">
        <v>10051901</v>
      </c>
      <c r="CH58">
        <v>4436985</v>
      </c>
      <c r="CI58">
        <v>3955555</v>
      </c>
      <c r="CJ58">
        <v>5894983</v>
      </c>
      <c r="CK58">
        <v>7266154</v>
      </c>
      <c r="CL58">
        <v>2290125</v>
      </c>
      <c r="CM58">
        <v>655926</v>
      </c>
      <c r="CN58">
        <v>57798</v>
      </c>
      <c r="CO58">
        <v>49709511</v>
      </c>
      <c r="CP58">
        <v>2519387</v>
      </c>
      <c r="CQ58">
        <v>2623035</v>
      </c>
      <c r="CR58">
        <v>1328230</v>
      </c>
      <c r="CS58">
        <v>14625</v>
      </c>
      <c r="CT58">
        <v>6472398</v>
      </c>
      <c r="CU58">
        <v>6752578</v>
      </c>
      <c r="CV58">
        <v>3303722</v>
      </c>
      <c r="CW58">
        <v>2842217</v>
      </c>
      <c r="CX58">
        <v>3728949</v>
      </c>
      <c r="CY58">
        <v>1696120</v>
      </c>
    </row>
    <row r="59" spans="1:103" x14ac:dyDescent="0.3">
      <c r="A59">
        <v>371</v>
      </c>
      <c r="B59" t="s">
        <v>207</v>
      </c>
      <c r="D59">
        <v>0</v>
      </c>
      <c r="E59">
        <v>0</v>
      </c>
      <c r="F59">
        <v>0</v>
      </c>
      <c r="G59">
        <v>0</v>
      </c>
      <c r="H59">
        <v>0</v>
      </c>
      <c r="I59">
        <v>1445075</v>
      </c>
      <c r="J59">
        <v>0</v>
      </c>
      <c r="K59">
        <v>0</v>
      </c>
      <c r="L59">
        <v>0</v>
      </c>
      <c r="M59">
        <v>0</v>
      </c>
      <c r="N59">
        <v>0</v>
      </c>
      <c r="O59">
        <v>0</v>
      </c>
      <c r="P59">
        <v>0</v>
      </c>
      <c r="Q59">
        <v>0</v>
      </c>
      <c r="R59">
        <v>0</v>
      </c>
      <c r="S59">
        <v>0</v>
      </c>
      <c r="T59">
        <v>0</v>
      </c>
      <c r="U59">
        <v>0</v>
      </c>
      <c r="V59">
        <v>0</v>
      </c>
      <c r="W59">
        <v>0</v>
      </c>
      <c r="X59">
        <v>1556909</v>
      </c>
      <c r="Y59">
        <v>0</v>
      </c>
      <c r="Z59">
        <v>9145667</v>
      </c>
      <c r="AA59">
        <v>2870684</v>
      </c>
      <c r="AB59">
        <v>5991805</v>
      </c>
      <c r="AC59">
        <v>0</v>
      </c>
      <c r="AD59">
        <v>0</v>
      </c>
      <c r="AE59">
        <v>0</v>
      </c>
      <c r="AF59">
        <v>0</v>
      </c>
      <c r="AG59">
        <v>0</v>
      </c>
      <c r="AH59">
        <v>2159981</v>
      </c>
      <c r="AI59">
        <v>71637606</v>
      </c>
      <c r="AJ59">
        <v>0</v>
      </c>
      <c r="AK59">
        <v>0</v>
      </c>
      <c r="AL59">
        <v>0</v>
      </c>
      <c r="AM59">
        <v>0</v>
      </c>
      <c r="AN59">
        <v>0</v>
      </c>
      <c r="AO59">
        <v>0</v>
      </c>
      <c r="AP59">
        <v>0</v>
      </c>
      <c r="AQ59">
        <v>0</v>
      </c>
      <c r="AR59">
        <v>0</v>
      </c>
      <c r="AS59">
        <v>0</v>
      </c>
      <c r="AT59">
        <v>0</v>
      </c>
      <c r="AU59">
        <v>0</v>
      </c>
      <c r="AV59">
        <v>2740152</v>
      </c>
      <c r="AW59">
        <v>0</v>
      </c>
      <c r="AX59">
        <v>0</v>
      </c>
      <c r="AY59">
        <v>0</v>
      </c>
      <c r="AZ59">
        <v>0</v>
      </c>
      <c r="BA59">
        <v>0</v>
      </c>
      <c r="BB59">
        <v>0</v>
      </c>
      <c r="BC59">
        <v>0</v>
      </c>
      <c r="BD59">
        <v>0</v>
      </c>
      <c r="BE59">
        <v>0</v>
      </c>
      <c r="BF59">
        <v>0</v>
      </c>
      <c r="BG59">
        <v>1266351</v>
      </c>
      <c r="BH59">
        <v>0</v>
      </c>
      <c r="BI59">
        <v>937301</v>
      </c>
      <c r="BJ59">
        <v>0</v>
      </c>
      <c r="BK59">
        <v>0</v>
      </c>
      <c r="BL59">
        <v>0</v>
      </c>
      <c r="BM59">
        <v>0</v>
      </c>
      <c r="BN59">
        <v>0</v>
      </c>
      <c r="BO59">
        <v>0</v>
      </c>
      <c r="BP59">
        <v>15399060</v>
      </c>
      <c r="BQ59">
        <v>1062947</v>
      </c>
      <c r="BR59">
        <v>0</v>
      </c>
      <c r="BS59">
        <v>0</v>
      </c>
      <c r="BT59">
        <v>0</v>
      </c>
      <c r="BU59">
        <v>0</v>
      </c>
      <c r="BV59">
        <v>0</v>
      </c>
      <c r="BW59">
        <v>0</v>
      </c>
      <c r="BX59">
        <v>0</v>
      </c>
      <c r="BY59">
        <v>5866073</v>
      </c>
      <c r="BZ59">
        <v>0</v>
      </c>
      <c r="CA59">
        <v>0</v>
      </c>
      <c r="CB59">
        <v>0</v>
      </c>
      <c r="CC59">
        <v>0</v>
      </c>
      <c r="CD59">
        <v>439766</v>
      </c>
      <c r="CE59">
        <v>0</v>
      </c>
      <c r="CF59">
        <v>81700</v>
      </c>
      <c r="CG59">
        <v>0</v>
      </c>
      <c r="CH59">
        <v>0</v>
      </c>
      <c r="CI59">
        <v>0</v>
      </c>
      <c r="CJ59">
        <v>0</v>
      </c>
      <c r="CK59">
        <v>0</v>
      </c>
      <c r="CL59">
        <v>0</v>
      </c>
      <c r="CM59">
        <v>0</v>
      </c>
      <c r="CN59">
        <v>0</v>
      </c>
      <c r="CO59">
        <v>0</v>
      </c>
      <c r="CP59">
        <v>286196</v>
      </c>
      <c r="CQ59">
        <v>292221554</v>
      </c>
      <c r="CR59">
        <v>0</v>
      </c>
      <c r="CS59">
        <v>0</v>
      </c>
      <c r="CT59">
        <v>0</v>
      </c>
      <c r="CU59">
        <v>0</v>
      </c>
      <c r="CV59">
        <v>0</v>
      </c>
      <c r="CW59">
        <v>0</v>
      </c>
      <c r="CX59">
        <v>0</v>
      </c>
      <c r="CY59">
        <v>0</v>
      </c>
    </row>
    <row r="60" spans="1:103" x14ac:dyDescent="0.3">
      <c r="A60">
        <v>373</v>
      </c>
      <c r="B60" t="s">
        <v>257</v>
      </c>
      <c r="D60">
        <v>44428610</v>
      </c>
      <c r="E60">
        <v>19010426</v>
      </c>
      <c r="F60">
        <v>18366410</v>
      </c>
      <c r="G60">
        <v>17811242</v>
      </c>
      <c r="H60">
        <v>29277123</v>
      </c>
      <c r="I60">
        <v>19485148</v>
      </c>
      <c r="J60">
        <v>16778920</v>
      </c>
      <c r="K60">
        <v>14245685</v>
      </c>
      <c r="L60">
        <v>23899795</v>
      </c>
      <c r="M60">
        <v>124710099</v>
      </c>
      <c r="N60">
        <v>186030604</v>
      </c>
      <c r="O60">
        <v>38005980</v>
      </c>
      <c r="P60">
        <v>108859522</v>
      </c>
      <c r="Q60">
        <v>36736250</v>
      </c>
      <c r="R60">
        <v>10425074</v>
      </c>
      <c r="S60">
        <v>44446842</v>
      </c>
      <c r="T60">
        <v>22001583</v>
      </c>
      <c r="U60">
        <v>86379377</v>
      </c>
      <c r="V60">
        <v>35143399</v>
      </c>
      <c r="W60">
        <v>31055869</v>
      </c>
      <c r="X60">
        <v>28843149</v>
      </c>
      <c r="Y60">
        <v>23638126</v>
      </c>
      <c r="Z60">
        <v>64594854</v>
      </c>
      <c r="AA60">
        <v>32589694</v>
      </c>
      <c r="AB60">
        <v>67022836</v>
      </c>
      <c r="AC60">
        <v>171673188</v>
      </c>
      <c r="AD60">
        <v>87850105</v>
      </c>
      <c r="AE60">
        <v>115520179</v>
      </c>
      <c r="AF60">
        <v>54931055</v>
      </c>
      <c r="AG60">
        <v>23500877</v>
      </c>
      <c r="AH60">
        <v>24679199</v>
      </c>
      <c r="AI60">
        <v>204076658</v>
      </c>
      <c r="AJ60">
        <v>29818924</v>
      </c>
      <c r="AK60">
        <v>202913675</v>
      </c>
      <c r="AL60">
        <v>44482841</v>
      </c>
      <c r="AM60">
        <v>120909683</v>
      </c>
      <c r="AN60">
        <v>4707202</v>
      </c>
      <c r="AO60">
        <v>12217722</v>
      </c>
      <c r="AP60">
        <v>26149265</v>
      </c>
      <c r="AQ60">
        <v>11404722</v>
      </c>
      <c r="AR60">
        <v>206060034</v>
      </c>
      <c r="AS60">
        <v>30959911</v>
      </c>
      <c r="AT60">
        <v>65600856</v>
      </c>
      <c r="AU60">
        <v>60875235</v>
      </c>
      <c r="AV60">
        <v>70758452</v>
      </c>
      <c r="AW60">
        <v>11921902</v>
      </c>
      <c r="AX60">
        <v>15922259</v>
      </c>
      <c r="AY60">
        <v>12678635</v>
      </c>
      <c r="AZ60">
        <v>197634752</v>
      </c>
      <c r="BA60">
        <v>37662797</v>
      </c>
      <c r="BB60">
        <v>70323927</v>
      </c>
      <c r="BC60">
        <v>6632601</v>
      </c>
      <c r="BD60">
        <v>32923650</v>
      </c>
      <c r="BE60">
        <v>40135921</v>
      </c>
      <c r="BF60">
        <v>47021539</v>
      </c>
      <c r="BG60">
        <v>35277284</v>
      </c>
      <c r="BH60">
        <v>11526565</v>
      </c>
      <c r="BI60">
        <v>18289454</v>
      </c>
      <c r="BJ60">
        <v>26010254</v>
      </c>
      <c r="BK60">
        <v>637833636</v>
      </c>
      <c r="BL60">
        <v>7778041</v>
      </c>
      <c r="BM60">
        <v>24056096</v>
      </c>
      <c r="BN60">
        <v>69287600</v>
      </c>
      <c r="BO60">
        <v>52044211</v>
      </c>
      <c r="BP60">
        <v>169125102</v>
      </c>
      <c r="BQ60">
        <v>13814853</v>
      </c>
      <c r="BR60">
        <v>95791674</v>
      </c>
      <c r="BS60">
        <v>85812144</v>
      </c>
      <c r="BT60">
        <v>8753688</v>
      </c>
      <c r="BU60">
        <v>48306764</v>
      </c>
      <c r="BV60">
        <v>27421657</v>
      </c>
      <c r="BW60">
        <v>7885252</v>
      </c>
      <c r="BX60">
        <v>55263592</v>
      </c>
      <c r="BY60">
        <v>85538041</v>
      </c>
      <c r="BZ60">
        <v>17756517</v>
      </c>
      <c r="CA60">
        <v>47470208</v>
      </c>
      <c r="CB60">
        <v>34697232</v>
      </c>
      <c r="CC60">
        <v>39251600</v>
      </c>
      <c r="CD60">
        <v>60624897</v>
      </c>
      <c r="CE60">
        <v>82446671</v>
      </c>
      <c r="CF60">
        <v>45413377</v>
      </c>
      <c r="CG60">
        <v>72889401</v>
      </c>
      <c r="CH60">
        <v>16443374</v>
      </c>
      <c r="CI60">
        <v>29648352</v>
      </c>
      <c r="CJ60">
        <v>35964695</v>
      </c>
      <c r="CK60">
        <v>33863829</v>
      </c>
      <c r="CL60">
        <v>17789238</v>
      </c>
      <c r="CM60">
        <v>29827288</v>
      </c>
      <c r="CN60">
        <v>3667664</v>
      </c>
      <c r="CO60">
        <v>99887119</v>
      </c>
      <c r="CP60">
        <v>22218314</v>
      </c>
      <c r="CQ60">
        <v>408485163</v>
      </c>
      <c r="CR60">
        <v>19468303</v>
      </c>
      <c r="CS60">
        <v>8874617</v>
      </c>
      <c r="CT60">
        <v>48569046</v>
      </c>
      <c r="CU60">
        <v>75268151</v>
      </c>
      <c r="CV60">
        <v>25746392</v>
      </c>
      <c r="CW60">
        <v>34289113</v>
      </c>
      <c r="CX60">
        <v>22892213</v>
      </c>
      <c r="CY60">
        <v>11666743</v>
      </c>
    </row>
    <row r="61" spans="1:103" x14ac:dyDescent="0.3">
      <c r="A61">
        <v>375</v>
      </c>
      <c r="B61" t="s">
        <v>189</v>
      </c>
      <c r="D61">
        <v>0</v>
      </c>
      <c r="E61">
        <v>8498605</v>
      </c>
      <c r="F61">
        <v>0</v>
      </c>
      <c r="G61">
        <v>10495289</v>
      </c>
      <c r="H61">
        <v>0</v>
      </c>
      <c r="I61">
        <v>0</v>
      </c>
      <c r="J61">
        <v>11590558</v>
      </c>
      <c r="K61">
        <v>109537</v>
      </c>
      <c r="L61">
        <v>1993888</v>
      </c>
      <c r="M61">
        <v>69420085</v>
      </c>
      <c r="N61">
        <v>0</v>
      </c>
      <c r="O61">
        <v>634973</v>
      </c>
      <c r="P61">
        <v>0</v>
      </c>
      <c r="Q61">
        <v>9102122</v>
      </c>
      <c r="R61">
        <v>2972984</v>
      </c>
      <c r="S61">
        <v>1907678</v>
      </c>
      <c r="T61">
        <v>0</v>
      </c>
      <c r="U61">
        <v>0</v>
      </c>
      <c r="V61">
        <v>31029157</v>
      </c>
      <c r="W61">
        <v>0</v>
      </c>
      <c r="X61">
        <v>3021767</v>
      </c>
      <c r="Y61">
        <v>330156</v>
      </c>
      <c r="Z61">
        <v>0</v>
      </c>
      <c r="AA61">
        <v>-5987496</v>
      </c>
      <c r="AB61">
        <v>13783379</v>
      </c>
      <c r="AC61">
        <v>1348705</v>
      </c>
      <c r="AD61">
        <v>22092198</v>
      </c>
      <c r="AE61">
        <v>-5857970</v>
      </c>
      <c r="AF61">
        <v>1628120</v>
      </c>
      <c r="AG61">
        <v>13885452</v>
      </c>
      <c r="AH61">
        <v>9397875</v>
      </c>
      <c r="AI61">
        <v>39335657</v>
      </c>
      <c r="AJ61">
        <v>2023577</v>
      </c>
      <c r="AK61">
        <v>0</v>
      </c>
      <c r="AL61">
        <v>23063334</v>
      </c>
      <c r="AM61">
        <v>0</v>
      </c>
      <c r="AN61">
        <v>1461798</v>
      </c>
      <c r="AO61">
        <v>0</v>
      </c>
      <c r="AP61">
        <v>0</v>
      </c>
      <c r="AQ61">
        <v>1603036</v>
      </c>
      <c r="AR61">
        <v>0</v>
      </c>
      <c r="AS61">
        <v>5021890</v>
      </c>
      <c r="AT61">
        <v>77071598</v>
      </c>
      <c r="AU61">
        <v>0</v>
      </c>
      <c r="AV61">
        <v>0</v>
      </c>
      <c r="AW61">
        <v>3337261</v>
      </c>
      <c r="AX61">
        <v>10342778</v>
      </c>
      <c r="AY61">
        <v>343322</v>
      </c>
      <c r="AZ61">
        <v>0</v>
      </c>
      <c r="BA61">
        <v>0</v>
      </c>
      <c r="BB61">
        <v>145603664</v>
      </c>
      <c r="BC61">
        <v>4861415</v>
      </c>
      <c r="BD61">
        <v>-326749</v>
      </c>
      <c r="BE61">
        <v>0</v>
      </c>
      <c r="BF61">
        <v>20252314</v>
      </c>
      <c r="BG61">
        <v>0</v>
      </c>
      <c r="BH61">
        <v>0</v>
      </c>
      <c r="BI61">
        <v>-2063232</v>
      </c>
      <c r="BJ61">
        <v>199917</v>
      </c>
      <c r="BK61">
        <v>0</v>
      </c>
      <c r="BL61">
        <v>0</v>
      </c>
      <c r="BM61">
        <v>9759468</v>
      </c>
      <c r="BN61">
        <v>21261674</v>
      </c>
      <c r="BO61">
        <v>1952745</v>
      </c>
      <c r="BP61">
        <v>0</v>
      </c>
      <c r="BQ61">
        <v>708473</v>
      </c>
      <c r="BR61">
        <v>0</v>
      </c>
      <c r="BS61">
        <v>0</v>
      </c>
      <c r="BT61">
        <v>3386248</v>
      </c>
      <c r="BU61">
        <v>10213892</v>
      </c>
      <c r="BV61">
        <v>15219876</v>
      </c>
      <c r="BW61">
        <v>1412924</v>
      </c>
      <c r="BX61">
        <v>0</v>
      </c>
      <c r="BY61">
        <v>0</v>
      </c>
      <c r="BZ61">
        <v>196671</v>
      </c>
      <c r="CA61">
        <v>0</v>
      </c>
      <c r="CB61">
        <v>12320252</v>
      </c>
      <c r="CC61">
        <v>9047040</v>
      </c>
      <c r="CD61">
        <v>1820567</v>
      </c>
      <c r="CE61">
        <v>1322094</v>
      </c>
      <c r="CF61">
        <v>0</v>
      </c>
      <c r="CG61">
        <v>8519210</v>
      </c>
      <c r="CH61">
        <v>2050634</v>
      </c>
      <c r="CI61">
        <v>3120361</v>
      </c>
      <c r="CJ61">
        <v>520963</v>
      </c>
      <c r="CK61">
        <v>582354</v>
      </c>
      <c r="CL61">
        <v>0</v>
      </c>
      <c r="CM61">
        <v>0</v>
      </c>
      <c r="CN61">
        <v>1335728</v>
      </c>
      <c r="CO61">
        <v>144397132</v>
      </c>
      <c r="CP61">
        <v>1215888</v>
      </c>
      <c r="CQ61">
        <v>0</v>
      </c>
      <c r="CR61">
        <v>7601811</v>
      </c>
      <c r="CS61">
        <v>1057883</v>
      </c>
      <c r="CT61">
        <v>0</v>
      </c>
      <c r="CU61">
        <v>249761</v>
      </c>
      <c r="CV61">
        <v>0</v>
      </c>
      <c r="CW61">
        <v>4765602</v>
      </c>
      <c r="CX61">
        <v>577170</v>
      </c>
      <c r="CY61">
        <v>-421795</v>
      </c>
    </row>
    <row r="62" spans="1:103" x14ac:dyDescent="0.3">
      <c r="A62">
        <v>376</v>
      </c>
      <c r="B62" t="s">
        <v>90</v>
      </c>
      <c r="D62">
        <v>-425966</v>
      </c>
      <c r="E62">
        <v>0</v>
      </c>
      <c r="F62">
        <v>0</v>
      </c>
      <c r="G62">
        <v>-285840</v>
      </c>
      <c r="H62">
        <v>300000</v>
      </c>
      <c r="I62">
        <v>0</v>
      </c>
      <c r="J62">
        <v>0</v>
      </c>
      <c r="K62">
        <v>0</v>
      </c>
      <c r="L62">
        <v>-794384</v>
      </c>
      <c r="M62">
        <v>0</v>
      </c>
      <c r="N62">
        <v>0</v>
      </c>
      <c r="O62">
        <v>0</v>
      </c>
      <c r="P62">
        <v>0</v>
      </c>
      <c r="Q62">
        <v>0</v>
      </c>
      <c r="R62">
        <v>0</v>
      </c>
      <c r="S62">
        <v>0</v>
      </c>
      <c r="T62">
        <v>186710</v>
      </c>
      <c r="U62">
        <v>0</v>
      </c>
      <c r="V62">
        <v>0</v>
      </c>
      <c r="W62">
        <v>0</v>
      </c>
      <c r="X62">
        <v>0</v>
      </c>
      <c r="Y62">
        <v>0</v>
      </c>
      <c r="Z62">
        <v>0</v>
      </c>
      <c r="AA62">
        <v>-236620</v>
      </c>
      <c r="AB62">
        <v>0</v>
      </c>
      <c r="AC62">
        <v>-207449</v>
      </c>
      <c r="AD62">
        <v>-6861370</v>
      </c>
      <c r="AE62">
        <v>-14857</v>
      </c>
      <c r="AF62">
        <v>0</v>
      </c>
      <c r="AG62">
        <v>0</v>
      </c>
      <c r="AH62">
        <v>-5983848</v>
      </c>
      <c r="AI62">
        <v>0</v>
      </c>
      <c r="AJ62">
        <v>-703037</v>
      </c>
      <c r="AK62">
        <v>-23146113</v>
      </c>
      <c r="AL62">
        <v>0</v>
      </c>
      <c r="AM62">
        <v>0</v>
      </c>
      <c r="AN62">
        <v>0</v>
      </c>
      <c r="AO62">
        <v>0</v>
      </c>
      <c r="AP62">
        <v>809409</v>
      </c>
      <c r="AQ62">
        <v>455547</v>
      </c>
      <c r="AR62">
        <v>0</v>
      </c>
      <c r="AS62">
        <v>0</v>
      </c>
      <c r="AT62">
        <v>0</v>
      </c>
      <c r="AU62">
        <v>0</v>
      </c>
      <c r="AV62">
        <v>-891325</v>
      </c>
      <c r="AW62">
        <v>0</v>
      </c>
      <c r="AX62">
        <v>0</v>
      </c>
      <c r="AY62">
        <v>-653089</v>
      </c>
      <c r="AZ62">
        <v>0</v>
      </c>
      <c r="BA62">
        <v>0</v>
      </c>
      <c r="BB62">
        <v>-822723</v>
      </c>
      <c r="BC62">
        <v>0</v>
      </c>
      <c r="BD62">
        <v>0</v>
      </c>
      <c r="BE62">
        <v>0</v>
      </c>
      <c r="BF62">
        <v>0</v>
      </c>
      <c r="BG62">
        <v>0</v>
      </c>
      <c r="BH62">
        <v>0</v>
      </c>
      <c r="BI62">
        <v>0</v>
      </c>
      <c r="BJ62">
        <v>-1</v>
      </c>
      <c r="BK62">
        <v>80912236</v>
      </c>
      <c r="BL62">
        <v>0</v>
      </c>
      <c r="BM62">
        <v>0</v>
      </c>
      <c r="BN62">
        <v>0</v>
      </c>
      <c r="BO62">
        <v>1835079</v>
      </c>
      <c r="BP62">
        <v>0</v>
      </c>
      <c r="BQ62">
        <v>104785</v>
      </c>
      <c r="BR62">
        <v>0</v>
      </c>
      <c r="BS62">
        <v>-1051825</v>
      </c>
      <c r="BT62">
        <v>0</v>
      </c>
      <c r="BU62">
        <v>0</v>
      </c>
      <c r="BV62">
        <v>86958</v>
      </c>
      <c r="BW62">
        <v>311191</v>
      </c>
      <c r="BX62">
        <v>910589</v>
      </c>
      <c r="BY62">
        <v>0</v>
      </c>
      <c r="BZ62">
        <v>0</v>
      </c>
      <c r="CA62">
        <v>0</v>
      </c>
      <c r="CB62">
        <v>0</v>
      </c>
      <c r="CC62">
        <v>0</v>
      </c>
      <c r="CD62">
        <v>2905637</v>
      </c>
      <c r="CE62">
        <v>0</v>
      </c>
      <c r="CF62">
        <v>0</v>
      </c>
      <c r="CG62">
        <v>0</v>
      </c>
      <c r="CH62">
        <v>-21991845</v>
      </c>
      <c r="CI62">
        <v>0</v>
      </c>
      <c r="CJ62">
        <v>0</v>
      </c>
      <c r="CK62">
        <v>0</v>
      </c>
      <c r="CL62">
        <v>0</v>
      </c>
      <c r="CM62">
        <v>-64254</v>
      </c>
      <c r="CN62">
        <v>0</v>
      </c>
      <c r="CO62">
        <v>-3080500</v>
      </c>
      <c r="CP62">
        <v>985980</v>
      </c>
      <c r="CQ62">
        <v>0</v>
      </c>
      <c r="CR62">
        <v>0</v>
      </c>
      <c r="CS62">
        <v>0</v>
      </c>
      <c r="CT62">
        <v>0</v>
      </c>
      <c r="CU62">
        <v>1435198</v>
      </c>
      <c r="CV62">
        <v>0</v>
      </c>
      <c r="CW62">
        <v>56761</v>
      </c>
      <c r="CX62">
        <v>0</v>
      </c>
      <c r="CY62">
        <v>0</v>
      </c>
    </row>
    <row r="63" spans="1:103" x14ac:dyDescent="0.3">
      <c r="A63">
        <v>377</v>
      </c>
      <c r="B63" t="s">
        <v>91</v>
      </c>
      <c r="D63">
        <v>0</v>
      </c>
      <c r="E63">
        <v>0</v>
      </c>
      <c r="F63">
        <v>0</v>
      </c>
      <c r="G63">
        <v>290125</v>
      </c>
      <c r="H63">
        <v>0</v>
      </c>
      <c r="I63">
        <v>0</v>
      </c>
      <c r="J63">
        <v>0</v>
      </c>
      <c r="K63">
        <v>0</v>
      </c>
      <c r="L63">
        <v>0</v>
      </c>
      <c r="M63">
        <v>0</v>
      </c>
      <c r="N63">
        <v>0</v>
      </c>
      <c r="O63">
        <v>0</v>
      </c>
      <c r="P63">
        <v>0</v>
      </c>
      <c r="Q63">
        <v>0</v>
      </c>
      <c r="R63">
        <v>0</v>
      </c>
      <c r="S63">
        <v>0</v>
      </c>
      <c r="T63">
        <v>0</v>
      </c>
      <c r="U63">
        <v>0</v>
      </c>
      <c r="V63">
        <v>0</v>
      </c>
      <c r="W63">
        <v>0</v>
      </c>
      <c r="X63">
        <v>1</v>
      </c>
      <c r="Y63">
        <v>0</v>
      </c>
      <c r="Z63">
        <v>0</v>
      </c>
      <c r="AA63">
        <v>-11273178</v>
      </c>
      <c r="AB63">
        <v>0</v>
      </c>
      <c r="AC63">
        <v>0</v>
      </c>
      <c r="AD63">
        <v>-489365</v>
      </c>
      <c r="AE63">
        <v>75836</v>
      </c>
      <c r="AF63">
        <v>0</v>
      </c>
      <c r="AG63">
        <v>0</v>
      </c>
      <c r="AH63">
        <v>449811</v>
      </c>
      <c r="AI63">
        <v>0</v>
      </c>
      <c r="AJ63">
        <v>1436454</v>
      </c>
      <c r="AK63">
        <v>0</v>
      </c>
      <c r="AL63">
        <v>0</v>
      </c>
      <c r="AM63">
        <v>0</v>
      </c>
      <c r="AN63">
        <v>0</v>
      </c>
      <c r="AO63">
        <v>0</v>
      </c>
      <c r="AP63">
        <v>0</v>
      </c>
      <c r="AQ63">
        <v>0</v>
      </c>
      <c r="AR63">
        <v>0</v>
      </c>
      <c r="AS63">
        <v>0</v>
      </c>
      <c r="AT63">
        <v>0</v>
      </c>
      <c r="AU63">
        <v>0</v>
      </c>
      <c r="AV63">
        <v>0</v>
      </c>
      <c r="AW63">
        <v>-33347</v>
      </c>
      <c r="AX63">
        <v>0</v>
      </c>
      <c r="AY63">
        <v>0</v>
      </c>
      <c r="AZ63">
        <v>0</v>
      </c>
      <c r="BA63">
        <v>0</v>
      </c>
      <c r="BB63">
        <v>0</v>
      </c>
      <c r="BC63">
        <v>0</v>
      </c>
      <c r="BD63">
        <v>0</v>
      </c>
      <c r="BE63">
        <v>0</v>
      </c>
      <c r="BF63">
        <v>0</v>
      </c>
      <c r="BG63">
        <v>0</v>
      </c>
      <c r="BH63">
        <v>0</v>
      </c>
      <c r="BI63">
        <v>0</v>
      </c>
      <c r="BJ63">
        <v>1</v>
      </c>
      <c r="BK63">
        <v>0</v>
      </c>
      <c r="BL63">
        <v>0</v>
      </c>
      <c r="BM63">
        <v>0</v>
      </c>
      <c r="BN63">
        <v>0</v>
      </c>
      <c r="BO63">
        <v>0</v>
      </c>
      <c r="BP63">
        <v>0</v>
      </c>
      <c r="BQ63">
        <v>46496</v>
      </c>
      <c r="BR63">
        <v>0</v>
      </c>
      <c r="BS63">
        <v>0</v>
      </c>
      <c r="BT63">
        <v>0</v>
      </c>
      <c r="BU63">
        <v>0</v>
      </c>
      <c r="BV63">
        <v>0</v>
      </c>
      <c r="BW63">
        <v>0</v>
      </c>
      <c r="BX63">
        <v>0</v>
      </c>
      <c r="BY63">
        <v>0</v>
      </c>
      <c r="BZ63">
        <v>0</v>
      </c>
      <c r="CA63">
        <v>0</v>
      </c>
      <c r="CB63">
        <v>0</v>
      </c>
      <c r="CC63">
        <v>0</v>
      </c>
      <c r="CD63">
        <v>0</v>
      </c>
      <c r="CE63">
        <v>0</v>
      </c>
      <c r="CF63">
        <v>0</v>
      </c>
      <c r="CG63">
        <v>0</v>
      </c>
      <c r="CH63">
        <v>-16301</v>
      </c>
      <c r="CI63">
        <v>-184488</v>
      </c>
      <c r="CJ63">
        <v>0</v>
      </c>
      <c r="CK63">
        <v>0</v>
      </c>
      <c r="CL63">
        <v>0</v>
      </c>
      <c r="CM63">
        <v>0</v>
      </c>
      <c r="CN63">
        <v>0</v>
      </c>
      <c r="CO63">
        <v>4354845</v>
      </c>
      <c r="CP63">
        <v>0</v>
      </c>
      <c r="CQ63">
        <v>0</v>
      </c>
      <c r="CR63">
        <v>0</v>
      </c>
      <c r="CS63">
        <v>0</v>
      </c>
      <c r="CT63">
        <v>0</v>
      </c>
      <c r="CU63">
        <v>0</v>
      </c>
      <c r="CV63">
        <v>0</v>
      </c>
      <c r="CW63">
        <v>0</v>
      </c>
      <c r="CX63">
        <v>0</v>
      </c>
      <c r="CY63">
        <v>0</v>
      </c>
    </row>
    <row r="64" spans="1:103" x14ac:dyDescent="0.3">
      <c r="A64">
        <v>379</v>
      </c>
      <c r="B64" t="s">
        <v>98</v>
      </c>
      <c r="D64">
        <v>91867391</v>
      </c>
      <c r="E64">
        <v>27205324</v>
      </c>
      <c r="F64">
        <v>10002018</v>
      </c>
      <c r="G64">
        <v>31649270</v>
      </c>
      <c r="H64">
        <v>19043039</v>
      </c>
      <c r="I64">
        <v>31178132</v>
      </c>
      <c r="J64">
        <v>46399001</v>
      </c>
      <c r="K64">
        <v>8565515</v>
      </c>
      <c r="L64">
        <v>49948783</v>
      </c>
      <c r="M64">
        <v>152174307</v>
      </c>
      <c r="N64">
        <v>170040174</v>
      </c>
      <c r="O64">
        <v>47002927</v>
      </c>
      <c r="P64">
        <v>191320798</v>
      </c>
      <c r="Q64">
        <v>28780647</v>
      </c>
      <c r="R64">
        <v>16285649</v>
      </c>
      <c r="S64">
        <v>86451208</v>
      </c>
      <c r="T64">
        <v>17299826</v>
      </c>
      <c r="U64">
        <v>141530761</v>
      </c>
      <c r="V64">
        <v>63581856</v>
      </c>
      <c r="W64">
        <v>35133285</v>
      </c>
      <c r="X64">
        <v>13682429</v>
      </c>
      <c r="Y64">
        <v>11143912</v>
      </c>
      <c r="Z64">
        <v>64783084</v>
      </c>
      <c r="AA64">
        <v>35054555</v>
      </c>
      <c r="AB64">
        <v>66447030</v>
      </c>
      <c r="AC64">
        <v>298634375</v>
      </c>
      <c r="AD64">
        <v>36985323</v>
      </c>
      <c r="AE64">
        <v>103672042</v>
      </c>
      <c r="AF64">
        <v>115192005</v>
      </c>
      <c r="AG64">
        <v>24682449</v>
      </c>
      <c r="AH64">
        <v>45834562</v>
      </c>
      <c r="AI64">
        <v>341912720</v>
      </c>
      <c r="AJ64">
        <v>38431221</v>
      </c>
      <c r="AK64">
        <v>246859623</v>
      </c>
      <c r="AL64">
        <v>59170606</v>
      </c>
      <c r="AM64">
        <v>176611684</v>
      </c>
      <c r="AN64">
        <v>9033857</v>
      </c>
      <c r="AO64">
        <v>11531748</v>
      </c>
      <c r="AP64">
        <v>54563904</v>
      </c>
      <c r="AQ64">
        <v>17516628</v>
      </c>
      <c r="AR64">
        <v>243917131</v>
      </c>
      <c r="AS64">
        <v>54355780</v>
      </c>
      <c r="AT64">
        <v>115430482</v>
      </c>
      <c r="AU64">
        <v>54184108</v>
      </c>
      <c r="AV64">
        <v>112724584</v>
      </c>
      <c r="AW64">
        <v>18153243</v>
      </c>
      <c r="AX64">
        <v>47824092</v>
      </c>
      <c r="AY64">
        <v>11220398</v>
      </c>
      <c r="AZ64">
        <v>184110013</v>
      </c>
      <c r="BA64">
        <v>43422141</v>
      </c>
      <c r="BB64">
        <v>217759137</v>
      </c>
      <c r="BC64">
        <v>14850874</v>
      </c>
      <c r="BD64">
        <v>39393119</v>
      </c>
      <c r="BE64">
        <v>45952314</v>
      </c>
      <c r="BF64">
        <v>64243901</v>
      </c>
      <c r="BG64">
        <v>48772314</v>
      </c>
      <c r="BH64">
        <v>20209870</v>
      </c>
      <c r="BI64">
        <v>20948142</v>
      </c>
      <c r="BJ64">
        <v>21415728</v>
      </c>
      <c r="BK64">
        <v>784169233</v>
      </c>
      <c r="BL64">
        <v>11109839</v>
      </c>
      <c r="BM64">
        <v>37037407</v>
      </c>
      <c r="BN64">
        <v>67352273</v>
      </c>
      <c r="BO64">
        <v>62388151</v>
      </c>
      <c r="BP64">
        <v>504301200</v>
      </c>
      <c r="BQ64">
        <v>29957347</v>
      </c>
      <c r="BR64">
        <v>160542690</v>
      </c>
      <c r="BS64">
        <v>94890308</v>
      </c>
      <c r="BT64">
        <v>13649888</v>
      </c>
      <c r="BU64">
        <v>45247294</v>
      </c>
      <c r="BV64">
        <v>78774615</v>
      </c>
      <c r="BW64">
        <v>8884892</v>
      </c>
      <c r="BX64">
        <v>36307084</v>
      </c>
      <c r="BY64">
        <v>76693885</v>
      </c>
      <c r="BZ64">
        <v>16902828</v>
      </c>
      <c r="CA64">
        <v>73315990</v>
      </c>
      <c r="CB64">
        <v>29561603</v>
      </c>
      <c r="CC64">
        <v>75100155</v>
      </c>
      <c r="CD64">
        <v>72868281</v>
      </c>
      <c r="CE64">
        <v>105296998</v>
      </c>
      <c r="CF64">
        <v>56974231</v>
      </c>
      <c r="CG64">
        <v>47906733</v>
      </c>
      <c r="CH64">
        <v>43471111</v>
      </c>
      <c r="CI64">
        <v>52826917</v>
      </c>
      <c r="CJ64">
        <v>26218305</v>
      </c>
      <c r="CK64">
        <v>69486064</v>
      </c>
      <c r="CL64">
        <v>14200928</v>
      </c>
      <c r="CM64">
        <v>40124472</v>
      </c>
      <c r="CN64">
        <v>2927820</v>
      </c>
      <c r="CO64">
        <v>307623127</v>
      </c>
      <c r="CP64">
        <v>30400388</v>
      </c>
      <c r="CQ64">
        <v>633068347</v>
      </c>
      <c r="CR64">
        <v>25165043</v>
      </c>
      <c r="CS64">
        <v>13381644</v>
      </c>
      <c r="CT64">
        <v>72091804</v>
      </c>
      <c r="CU64">
        <v>73489799</v>
      </c>
      <c r="CV64">
        <v>51232904</v>
      </c>
      <c r="CW64">
        <v>69637360</v>
      </c>
      <c r="CX64">
        <v>27305358</v>
      </c>
      <c r="CY64">
        <v>14849043</v>
      </c>
    </row>
    <row r="65" spans="1:103" x14ac:dyDescent="0.3">
      <c r="A65">
        <v>380</v>
      </c>
      <c r="B65" t="s">
        <v>101</v>
      </c>
      <c r="D65">
        <v>4574232</v>
      </c>
      <c r="E65">
        <v>1021686</v>
      </c>
      <c r="F65">
        <v>412068</v>
      </c>
      <c r="G65">
        <v>2346689</v>
      </c>
      <c r="H65">
        <v>1534936</v>
      </c>
      <c r="I65">
        <v>517903</v>
      </c>
      <c r="J65">
        <v>1801146</v>
      </c>
      <c r="K65">
        <v>1577399</v>
      </c>
      <c r="L65">
        <v>5778463</v>
      </c>
      <c r="M65">
        <v>1701324</v>
      </c>
      <c r="N65">
        <v>24254038</v>
      </c>
      <c r="O65">
        <v>1804883</v>
      </c>
      <c r="P65">
        <v>4007564</v>
      </c>
      <c r="Q65">
        <v>2178926</v>
      </c>
      <c r="R65">
        <v>247445</v>
      </c>
      <c r="S65">
        <v>2928381</v>
      </c>
      <c r="T65">
        <v>336613</v>
      </c>
      <c r="U65">
        <v>3926671</v>
      </c>
      <c r="V65">
        <v>2311180</v>
      </c>
      <c r="W65">
        <v>365080</v>
      </c>
      <c r="X65">
        <v>159192</v>
      </c>
      <c r="Y65">
        <v>415181</v>
      </c>
      <c r="Z65">
        <v>5787369</v>
      </c>
      <c r="AA65">
        <v>1164244</v>
      </c>
      <c r="AB65">
        <v>1009860</v>
      </c>
      <c r="AC65">
        <v>3142873</v>
      </c>
      <c r="AD65">
        <v>908479</v>
      </c>
      <c r="AE65">
        <v>757146</v>
      </c>
      <c r="AF65">
        <v>1600425</v>
      </c>
      <c r="AG65">
        <v>1583405</v>
      </c>
      <c r="AH65">
        <v>12270507</v>
      </c>
      <c r="AI65">
        <v>15222813</v>
      </c>
      <c r="AJ65">
        <v>3417902</v>
      </c>
      <c r="AK65">
        <v>19459541</v>
      </c>
      <c r="AL65">
        <v>2596130</v>
      </c>
      <c r="AM65">
        <v>1681601</v>
      </c>
      <c r="AN65">
        <v>266689</v>
      </c>
      <c r="AO65">
        <v>257840</v>
      </c>
      <c r="AP65">
        <v>1650532</v>
      </c>
      <c r="AQ65">
        <v>189590</v>
      </c>
      <c r="AR65">
        <v>9246232</v>
      </c>
      <c r="AS65">
        <v>1482663</v>
      </c>
      <c r="AT65">
        <v>764760</v>
      </c>
      <c r="AU65">
        <v>4064807</v>
      </c>
      <c r="AV65">
        <v>16755036</v>
      </c>
      <c r="AW65">
        <v>1066646</v>
      </c>
      <c r="AX65">
        <v>1399615</v>
      </c>
      <c r="AY65">
        <v>1506044</v>
      </c>
      <c r="AZ65">
        <v>5066586</v>
      </c>
      <c r="BA65">
        <v>430265</v>
      </c>
      <c r="BB65">
        <v>734796</v>
      </c>
      <c r="BC65">
        <v>605964</v>
      </c>
      <c r="BD65">
        <v>920620</v>
      </c>
      <c r="BE65">
        <v>1552355</v>
      </c>
      <c r="BF65">
        <v>1369533</v>
      </c>
      <c r="BG65">
        <v>1816492</v>
      </c>
      <c r="BH65">
        <v>1126943</v>
      </c>
      <c r="BI65">
        <v>3413762</v>
      </c>
      <c r="BJ65">
        <v>1874911</v>
      </c>
      <c r="BK65">
        <v>20552902</v>
      </c>
      <c r="BL65">
        <v>629326</v>
      </c>
      <c r="BM65">
        <v>1023838</v>
      </c>
      <c r="BN65">
        <v>547265</v>
      </c>
      <c r="BO65">
        <v>1655574</v>
      </c>
      <c r="BP65">
        <v>4515703</v>
      </c>
      <c r="BQ65">
        <v>1956889</v>
      </c>
      <c r="BR65">
        <v>3055001</v>
      </c>
      <c r="BS65">
        <v>3797230</v>
      </c>
      <c r="BT65">
        <v>668236</v>
      </c>
      <c r="BU65">
        <v>5942242</v>
      </c>
      <c r="BV65">
        <v>7022033</v>
      </c>
      <c r="BW65">
        <v>366507</v>
      </c>
      <c r="BX65">
        <v>1157395</v>
      </c>
      <c r="BY65">
        <v>1629356</v>
      </c>
      <c r="BZ65">
        <v>276734</v>
      </c>
      <c r="CA65">
        <v>2470691</v>
      </c>
      <c r="CB65">
        <v>1053313</v>
      </c>
      <c r="CC65">
        <v>8750393</v>
      </c>
      <c r="CD65">
        <v>4006642</v>
      </c>
      <c r="CE65">
        <v>4052701</v>
      </c>
      <c r="CF65">
        <v>1828683</v>
      </c>
      <c r="CG65">
        <v>1766745</v>
      </c>
      <c r="CH65">
        <v>23461689</v>
      </c>
      <c r="CI65">
        <v>1325800</v>
      </c>
      <c r="CJ65">
        <v>1585358</v>
      </c>
      <c r="CK65">
        <v>1189011</v>
      </c>
      <c r="CL65">
        <v>285653</v>
      </c>
      <c r="CM65">
        <v>206164</v>
      </c>
      <c r="CN65">
        <v>591538</v>
      </c>
      <c r="CO65">
        <v>163591979</v>
      </c>
      <c r="CP65">
        <v>1484068</v>
      </c>
      <c r="CQ65">
        <v>11686718</v>
      </c>
      <c r="CR65">
        <v>1068826</v>
      </c>
      <c r="CS65">
        <v>749075</v>
      </c>
      <c r="CT65">
        <v>17978110</v>
      </c>
      <c r="CU65">
        <v>1917942</v>
      </c>
      <c r="CV65">
        <v>2832425</v>
      </c>
      <c r="CW65">
        <v>1368551</v>
      </c>
      <c r="CX65">
        <v>927445</v>
      </c>
      <c r="CY65">
        <v>400015</v>
      </c>
    </row>
    <row r="66" spans="1:103" x14ac:dyDescent="0.3">
      <c r="A66">
        <v>381</v>
      </c>
      <c r="B66" t="s">
        <v>94</v>
      </c>
      <c r="D66">
        <v>0</v>
      </c>
      <c r="E66">
        <v>32490540</v>
      </c>
      <c r="F66">
        <v>0</v>
      </c>
      <c r="G66">
        <v>36661394</v>
      </c>
      <c r="H66">
        <v>0</v>
      </c>
      <c r="I66">
        <v>0</v>
      </c>
      <c r="J66">
        <v>74106897</v>
      </c>
      <c r="K66">
        <v>31527578</v>
      </c>
      <c r="L66">
        <v>28595498</v>
      </c>
      <c r="M66">
        <v>752519652</v>
      </c>
      <c r="N66">
        <v>0</v>
      </c>
      <c r="O66">
        <v>16234594</v>
      </c>
      <c r="P66">
        <v>0</v>
      </c>
      <c r="Q66">
        <v>15398405</v>
      </c>
      <c r="R66">
        <v>26883911</v>
      </c>
      <c r="S66">
        <v>8216197</v>
      </c>
      <c r="T66">
        <v>0</v>
      </c>
      <c r="U66">
        <v>0</v>
      </c>
      <c r="V66">
        <v>81579407</v>
      </c>
      <c r="W66">
        <v>0</v>
      </c>
      <c r="X66">
        <v>6783151</v>
      </c>
      <c r="Y66">
        <v>4537410</v>
      </c>
      <c r="Z66">
        <v>0</v>
      </c>
      <c r="AA66">
        <v>42989250</v>
      </c>
      <c r="AB66">
        <v>53564379</v>
      </c>
      <c r="AC66">
        <v>13209105</v>
      </c>
      <c r="AD66">
        <v>77687001</v>
      </c>
      <c r="AE66">
        <v>104184894</v>
      </c>
      <c r="AF66">
        <v>15340469</v>
      </c>
      <c r="AG66">
        <v>57864548</v>
      </c>
      <c r="AH66">
        <v>51396931</v>
      </c>
      <c r="AI66">
        <v>120675451</v>
      </c>
      <c r="AJ66">
        <v>55553813</v>
      </c>
      <c r="AK66">
        <v>0</v>
      </c>
      <c r="AL66">
        <v>64998120</v>
      </c>
      <c r="AM66">
        <v>0</v>
      </c>
      <c r="AN66">
        <v>11033826</v>
      </c>
      <c r="AO66">
        <v>0</v>
      </c>
      <c r="AP66">
        <v>0</v>
      </c>
      <c r="AQ66">
        <v>52229946</v>
      </c>
      <c r="AR66">
        <v>0</v>
      </c>
      <c r="AS66">
        <v>31266671</v>
      </c>
      <c r="AT66">
        <v>423027649</v>
      </c>
      <c r="AU66">
        <v>0</v>
      </c>
      <c r="AV66">
        <v>908947</v>
      </c>
      <c r="AW66">
        <v>17334839</v>
      </c>
      <c r="AX66">
        <v>75380900</v>
      </c>
      <c r="AY66">
        <v>10332396</v>
      </c>
      <c r="AZ66">
        <v>0</v>
      </c>
      <c r="BA66">
        <v>0</v>
      </c>
      <c r="BB66">
        <v>497369452</v>
      </c>
      <c r="BC66">
        <v>21623315</v>
      </c>
      <c r="BD66">
        <v>0</v>
      </c>
      <c r="BE66">
        <v>0</v>
      </c>
      <c r="BF66">
        <v>164880583</v>
      </c>
      <c r="BG66">
        <v>0</v>
      </c>
      <c r="BH66">
        <v>0</v>
      </c>
      <c r="BI66">
        <v>15675253</v>
      </c>
      <c r="BJ66">
        <v>6117885</v>
      </c>
      <c r="BK66">
        <v>0</v>
      </c>
      <c r="BL66">
        <v>0</v>
      </c>
      <c r="BM66">
        <v>37429591</v>
      </c>
      <c r="BN66">
        <v>108161737</v>
      </c>
      <c r="BO66">
        <v>43116570</v>
      </c>
      <c r="BP66">
        <v>0</v>
      </c>
      <c r="BQ66">
        <v>22591769</v>
      </c>
      <c r="BR66">
        <v>0</v>
      </c>
      <c r="BS66">
        <v>0</v>
      </c>
      <c r="BT66">
        <v>15604375</v>
      </c>
      <c r="BU66">
        <v>36069712</v>
      </c>
      <c r="BV66">
        <v>117141530</v>
      </c>
      <c r="BW66">
        <v>10081149</v>
      </c>
      <c r="BX66">
        <v>0</v>
      </c>
      <c r="BY66">
        <v>0</v>
      </c>
      <c r="BZ66">
        <v>11504161</v>
      </c>
      <c r="CA66">
        <v>0</v>
      </c>
      <c r="CB66">
        <v>48886866</v>
      </c>
      <c r="CC66">
        <v>46583472</v>
      </c>
      <c r="CD66">
        <v>30319880</v>
      </c>
      <c r="CE66">
        <v>4475089</v>
      </c>
      <c r="CF66">
        <v>0</v>
      </c>
      <c r="CG66">
        <v>39523901</v>
      </c>
      <c r="CH66">
        <v>9350633</v>
      </c>
      <c r="CI66">
        <v>35932906</v>
      </c>
      <c r="CJ66">
        <v>5197244</v>
      </c>
      <c r="CK66">
        <v>11352070</v>
      </c>
      <c r="CL66">
        <v>0</v>
      </c>
      <c r="CM66">
        <v>0</v>
      </c>
      <c r="CN66">
        <v>19493998</v>
      </c>
      <c r="CO66">
        <v>923123987</v>
      </c>
      <c r="CP66">
        <v>15962303</v>
      </c>
      <c r="CQ66">
        <v>0</v>
      </c>
      <c r="CR66">
        <v>36575825</v>
      </c>
      <c r="CS66">
        <v>8484169</v>
      </c>
      <c r="CT66">
        <v>0</v>
      </c>
      <c r="CU66">
        <v>4534737</v>
      </c>
      <c r="CV66">
        <v>0</v>
      </c>
      <c r="CW66">
        <v>22579292</v>
      </c>
      <c r="CX66">
        <v>9760856</v>
      </c>
      <c r="CY66">
        <v>8290564</v>
      </c>
    </row>
    <row r="67" spans="1:103" x14ac:dyDescent="0.3">
      <c r="A67">
        <v>383</v>
      </c>
      <c r="B67" t="s">
        <v>188</v>
      </c>
      <c r="D67">
        <v>0</v>
      </c>
      <c r="E67">
        <v>0</v>
      </c>
      <c r="F67">
        <v>0</v>
      </c>
      <c r="G67">
        <v>0</v>
      </c>
      <c r="H67">
        <v>0</v>
      </c>
      <c r="I67">
        <v>0</v>
      </c>
      <c r="J67">
        <v>0</v>
      </c>
      <c r="K67">
        <v>0</v>
      </c>
      <c r="L67">
        <v>0</v>
      </c>
      <c r="M67">
        <v>0</v>
      </c>
      <c r="N67">
        <v>0</v>
      </c>
      <c r="O67">
        <v>0</v>
      </c>
      <c r="P67">
        <v>0</v>
      </c>
      <c r="Q67">
        <v>0</v>
      </c>
      <c r="R67">
        <v>0</v>
      </c>
      <c r="S67">
        <v>120415</v>
      </c>
      <c r="T67">
        <v>0</v>
      </c>
      <c r="U67">
        <v>0</v>
      </c>
      <c r="V67">
        <v>0</v>
      </c>
      <c r="W67">
        <v>0</v>
      </c>
      <c r="X67">
        <v>0</v>
      </c>
      <c r="Y67">
        <v>0</v>
      </c>
      <c r="Z67">
        <v>0</v>
      </c>
      <c r="AA67">
        <v>0</v>
      </c>
      <c r="AB67">
        <v>0</v>
      </c>
      <c r="AC67">
        <v>0</v>
      </c>
      <c r="AD67">
        <v>2207</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144144</v>
      </c>
      <c r="BO67">
        <v>0</v>
      </c>
      <c r="BP67">
        <v>0</v>
      </c>
      <c r="BQ67">
        <v>0</v>
      </c>
      <c r="BR67">
        <v>0</v>
      </c>
      <c r="BS67">
        <v>0</v>
      </c>
      <c r="BT67">
        <v>0</v>
      </c>
      <c r="BU67">
        <v>0</v>
      </c>
      <c r="BV67">
        <v>0</v>
      </c>
      <c r="BW67">
        <v>0</v>
      </c>
      <c r="BX67">
        <v>0</v>
      </c>
      <c r="BY67">
        <v>0</v>
      </c>
      <c r="BZ67">
        <v>0</v>
      </c>
      <c r="CA67">
        <v>0</v>
      </c>
      <c r="CB67">
        <v>0</v>
      </c>
      <c r="CC67">
        <v>0</v>
      </c>
      <c r="CD67">
        <v>447856</v>
      </c>
      <c r="CE67">
        <v>0</v>
      </c>
      <c r="CF67">
        <v>0</v>
      </c>
      <c r="CG67">
        <v>0</v>
      </c>
      <c r="CH67">
        <v>550000</v>
      </c>
      <c r="CI67">
        <v>0</v>
      </c>
      <c r="CJ67">
        <v>0</v>
      </c>
      <c r="CK67">
        <v>0</v>
      </c>
      <c r="CL67">
        <v>0</v>
      </c>
      <c r="CM67">
        <v>0</v>
      </c>
      <c r="CN67">
        <v>0</v>
      </c>
      <c r="CO67">
        <v>0</v>
      </c>
      <c r="CP67">
        <v>0</v>
      </c>
      <c r="CQ67">
        <v>0</v>
      </c>
      <c r="CR67">
        <v>0</v>
      </c>
      <c r="CS67">
        <v>0</v>
      </c>
      <c r="CT67">
        <v>0</v>
      </c>
      <c r="CU67">
        <v>0</v>
      </c>
      <c r="CV67">
        <v>0</v>
      </c>
      <c r="CW67">
        <v>0</v>
      </c>
      <c r="CX67">
        <v>0</v>
      </c>
      <c r="CY67">
        <v>0</v>
      </c>
    </row>
    <row r="68" spans="1:103" x14ac:dyDescent="0.3">
      <c r="A68">
        <v>385</v>
      </c>
      <c r="B68" t="s">
        <v>95</v>
      </c>
      <c r="D68">
        <v>355164184</v>
      </c>
      <c r="E68">
        <v>66260447</v>
      </c>
      <c r="F68">
        <v>37645563</v>
      </c>
      <c r="G68">
        <v>62971467</v>
      </c>
      <c r="H68">
        <v>87758216</v>
      </c>
      <c r="I68">
        <v>91038442</v>
      </c>
      <c r="J68">
        <v>94092554</v>
      </c>
      <c r="K68">
        <v>48204961</v>
      </c>
      <c r="L68">
        <v>103994996</v>
      </c>
      <c r="M68">
        <v>460740672</v>
      </c>
      <c r="N68">
        <v>687808684</v>
      </c>
      <c r="O68">
        <v>170565672</v>
      </c>
      <c r="P68">
        <v>649974682</v>
      </c>
      <c r="Q68">
        <v>118899825</v>
      </c>
      <c r="R68">
        <v>42277118</v>
      </c>
      <c r="S68">
        <v>163607804</v>
      </c>
      <c r="T68">
        <v>52558232</v>
      </c>
      <c r="U68">
        <v>428268586</v>
      </c>
      <c r="V68">
        <v>340314152</v>
      </c>
      <c r="W68">
        <v>87910833</v>
      </c>
      <c r="X68">
        <v>54352388</v>
      </c>
      <c r="Y68">
        <v>41097516</v>
      </c>
      <c r="Z68">
        <v>303242370</v>
      </c>
      <c r="AA68">
        <v>213372662</v>
      </c>
      <c r="AB68">
        <v>212372036</v>
      </c>
      <c r="AC68">
        <v>653698562</v>
      </c>
      <c r="AD68">
        <v>276825494</v>
      </c>
      <c r="AE68">
        <v>433715437</v>
      </c>
      <c r="AF68">
        <v>319538783</v>
      </c>
      <c r="AG68">
        <v>84109917</v>
      </c>
      <c r="AH68">
        <v>137277754</v>
      </c>
      <c r="AI68">
        <v>1072181753</v>
      </c>
      <c r="AJ68">
        <v>96981849</v>
      </c>
      <c r="AK68">
        <v>986291083</v>
      </c>
      <c r="AL68">
        <v>168391706</v>
      </c>
      <c r="AM68">
        <v>497893526</v>
      </c>
      <c r="AN68">
        <v>21693708</v>
      </c>
      <c r="AO68">
        <v>39360458</v>
      </c>
      <c r="AP68">
        <v>154178720</v>
      </c>
      <c r="AQ68">
        <v>46609625</v>
      </c>
      <c r="AR68">
        <v>932310501</v>
      </c>
      <c r="AS68">
        <v>99596112</v>
      </c>
      <c r="AT68">
        <v>332563313</v>
      </c>
      <c r="AU68">
        <v>207317045</v>
      </c>
      <c r="AV68">
        <v>316377748</v>
      </c>
      <c r="AW68">
        <v>66633452</v>
      </c>
      <c r="AX68">
        <v>141098324</v>
      </c>
      <c r="AY68">
        <v>39558473</v>
      </c>
      <c r="AZ68">
        <v>738227812</v>
      </c>
      <c r="BA68">
        <v>201322392</v>
      </c>
      <c r="BB68">
        <v>459248724</v>
      </c>
      <c r="BC68">
        <v>67407409</v>
      </c>
      <c r="BD68">
        <v>117532827</v>
      </c>
      <c r="BE68">
        <v>96657457</v>
      </c>
      <c r="BF68">
        <v>282124394</v>
      </c>
      <c r="BG68">
        <v>118866349</v>
      </c>
      <c r="BH68">
        <v>38884322</v>
      </c>
      <c r="BI68">
        <v>79895331</v>
      </c>
      <c r="BJ68">
        <v>98896292</v>
      </c>
      <c r="BK68">
        <v>3179956859</v>
      </c>
      <c r="BL68">
        <v>38164536</v>
      </c>
      <c r="BM68">
        <v>164732465</v>
      </c>
      <c r="BN68">
        <v>320864293</v>
      </c>
      <c r="BO68">
        <v>216119352</v>
      </c>
      <c r="BP68">
        <v>1099538993</v>
      </c>
      <c r="BQ68">
        <v>73991253</v>
      </c>
      <c r="BR68">
        <v>372530555</v>
      </c>
      <c r="BS68">
        <v>429283948</v>
      </c>
      <c r="BT68">
        <v>30325818</v>
      </c>
      <c r="BU68">
        <v>102982628</v>
      </c>
      <c r="BV68">
        <v>142191022</v>
      </c>
      <c r="BW68">
        <v>31025206</v>
      </c>
      <c r="BX68">
        <v>138034339</v>
      </c>
      <c r="BY68">
        <v>387215000</v>
      </c>
      <c r="BZ68">
        <v>76172375</v>
      </c>
      <c r="CA68">
        <v>320701551</v>
      </c>
      <c r="CB68">
        <v>76913543</v>
      </c>
      <c r="CC68">
        <v>178033851</v>
      </c>
      <c r="CD68">
        <v>205283085</v>
      </c>
      <c r="CE68">
        <v>231685484</v>
      </c>
      <c r="CF68">
        <v>188195976</v>
      </c>
      <c r="CG68">
        <v>217232315</v>
      </c>
      <c r="CH68">
        <v>80335852</v>
      </c>
      <c r="CI68">
        <v>113352972</v>
      </c>
      <c r="CJ68">
        <v>114087401</v>
      </c>
      <c r="CK68">
        <v>215734407</v>
      </c>
      <c r="CL68">
        <v>94676185</v>
      </c>
      <c r="CM68">
        <v>112276212</v>
      </c>
      <c r="CN68">
        <v>9170369</v>
      </c>
      <c r="CO68">
        <v>684336460</v>
      </c>
      <c r="CP68">
        <v>89887017</v>
      </c>
      <c r="CQ68">
        <v>2729938598</v>
      </c>
      <c r="CR68">
        <v>51424169</v>
      </c>
      <c r="CS68">
        <v>40699039</v>
      </c>
      <c r="CT68">
        <v>266480238</v>
      </c>
      <c r="CU68">
        <v>325368331</v>
      </c>
      <c r="CV68">
        <v>124836361</v>
      </c>
      <c r="CW68">
        <v>154230883</v>
      </c>
      <c r="CX68">
        <v>94960928</v>
      </c>
      <c r="CY68">
        <v>44731342</v>
      </c>
    </row>
    <row r="69" spans="1:103" x14ac:dyDescent="0.3">
      <c r="A69">
        <v>386</v>
      </c>
      <c r="B69" t="s">
        <v>162</v>
      </c>
      <c r="D69">
        <v>0</v>
      </c>
      <c r="E69">
        <v>4357083</v>
      </c>
      <c r="F69">
        <v>0</v>
      </c>
      <c r="G69">
        <v>0</v>
      </c>
      <c r="H69">
        <v>0</v>
      </c>
      <c r="I69">
        <v>0</v>
      </c>
      <c r="J69">
        <v>7965118</v>
      </c>
      <c r="K69">
        <v>0</v>
      </c>
      <c r="L69">
        <v>0</v>
      </c>
      <c r="M69">
        <v>0</v>
      </c>
      <c r="N69">
        <v>0</v>
      </c>
      <c r="O69">
        <v>174385</v>
      </c>
      <c r="P69">
        <v>0</v>
      </c>
      <c r="Q69">
        <v>0</v>
      </c>
      <c r="R69">
        <v>0</v>
      </c>
      <c r="S69">
        <v>0</v>
      </c>
      <c r="T69">
        <v>0</v>
      </c>
      <c r="U69">
        <v>38858350</v>
      </c>
      <c r="V69">
        <v>0</v>
      </c>
      <c r="W69">
        <v>0</v>
      </c>
      <c r="X69">
        <v>0</v>
      </c>
      <c r="Y69">
        <v>0</v>
      </c>
      <c r="Z69">
        <v>44945272</v>
      </c>
      <c r="AA69">
        <v>0</v>
      </c>
      <c r="AB69">
        <v>15459219</v>
      </c>
      <c r="AC69">
        <v>0</v>
      </c>
      <c r="AD69">
        <v>0</v>
      </c>
      <c r="AE69">
        <v>0</v>
      </c>
      <c r="AF69">
        <v>0</v>
      </c>
      <c r="AG69">
        <v>0</v>
      </c>
      <c r="AH69">
        <v>0</v>
      </c>
      <c r="AI69">
        <v>0</v>
      </c>
      <c r="AJ69">
        <v>3350441</v>
      </c>
      <c r="AK69">
        <v>0</v>
      </c>
      <c r="AL69">
        <v>160905</v>
      </c>
      <c r="AM69">
        <v>141736750</v>
      </c>
      <c r="AN69">
        <v>0</v>
      </c>
      <c r="AO69">
        <v>0</v>
      </c>
      <c r="AP69">
        <v>2318547</v>
      </c>
      <c r="AQ69">
        <v>0</v>
      </c>
      <c r="AR69">
        <v>0</v>
      </c>
      <c r="AS69">
        <v>255</v>
      </c>
      <c r="AT69">
        <v>0</v>
      </c>
      <c r="AU69">
        <v>0</v>
      </c>
      <c r="AV69">
        <v>0</v>
      </c>
      <c r="AW69">
        <v>3299490</v>
      </c>
      <c r="AX69">
        <v>0</v>
      </c>
      <c r="AY69">
        <v>421580</v>
      </c>
      <c r="AZ69">
        <v>125000</v>
      </c>
      <c r="BA69">
        <v>0</v>
      </c>
      <c r="BB69">
        <v>28267214</v>
      </c>
      <c r="BC69">
        <v>91503</v>
      </c>
      <c r="BD69">
        <v>2336604</v>
      </c>
      <c r="BE69">
        <v>80000</v>
      </c>
      <c r="BF69">
        <v>0</v>
      </c>
      <c r="BG69">
        <v>0</v>
      </c>
      <c r="BH69">
        <v>0</v>
      </c>
      <c r="BI69">
        <v>0</v>
      </c>
      <c r="BJ69">
        <v>2903626</v>
      </c>
      <c r="BK69">
        <v>0</v>
      </c>
      <c r="BL69">
        <v>0</v>
      </c>
      <c r="BM69">
        <v>0</v>
      </c>
      <c r="BN69">
        <v>0</v>
      </c>
      <c r="BO69">
        <v>9016480</v>
      </c>
      <c r="BP69">
        <v>0</v>
      </c>
      <c r="BQ69">
        <v>0</v>
      </c>
      <c r="BR69">
        <v>0</v>
      </c>
      <c r="BS69">
        <v>0</v>
      </c>
      <c r="BT69">
        <v>118475</v>
      </c>
      <c r="BU69">
        <v>100000</v>
      </c>
      <c r="BV69">
        <v>0</v>
      </c>
      <c r="BW69">
        <v>0</v>
      </c>
      <c r="BX69">
        <v>0</v>
      </c>
      <c r="BY69">
        <v>45750774</v>
      </c>
      <c r="BZ69">
        <v>0</v>
      </c>
      <c r="CA69">
        <v>0</v>
      </c>
      <c r="CB69">
        <v>0</v>
      </c>
      <c r="CC69">
        <v>0</v>
      </c>
      <c r="CD69">
        <v>21900597</v>
      </c>
      <c r="CE69">
        <v>5758160</v>
      </c>
      <c r="CF69">
        <v>0</v>
      </c>
      <c r="CG69">
        <v>0</v>
      </c>
      <c r="CH69">
        <v>588066</v>
      </c>
      <c r="CI69">
        <v>283225</v>
      </c>
      <c r="CJ69">
        <v>549574</v>
      </c>
      <c r="CK69">
        <v>0</v>
      </c>
      <c r="CL69">
        <v>0</v>
      </c>
      <c r="CM69">
        <v>12707575</v>
      </c>
      <c r="CN69">
        <v>0</v>
      </c>
      <c r="CO69">
        <v>0</v>
      </c>
      <c r="CP69">
        <v>9056347</v>
      </c>
      <c r="CQ69">
        <v>498280713</v>
      </c>
      <c r="CR69">
        <v>0</v>
      </c>
      <c r="CS69">
        <v>1871084</v>
      </c>
      <c r="CT69">
        <v>0</v>
      </c>
      <c r="CU69">
        <v>0</v>
      </c>
      <c r="CV69">
        <v>0</v>
      </c>
      <c r="CW69">
        <v>0</v>
      </c>
      <c r="CX69">
        <v>335304</v>
      </c>
      <c r="CY69">
        <v>0</v>
      </c>
    </row>
    <row r="70" spans="1:103" x14ac:dyDescent="0.3">
      <c r="A70">
        <v>387</v>
      </c>
      <c r="B70" t="s">
        <v>163</v>
      </c>
      <c r="D70">
        <v>0</v>
      </c>
      <c r="E70">
        <v>5208103</v>
      </c>
      <c r="F70">
        <v>70288</v>
      </c>
      <c r="G70">
        <v>0</v>
      </c>
      <c r="H70">
        <v>44297</v>
      </c>
      <c r="I70">
        <v>0</v>
      </c>
      <c r="J70">
        <v>9574118</v>
      </c>
      <c r="K70">
        <v>0</v>
      </c>
      <c r="L70">
        <v>0</v>
      </c>
      <c r="M70">
        <v>126988</v>
      </c>
      <c r="N70">
        <v>0</v>
      </c>
      <c r="O70">
        <v>1096830</v>
      </c>
      <c r="P70">
        <v>2553055</v>
      </c>
      <c r="Q70">
        <v>0</v>
      </c>
      <c r="R70">
        <v>0</v>
      </c>
      <c r="S70">
        <v>372670</v>
      </c>
      <c r="T70">
        <v>18140</v>
      </c>
      <c r="U70">
        <v>30183850</v>
      </c>
      <c r="V70">
        <v>0</v>
      </c>
      <c r="W70">
        <v>0</v>
      </c>
      <c r="X70">
        <v>910646</v>
      </c>
      <c r="Y70">
        <v>0</v>
      </c>
      <c r="Z70">
        <v>44429937</v>
      </c>
      <c r="AA70">
        <v>52004</v>
      </c>
      <c r="AB70">
        <v>15954625</v>
      </c>
      <c r="AC70">
        <v>12529982</v>
      </c>
      <c r="AD70">
        <v>1200000</v>
      </c>
      <c r="AE70">
        <v>0</v>
      </c>
      <c r="AF70">
        <v>900950</v>
      </c>
      <c r="AG70">
        <v>230515</v>
      </c>
      <c r="AH70">
        <v>133901</v>
      </c>
      <c r="AI70">
        <v>0</v>
      </c>
      <c r="AJ70">
        <v>3491735</v>
      </c>
      <c r="AK70">
        <v>0</v>
      </c>
      <c r="AL70">
        <v>0</v>
      </c>
      <c r="AM70">
        <v>141744172</v>
      </c>
      <c r="AN70">
        <v>0</v>
      </c>
      <c r="AO70">
        <v>0</v>
      </c>
      <c r="AP70">
        <v>2318547</v>
      </c>
      <c r="AQ70">
        <v>164200</v>
      </c>
      <c r="AR70">
        <v>0</v>
      </c>
      <c r="AS70">
        <v>0</v>
      </c>
      <c r="AT70">
        <v>0</v>
      </c>
      <c r="AU70">
        <v>0</v>
      </c>
      <c r="AV70">
        <v>0</v>
      </c>
      <c r="AW70">
        <v>3299490</v>
      </c>
      <c r="AX70">
        <v>0</v>
      </c>
      <c r="AY70">
        <v>421580</v>
      </c>
      <c r="AZ70">
        <v>0</v>
      </c>
      <c r="BA70">
        <v>223653</v>
      </c>
      <c r="BB70">
        <v>30523527</v>
      </c>
      <c r="BC70">
        <v>0</v>
      </c>
      <c r="BD70">
        <v>2336604</v>
      </c>
      <c r="BE70">
        <v>0</v>
      </c>
      <c r="BF70">
        <v>0</v>
      </c>
      <c r="BG70">
        <v>159695</v>
      </c>
      <c r="BH70">
        <v>0</v>
      </c>
      <c r="BI70">
        <v>0</v>
      </c>
      <c r="BJ70">
        <v>4244260</v>
      </c>
      <c r="BK70">
        <v>0</v>
      </c>
      <c r="BL70">
        <v>0</v>
      </c>
      <c r="BM70">
        <v>0</v>
      </c>
      <c r="BN70">
        <v>0</v>
      </c>
      <c r="BO70">
        <v>9029570</v>
      </c>
      <c r="BP70">
        <v>3000000</v>
      </c>
      <c r="BQ70">
        <v>251250</v>
      </c>
      <c r="BR70">
        <v>26967</v>
      </c>
      <c r="BS70">
        <v>790000</v>
      </c>
      <c r="BT70">
        <v>0</v>
      </c>
      <c r="BU70">
        <v>0</v>
      </c>
      <c r="BV70">
        <v>1080216</v>
      </c>
      <c r="BW70">
        <v>20000</v>
      </c>
      <c r="BX70">
        <v>0</v>
      </c>
      <c r="BY70">
        <v>46532326</v>
      </c>
      <c r="BZ70">
        <v>236381</v>
      </c>
      <c r="CA70">
        <v>1868500</v>
      </c>
      <c r="CB70">
        <v>0</v>
      </c>
      <c r="CC70">
        <v>0</v>
      </c>
      <c r="CD70">
        <v>22268809</v>
      </c>
      <c r="CE70">
        <v>7776349</v>
      </c>
      <c r="CF70">
        <v>0</v>
      </c>
      <c r="CG70">
        <v>0</v>
      </c>
      <c r="CH70">
        <v>758178</v>
      </c>
      <c r="CI70">
        <v>807168</v>
      </c>
      <c r="CJ70">
        <v>539574</v>
      </c>
      <c r="CK70">
        <v>275629</v>
      </c>
      <c r="CL70">
        <v>94692</v>
      </c>
      <c r="CM70">
        <v>15161068</v>
      </c>
      <c r="CN70">
        <v>196407</v>
      </c>
      <c r="CO70">
        <v>0</v>
      </c>
      <c r="CP70">
        <v>9056347</v>
      </c>
      <c r="CQ70">
        <v>498280713</v>
      </c>
      <c r="CR70">
        <v>735992</v>
      </c>
      <c r="CS70">
        <v>1871084</v>
      </c>
      <c r="CT70">
        <v>0</v>
      </c>
      <c r="CU70">
        <v>2058556</v>
      </c>
      <c r="CV70">
        <v>1750000</v>
      </c>
      <c r="CW70">
        <v>0</v>
      </c>
      <c r="CX70">
        <v>339903</v>
      </c>
      <c r="CY70">
        <v>90000</v>
      </c>
    </row>
    <row r="71" spans="1:103" x14ac:dyDescent="0.3">
      <c r="A71">
        <v>388</v>
      </c>
      <c r="B71" t="s">
        <v>157</v>
      </c>
      <c r="D71">
        <v>252064898</v>
      </c>
      <c r="E71">
        <v>45692170</v>
      </c>
      <c r="F71">
        <v>19427971</v>
      </c>
      <c r="G71">
        <v>33705711</v>
      </c>
      <c r="H71">
        <v>40591094</v>
      </c>
      <c r="I71">
        <v>34141809</v>
      </c>
      <c r="J71">
        <v>66746144</v>
      </c>
      <c r="K71">
        <v>28768441</v>
      </c>
      <c r="L71">
        <v>50833248</v>
      </c>
      <c r="M71">
        <v>246070199</v>
      </c>
      <c r="N71">
        <v>508685711</v>
      </c>
      <c r="O71">
        <v>99511740</v>
      </c>
      <c r="P71">
        <v>319090244</v>
      </c>
      <c r="Q71">
        <v>102907777</v>
      </c>
      <c r="R71">
        <v>17386163</v>
      </c>
      <c r="S71">
        <v>117739039</v>
      </c>
      <c r="T71">
        <v>37474268</v>
      </c>
      <c r="U71">
        <v>205005076</v>
      </c>
      <c r="V71">
        <v>145673125</v>
      </c>
      <c r="W71">
        <v>59600852</v>
      </c>
      <c r="X71">
        <v>19442014</v>
      </c>
      <c r="Y71">
        <v>21811425</v>
      </c>
      <c r="Z71">
        <v>139562464</v>
      </c>
      <c r="AA71">
        <v>70996049</v>
      </c>
      <c r="AB71">
        <v>123827430</v>
      </c>
      <c r="AC71">
        <v>332038926</v>
      </c>
      <c r="AD71">
        <v>79047456</v>
      </c>
      <c r="AE71">
        <v>122382934</v>
      </c>
      <c r="AF71">
        <v>161953436</v>
      </c>
      <c r="AG71">
        <v>65102536</v>
      </c>
      <c r="AH71">
        <v>74394917</v>
      </c>
      <c r="AI71">
        <v>613465834</v>
      </c>
      <c r="AJ71">
        <v>62179539</v>
      </c>
      <c r="AK71">
        <v>506716097</v>
      </c>
      <c r="AL71">
        <v>103435615</v>
      </c>
      <c r="AM71">
        <v>303587803</v>
      </c>
      <c r="AN71">
        <v>12578994</v>
      </c>
      <c r="AO71">
        <v>22268738</v>
      </c>
      <c r="AP71">
        <v>66111077</v>
      </c>
      <c r="AQ71">
        <v>23857897</v>
      </c>
      <c r="AR71">
        <v>665897440</v>
      </c>
      <c r="AS71">
        <v>75291771</v>
      </c>
      <c r="AT71">
        <v>181208258</v>
      </c>
      <c r="AU71">
        <v>105911995</v>
      </c>
      <c r="AV71">
        <v>203499959</v>
      </c>
      <c r="AW71">
        <v>26651909</v>
      </c>
      <c r="AX71">
        <v>52817941</v>
      </c>
      <c r="AY71">
        <v>17080997</v>
      </c>
      <c r="AZ71">
        <v>236546131</v>
      </c>
      <c r="BA71">
        <v>69592606</v>
      </c>
      <c r="BB71">
        <v>287764377</v>
      </c>
      <c r="BC71">
        <v>18274041</v>
      </c>
      <c r="BD71">
        <v>74940298</v>
      </c>
      <c r="BE71">
        <v>70064228</v>
      </c>
      <c r="BF71">
        <v>128169808</v>
      </c>
      <c r="BG71">
        <v>70590351</v>
      </c>
      <c r="BH71">
        <v>30376949</v>
      </c>
      <c r="BI71">
        <v>33219674</v>
      </c>
      <c r="BJ71">
        <v>60743877</v>
      </c>
      <c r="BK71">
        <v>2139657811</v>
      </c>
      <c r="BL71">
        <v>23388374</v>
      </c>
      <c r="BM71">
        <v>34384675</v>
      </c>
      <c r="BN71">
        <v>137395248</v>
      </c>
      <c r="BO71">
        <v>106312438</v>
      </c>
      <c r="BP71">
        <v>415421864</v>
      </c>
      <c r="BQ71">
        <v>35812153</v>
      </c>
      <c r="BR71">
        <v>220000259</v>
      </c>
      <c r="BS71">
        <v>293403100</v>
      </c>
      <c r="BT71">
        <v>22899369</v>
      </c>
      <c r="BU71">
        <v>54013064</v>
      </c>
      <c r="BV71">
        <v>96975861</v>
      </c>
      <c r="BW71">
        <v>17770411</v>
      </c>
      <c r="BX71">
        <v>71773872</v>
      </c>
      <c r="BY71">
        <v>197508099</v>
      </c>
      <c r="BZ71">
        <v>31752705</v>
      </c>
      <c r="CA71">
        <v>173579827</v>
      </c>
      <c r="CB71">
        <v>59679742</v>
      </c>
      <c r="CC71">
        <v>146682918</v>
      </c>
      <c r="CD71">
        <v>113160040</v>
      </c>
      <c r="CE71">
        <v>158688818</v>
      </c>
      <c r="CF71">
        <v>78696942</v>
      </c>
      <c r="CG71">
        <v>82432963</v>
      </c>
      <c r="CH71">
        <v>48820729</v>
      </c>
      <c r="CI71">
        <v>73741130</v>
      </c>
      <c r="CJ71">
        <v>61545904</v>
      </c>
      <c r="CK71">
        <v>93268991</v>
      </c>
      <c r="CL71">
        <v>24465744</v>
      </c>
      <c r="CM71">
        <v>64035236</v>
      </c>
      <c r="CN71">
        <v>7939264</v>
      </c>
      <c r="CO71">
        <v>331006909</v>
      </c>
      <c r="CP71">
        <v>48191135</v>
      </c>
      <c r="CQ71">
        <v>1897913263</v>
      </c>
      <c r="CR71">
        <v>32294998</v>
      </c>
      <c r="CS71">
        <v>16885385</v>
      </c>
      <c r="CT71">
        <v>66053386</v>
      </c>
      <c r="CU71">
        <v>121056295</v>
      </c>
      <c r="CV71">
        <v>91551501</v>
      </c>
      <c r="CW71">
        <v>126397978</v>
      </c>
      <c r="CX71">
        <v>42785639</v>
      </c>
      <c r="CY71">
        <v>28166927</v>
      </c>
    </row>
    <row r="72" spans="1:103" x14ac:dyDescent="0.3">
      <c r="A72">
        <v>389</v>
      </c>
      <c r="B72" t="s">
        <v>164</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279108</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3876042</v>
      </c>
      <c r="BZ72">
        <v>0</v>
      </c>
      <c r="CA72">
        <v>-13588267</v>
      </c>
      <c r="CB72">
        <v>0</v>
      </c>
      <c r="CC72">
        <v>0</v>
      </c>
      <c r="CD72">
        <v>0</v>
      </c>
      <c r="CE72">
        <v>0</v>
      </c>
      <c r="CF72">
        <v>0</v>
      </c>
      <c r="CG72">
        <v>0</v>
      </c>
      <c r="CH72">
        <v>0</v>
      </c>
      <c r="CI72">
        <v>-1348403</v>
      </c>
      <c r="CJ72">
        <v>0</v>
      </c>
      <c r="CK72">
        <v>0</v>
      </c>
      <c r="CL72">
        <v>0</v>
      </c>
      <c r="CM72">
        <v>0</v>
      </c>
      <c r="CN72">
        <v>0</v>
      </c>
      <c r="CO72">
        <v>0</v>
      </c>
      <c r="CP72">
        <v>0</v>
      </c>
      <c r="CQ72">
        <v>0</v>
      </c>
      <c r="CR72">
        <v>0</v>
      </c>
      <c r="CS72">
        <v>0</v>
      </c>
      <c r="CT72">
        <v>0</v>
      </c>
      <c r="CU72">
        <v>0</v>
      </c>
      <c r="CV72">
        <v>0</v>
      </c>
      <c r="CW72">
        <v>0</v>
      </c>
      <c r="CX72">
        <v>0</v>
      </c>
      <c r="CY72">
        <v>0</v>
      </c>
    </row>
    <row r="73" spans="1:103" x14ac:dyDescent="0.3">
      <c r="A73">
        <v>391</v>
      </c>
      <c r="B73" t="s">
        <v>169</v>
      </c>
      <c r="D73">
        <v>16143708</v>
      </c>
      <c r="E73">
        <v>4112247</v>
      </c>
      <c r="F73">
        <v>1262549</v>
      </c>
      <c r="G73">
        <v>3768271</v>
      </c>
      <c r="H73">
        <v>2939977</v>
      </c>
      <c r="I73">
        <v>4018899</v>
      </c>
      <c r="J73">
        <v>7479946</v>
      </c>
      <c r="K73">
        <v>3819705</v>
      </c>
      <c r="L73">
        <v>7121192</v>
      </c>
      <c r="M73">
        <v>15341245</v>
      </c>
      <c r="N73">
        <v>29496399</v>
      </c>
      <c r="O73">
        <v>7034255</v>
      </c>
      <c r="P73">
        <v>30356382</v>
      </c>
      <c r="Q73">
        <v>6446845</v>
      </c>
      <c r="R73">
        <v>1957574</v>
      </c>
      <c r="S73">
        <v>13959992</v>
      </c>
      <c r="T73">
        <v>3649395</v>
      </c>
      <c r="U73">
        <v>22335350</v>
      </c>
      <c r="V73">
        <v>11042979</v>
      </c>
      <c r="W73">
        <v>7345205</v>
      </c>
      <c r="X73">
        <v>1565840</v>
      </c>
      <c r="Y73">
        <v>1921642</v>
      </c>
      <c r="Z73">
        <v>13424185</v>
      </c>
      <c r="AA73">
        <v>11818972</v>
      </c>
      <c r="AB73">
        <v>15518429</v>
      </c>
      <c r="AC73">
        <v>44546143</v>
      </c>
      <c r="AD73">
        <v>4653162</v>
      </c>
      <c r="AE73">
        <v>19849729</v>
      </c>
      <c r="AF73">
        <v>16783134</v>
      </c>
      <c r="AG73">
        <v>9037881</v>
      </c>
      <c r="AH73">
        <v>2680815</v>
      </c>
      <c r="AI73">
        <v>40513694</v>
      </c>
      <c r="AJ73">
        <v>7957762</v>
      </c>
      <c r="AK73">
        <v>47573550</v>
      </c>
      <c r="AL73">
        <v>8211829</v>
      </c>
      <c r="AM73">
        <v>20984894</v>
      </c>
      <c r="AN73">
        <v>1457763</v>
      </c>
      <c r="AO73">
        <v>1251377</v>
      </c>
      <c r="AP73">
        <v>6081310</v>
      </c>
      <c r="AQ73">
        <v>3098705</v>
      </c>
      <c r="AR73">
        <v>57202697</v>
      </c>
      <c r="AS73">
        <v>8971286</v>
      </c>
      <c r="AT73">
        <v>17948916</v>
      </c>
      <c r="AU73">
        <v>11274727</v>
      </c>
      <c r="AV73">
        <v>15051500</v>
      </c>
      <c r="AW73">
        <v>5310797</v>
      </c>
      <c r="AX73">
        <v>5743835</v>
      </c>
      <c r="AY73">
        <v>3601210</v>
      </c>
      <c r="AZ73">
        <v>60092804</v>
      </c>
      <c r="BA73">
        <v>6771493</v>
      </c>
      <c r="BB73">
        <v>30220112</v>
      </c>
      <c r="BC73">
        <v>5027870</v>
      </c>
      <c r="BD73">
        <v>12096009</v>
      </c>
      <c r="BE73">
        <v>7214702</v>
      </c>
      <c r="BF73">
        <v>12853600</v>
      </c>
      <c r="BG73">
        <v>5228620</v>
      </c>
      <c r="BH73">
        <v>4880616</v>
      </c>
      <c r="BI73">
        <v>2316127</v>
      </c>
      <c r="BJ73">
        <v>5676086</v>
      </c>
      <c r="BK73">
        <v>212954390</v>
      </c>
      <c r="BL73">
        <v>1947915</v>
      </c>
      <c r="BM73">
        <v>4085480</v>
      </c>
      <c r="BN73">
        <v>15015557</v>
      </c>
      <c r="BO73">
        <v>15812718</v>
      </c>
      <c r="BP73">
        <v>41605832</v>
      </c>
      <c r="BQ73">
        <v>3612215</v>
      </c>
      <c r="BR73">
        <v>27887163</v>
      </c>
      <c r="BS73">
        <v>20244134</v>
      </c>
      <c r="BT73">
        <v>1594675</v>
      </c>
      <c r="BU73">
        <v>7266380</v>
      </c>
      <c r="BV73">
        <v>7426853</v>
      </c>
      <c r="BW73">
        <v>1218767</v>
      </c>
      <c r="BX73">
        <v>9043038</v>
      </c>
      <c r="BY73">
        <v>10135984</v>
      </c>
      <c r="BZ73">
        <v>3133846</v>
      </c>
      <c r="CA73">
        <v>22042727</v>
      </c>
      <c r="CB73">
        <v>6440914</v>
      </c>
      <c r="CC73">
        <v>10960842</v>
      </c>
      <c r="CD73">
        <v>9100001</v>
      </c>
      <c r="CE73">
        <v>19981683</v>
      </c>
      <c r="CF73">
        <v>8069827</v>
      </c>
      <c r="CG73">
        <v>10580101</v>
      </c>
      <c r="CH73">
        <v>4932226</v>
      </c>
      <c r="CI73">
        <v>8439948</v>
      </c>
      <c r="CJ73">
        <v>3913404</v>
      </c>
      <c r="CK73">
        <v>13640984</v>
      </c>
      <c r="CL73">
        <v>2082700</v>
      </c>
      <c r="CM73">
        <v>6129179</v>
      </c>
      <c r="CN73">
        <v>508359</v>
      </c>
      <c r="CO73">
        <v>34489319</v>
      </c>
      <c r="CP73">
        <v>4421145</v>
      </c>
      <c r="CQ73">
        <v>136809363</v>
      </c>
      <c r="CR73">
        <v>3132592</v>
      </c>
      <c r="CS73">
        <v>1276007</v>
      </c>
      <c r="CT73">
        <v>11183133</v>
      </c>
      <c r="CU73">
        <v>17624490</v>
      </c>
      <c r="CV73">
        <v>5636133</v>
      </c>
      <c r="CW73">
        <v>11319653</v>
      </c>
      <c r="CX73">
        <v>2852227</v>
      </c>
      <c r="CY73">
        <v>3059057</v>
      </c>
    </row>
    <row r="74" spans="1:103" x14ac:dyDescent="0.3">
      <c r="A74">
        <v>500</v>
      </c>
      <c r="B74" t="s">
        <v>152</v>
      </c>
      <c r="D74">
        <v>126750814</v>
      </c>
      <c r="E74">
        <v>4933688</v>
      </c>
      <c r="F74">
        <v>174234</v>
      </c>
      <c r="G74">
        <v>5758141</v>
      </c>
      <c r="H74">
        <v>11640959</v>
      </c>
      <c r="I74">
        <v>3690</v>
      </c>
      <c r="J74">
        <v>2110277</v>
      </c>
      <c r="K74">
        <v>593210</v>
      </c>
      <c r="L74">
        <v>3798185</v>
      </c>
      <c r="M74">
        <v>30955562</v>
      </c>
      <c r="N74">
        <v>76542809</v>
      </c>
      <c r="O74">
        <v>117512</v>
      </c>
      <c r="P74">
        <v>39719681</v>
      </c>
      <c r="Q74">
        <v>27356077</v>
      </c>
      <c r="R74">
        <v>5975578</v>
      </c>
      <c r="S74">
        <v>16226142</v>
      </c>
      <c r="T74">
        <v>5402996</v>
      </c>
      <c r="U74">
        <v>43658503</v>
      </c>
      <c r="V74">
        <v>35357156</v>
      </c>
      <c r="W74">
        <v>1937763</v>
      </c>
      <c r="X74">
        <v>4757881</v>
      </c>
      <c r="Y74">
        <v>3506911</v>
      </c>
      <c r="Z74">
        <v>72354593</v>
      </c>
      <c r="AA74">
        <v>57049960</v>
      </c>
      <c r="AB74">
        <v>24649798</v>
      </c>
      <c r="AC74">
        <v>90950964</v>
      </c>
      <c r="AD74">
        <v>1592439</v>
      </c>
      <c r="AE74">
        <v>43587362</v>
      </c>
      <c r="AF74">
        <v>29142261</v>
      </c>
      <c r="AG74">
        <v>9118937</v>
      </c>
      <c r="AH74">
        <v>31512</v>
      </c>
      <c r="AI74">
        <v>42159779</v>
      </c>
      <c r="AJ74">
        <v>3696843</v>
      </c>
      <c r="AK74">
        <v>295211117</v>
      </c>
      <c r="AL74">
        <v>37248017</v>
      </c>
      <c r="AM74">
        <v>60903584</v>
      </c>
      <c r="AN74">
        <v>1613059</v>
      </c>
      <c r="AO74">
        <v>11188112</v>
      </c>
      <c r="AP74">
        <v>12570961</v>
      </c>
      <c r="AQ74">
        <v>3146063</v>
      </c>
      <c r="AR74">
        <v>0</v>
      </c>
      <c r="AS74">
        <v>1507025</v>
      </c>
      <c r="AT74">
        <v>59394962</v>
      </c>
      <c r="AU74">
        <v>13995785</v>
      </c>
      <c r="AV74">
        <v>34326762</v>
      </c>
      <c r="AW74">
        <v>4380788</v>
      </c>
      <c r="AX74">
        <v>26873953</v>
      </c>
      <c r="AY74">
        <v>4382464</v>
      </c>
      <c r="AZ74">
        <v>64835644</v>
      </c>
      <c r="BA74">
        <v>30974667</v>
      </c>
      <c r="BB74">
        <v>73100595</v>
      </c>
      <c r="BC74">
        <v>5136418</v>
      </c>
      <c r="BD74">
        <v>7809756</v>
      </c>
      <c r="BE74">
        <v>9491460</v>
      </c>
      <c r="BF74">
        <v>30283628</v>
      </c>
      <c r="BG74">
        <v>3105542</v>
      </c>
      <c r="BH74">
        <v>1827432</v>
      </c>
      <c r="BI74">
        <v>14969135</v>
      </c>
      <c r="BJ74">
        <v>8997372</v>
      </c>
      <c r="BK74">
        <v>18893751</v>
      </c>
      <c r="BL74">
        <v>7983783</v>
      </c>
      <c r="BM74">
        <v>398524</v>
      </c>
      <c r="BN74">
        <v>80317668</v>
      </c>
      <c r="BO74">
        <v>29556734</v>
      </c>
      <c r="BP74">
        <v>426742099</v>
      </c>
      <c r="BQ74">
        <v>15990759</v>
      </c>
      <c r="BR74">
        <v>38361528</v>
      </c>
      <c r="BS74">
        <v>87588587</v>
      </c>
      <c r="BT74">
        <v>2579265</v>
      </c>
      <c r="BU74">
        <v>9957769</v>
      </c>
      <c r="BV74">
        <v>7880122</v>
      </c>
      <c r="BW74">
        <v>8410067</v>
      </c>
      <c r="BX74">
        <v>32200035</v>
      </c>
      <c r="BY74">
        <v>22740544</v>
      </c>
      <c r="BZ74">
        <v>11402862</v>
      </c>
      <c r="CA74">
        <v>36196813</v>
      </c>
      <c r="CB74">
        <v>6239487</v>
      </c>
      <c r="CC74">
        <v>14177614</v>
      </c>
      <c r="CD74">
        <v>38278614</v>
      </c>
      <c r="CE74">
        <v>25025488</v>
      </c>
      <c r="CF74">
        <v>17265726</v>
      </c>
      <c r="CG74">
        <v>20377237</v>
      </c>
      <c r="CH74">
        <v>10173485</v>
      </c>
      <c r="CI74">
        <v>12808602</v>
      </c>
      <c r="CJ74">
        <v>25293684</v>
      </c>
      <c r="CK74">
        <v>44377430</v>
      </c>
      <c r="CL74">
        <v>56955984</v>
      </c>
      <c r="CM74">
        <v>2693465</v>
      </c>
      <c r="CN74">
        <v>970873</v>
      </c>
      <c r="CO74">
        <v>113345324</v>
      </c>
      <c r="CP74">
        <v>18504807</v>
      </c>
      <c r="CQ74">
        <v>180030721</v>
      </c>
      <c r="CR74">
        <v>4159799</v>
      </c>
      <c r="CS74">
        <v>738705</v>
      </c>
      <c r="CT74">
        <v>9613019</v>
      </c>
      <c r="CU74">
        <v>42229700</v>
      </c>
      <c r="CV74">
        <v>16527245</v>
      </c>
      <c r="CW74">
        <v>15952383</v>
      </c>
      <c r="CX74">
        <v>1639091</v>
      </c>
      <c r="CY74">
        <v>1591903</v>
      </c>
    </row>
    <row r="75" spans="1:103" x14ac:dyDescent="0.3">
      <c r="A75">
        <v>502</v>
      </c>
      <c r="B75" t="s">
        <v>154</v>
      </c>
      <c r="D75">
        <v>27816987</v>
      </c>
      <c r="E75">
        <v>9418171</v>
      </c>
      <c r="F75">
        <v>386560</v>
      </c>
      <c r="G75">
        <v>8698486</v>
      </c>
      <c r="H75">
        <v>5101346</v>
      </c>
      <c r="I75">
        <v>0</v>
      </c>
      <c r="J75">
        <v>12989744</v>
      </c>
      <c r="K75">
        <v>1605038</v>
      </c>
      <c r="L75">
        <v>3913409</v>
      </c>
      <c r="M75">
        <v>86709355</v>
      </c>
      <c r="N75">
        <v>24961968</v>
      </c>
      <c r="O75">
        <v>2295536</v>
      </c>
      <c r="P75">
        <v>7196158</v>
      </c>
      <c r="Q75">
        <v>8664869</v>
      </c>
      <c r="R75">
        <v>3082968</v>
      </c>
      <c r="S75">
        <v>2574707</v>
      </c>
      <c r="T75">
        <v>514987</v>
      </c>
      <c r="U75">
        <v>40650758</v>
      </c>
      <c r="V75">
        <v>35537327</v>
      </c>
      <c r="W75">
        <v>0</v>
      </c>
      <c r="X75">
        <v>3269141</v>
      </c>
      <c r="Y75">
        <v>478227</v>
      </c>
      <c r="Z75">
        <v>5321249</v>
      </c>
      <c r="AA75">
        <v>14281615</v>
      </c>
      <c r="AB75">
        <v>13464594</v>
      </c>
      <c r="AC75">
        <v>55850388</v>
      </c>
      <c r="AD75">
        <v>23955193</v>
      </c>
      <c r="AE75">
        <v>5503460</v>
      </c>
      <c r="AF75">
        <v>26007883</v>
      </c>
      <c r="AG75">
        <v>13433455</v>
      </c>
      <c r="AH75">
        <v>16385791</v>
      </c>
      <c r="AI75">
        <v>38960036</v>
      </c>
      <c r="AJ75">
        <v>3654791</v>
      </c>
      <c r="AK75">
        <v>0</v>
      </c>
      <c r="AL75">
        <v>25347577</v>
      </c>
      <c r="AM75">
        <v>17082466</v>
      </c>
      <c r="AN75">
        <v>3131767</v>
      </c>
      <c r="AO75">
        <v>0</v>
      </c>
      <c r="AP75">
        <v>3388440</v>
      </c>
      <c r="AQ75">
        <v>3339189</v>
      </c>
      <c r="AR75">
        <v>0</v>
      </c>
      <c r="AS75">
        <v>7935225</v>
      </c>
      <c r="AT75">
        <v>89379414</v>
      </c>
      <c r="AU75">
        <v>0</v>
      </c>
      <c r="AV75">
        <v>1848534</v>
      </c>
      <c r="AW75">
        <v>3991126</v>
      </c>
      <c r="AX75">
        <v>15974901</v>
      </c>
      <c r="AY75">
        <v>540068</v>
      </c>
      <c r="AZ75">
        <v>28576402</v>
      </c>
      <c r="BA75">
        <v>980097</v>
      </c>
      <c r="BB75">
        <v>94200211</v>
      </c>
      <c r="BC75">
        <v>4881347</v>
      </c>
      <c r="BD75">
        <v>688052</v>
      </c>
      <c r="BE75">
        <v>3762317</v>
      </c>
      <c r="BF75">
        <v>33503406</v>
      </c>
      <c r="BG75">
        <v>13232064</v>
      </c>
      <c r="BH75">
        <v>1737295</v>
      </c>
      <c r="BI75">
        <v>21507</v>
      </c>
      <c r="BJ75">
        <v>881855</v>
      </c>
      <c r="BK75">
        <v>46407396</v>
      </c>
      <c r="BL75">
        <v>0</v>
      </c>
      <c r="BM75">
        <v>7089272</v>
      </c>
      <c r="BN75">
        <v>24798438</v>
      </c>
      <c r="BO75">
        <v>7597860</v>
      </c>
      <c r="BP75">
        <v>24343153</v>
      </c>
      <c r="BQ75">
        <v>1327648</v>
      </c>
      <c r="BR75">
        <v>46322057</v>
      </c>
      <c r="BS75">
        <v>18133272</v>
      </c>
      <c r="BT75">
        <v>3238388</v>
      </c>
      <c r="BU75">
        <v>12191951</v>
      </c>
      <c r="BV75">
        <v>20858601</v>
      </c>
      <c r="BW75">
        <v>1708834</v>
      </c>
      <c r="BX75">
        <v>773590</v>
      </c>
      <c r="BY75">
        <v>0</v>
      </c>
      <c r="BZ75">
        <v>1460910</v>
      </c>
      <c r="CA75">
        <v>677378</v>
      </c>
      <c r="CB75">
        <v>17192943</v>
      </c>
      <c r="CC75">
        <v>25339509</v>
      </c>
      <c r="CD75">
        <v>12814362</v>
      </c>
      <c r="CE75">
        <v>33460041</v>
      </c>
      <c r="CF75">
        <v>7500118</v>
      </c>
      <c r="CG75">
        <v>9391915</v>
      </c>
      <c r="CH75">
        <v>4401708</v>
      </c>
      <c r="CI75">
        <v>4056265</v>
      </c>
      <c r="CJ75">
        <v>558966</v>
      </c>
      <c r="CK75">
        <v>3613452</v>
      </c>
      <c r="CL75">
        <v>215459</v>
      </c>
      <c r="CM75">
        <v>5679212</v>
      </c>
      <c r="CN75">
        <v>1823299</v>
      </c>
      <c r="CO75">
        <v>152691948</v>
      </c>
      <c r="CP75">
        <v>1313421</v>
      </c>
      <c r="CQ75">
        <v>63697922</v>
      </c>
      <c r="CR75">
        <v>8762882</v>
      </c>
      <c r="CS75">
        <v>2654171</v>
      </c>
      <c r="CT75">
        <v>8743292</v>
      </c>
      <c r="CU75">
        <v>14708969</v>
      </c>
      <c r="CV75">
        <v>3669777</v>
      </c>
      <c r="CW75">
        <v>25460178</v>
      </c>
      <c r="CX75">
        <v>564250</v>
      </c>
      <c r="CY75">
        <v>0</v>
      </c>
    </row>
    <row r="76" spans="1:103" x14ac:dyDescent="0.3">
      <c r="A76">
        <v>503</v>
      </c>
      <c r="B76" t="s">
        <v>155</v>
      </c>
      <c r="D76">
        <v>0</v>
      </c>
      <c r="E76">
        <v>0</v>
      </c>
      <c r="F76">
        <v>0</v>
      </c>
      <c r="G76">
        <v>3449559</v>
      </c>
      <c r="H76">
        <v>0</v>
      </c>
      <c r="I76">
        <v>0</v>
      </c>
      <c r="J76">
        <v>242600</v>
      </c>
      <c r="K76">
        <v>325857</v>
      </c>
      <c r="L76">
        <v>252539</v>
      </c>
      <c r="M76">
        <v>87219705</v>
      </c>
      <c r="N76">
        <v>9744687</v>
      </c>
      <c r="O76">
        <v>134076</v>
      </c>
      <c r="P76">
        <v>0</v>
      </c>
      <c r="Q76">
        <v>98800</v>
      </c>
      <c r="R76">
        <v>0</v>
      </c>
      <c r="S76">
        <v>43932</v>
      </c>
      <c r="T76">
        <v>0</v>
      </c>
      <c r="U76">
        <v>0</v>
      </c>
      <c r="V76">
        <v>487779</v>
      </c>
      <c r="W76">
        <v>0</v>
      </c>
      <c r="X76">
        <v>32250</v>
      </c>
      <c r="Y76">
        <v>120913</v>
      </c>
      <c r="Z76">
        <v>0</v>
      </c>
      <c r="AA76">
        <v>333027</v>
      </c>
      <c r="AB76">
        <v>325760</v>
      </c>
      <c r="AC76">
        <v>1681686</v>
      </c>
      <c r="AD76">
        <v>2770627</v>
      </c>
      <c r="AE76">
        <v>19523882</v>
      </c>
      <c r="AF76">
        <v>0</v>
      </c>
      <c r="AG76">
        <v>311392</v>
      </c>
      <c r="AH76">
        <v>0</v>
      </c>
      <c r="AI76">
        <v>7265351</v>
      </c>
      <c r="AJ76">
        <v>332520</v>
      </c>
      <c r="AK76">
        <v>0</v>
      </c>
      <c r="AL76">
        <v>0</v>
      </c>
      <c r="AM76">
        <v>0</v>
      </c>
      <c r="AN76">
        <v>0</v>
      </c>
      <c r="AO76">
        <v>0</v>
      </c>
      <c r="AP76">
        <v>0</v>
      </c>
      <c r="AQ76">
        <v>7944267</v>
      </c>
      <c r="AR76">
        <v>0</v>
      </c>
      <c r="AS76">
        <v>99127</v>
      </c>
      <c r="AT76">
        <v>2042795</v>
      </c>
      <c r="AU76">
        <v>0</v>
      </c>
      <c r="AV76">
        <v>0</v>
      </c>
      <c r="AW76">
        <v>113386</v>
      </c>
      <c r="AX76">
        <v>1560559</v>
      </c>
      <c r="AY76">
        <v>257116</v>
      </c>
      <c r="AZ76">
        <v>11192734</v>
      </c>
      <c r="BA76">
        <v>0</v>
      </c>
      <c r="BB76">
        <v>53867387</v>
      </c>
      <c r="BC76">
        <v>177977</v>
      </c>
      <c r="BD76">
        <v>0</v>
      </c>
      <c r="BE76">
        <v>0</v>
      </c>
      <c r="BF76">
        <v>16799120</v>
      </c>
      <c r="BG76">
        <v>710570</v>
      </c>
      <c r="BH76">
        <v>0</v>
      </c>
      <c r="BI76">
        <v>0</v>
      </c>
      <c r="BJ76">
        <v>51342</v>
      </c>
      <c r="BK76">
        <v>1840126</v>
      </c>
      <c r="BL76">
        <v>0</v>
      </c>
      <c r="BM76">
        <v>0</v>
      </c>
      <c r="BN76">
        <v>1759389</v>
      </c>
      <c r="BO76">
        <v>128458</v>
      </c>
      <c r="BP76">
        <v>1404947</v>
      </c>
      <c r="BQ76">
        <v>280118</v>
      </c>
      <c r="BR76">
        <v>34267670</v>
      </c>
      <c r="BS76">
        <v>1709444</v>
      </c>
      <c r="BT76">
        <v>62575</v>
      </c>
      <c r="BU76">
        <v>1478926</v>
      </c>
      <c r="BV76">
        <v>1977665</v>
      </c>
      <c r="BW76">
        <v>66336</v>
      </c>
      <c r="BX76">
        <v>0</v>
      </c>
      <c r="BY76">
        <v>0</v>
      </c>
      <c r="BZ76">
        <v>0</v>
      </c>
      <c r="CA76">
        <v>0</v>
      </c>
      <c r="CB76">
        <v>209666</v>
      </c>
      <c r="CC76">
        <v>55815</v>
      </c>
      <c r="CD76">
        <v>956523</v>
      </c>
      <c r="CE76">
        <v>5003949</v>
      </c>
      <c r="CF76">
        <v>0</v>
      </c>
      <c r="CG76">
        <v>0</v>
      </c>
      <c r="CH76">
        <v>0</v>
      </c>
      <c r="CI76">
        <v>17239816</v>
      </c>
      <c r="CJ76">
        <v>2741</v>
      </c>
      <c r="CK76">
        <v>2905715</v>
      </c>
      <c r="CL76">
        <v>0</v>
      </c>
      <c r="CM76">
        <v>6751791</v>
      </c>
      <c r="CN76">
        <v>179528</v>
      </c>
      <c r="CO76">
        <v>152998567</v>
      </c>
      <c r="CP76">
        <v>484744</v>
      </c>
      <c r="CQ76">
        <v>0</v>
      </c>
      <c r="CR76">
        <v>7587</v>
      </c>
      <c r="CS76">
        <v>168400</v>
      </c>
      <c r="CT76">
        <v>0</v>
      </c>
      <c r="CU76">
        <v>28870</v>
      </c>
      <c r="CV76">
        <v>5396004</v>
      </c>
      <c r="CW76">
        <v>330698</v>
      </c>
      <c r="CX76">
        <v>0</v>
      </c>
      <c r="CY76">
        <v>0</v>
      </c>
    </row>
    <row r="77" spans="1:103" x14ac:dyDescent="0.3">
      <c r="A77">
        <v>504</v>
      </c>
      <c r="B77" t="s">
        <v>159</v>
      </c>
      <c r="D77">
        <v>36287550</v>
      </c>
      <c r="E77">
        <v>5501457</v>
      </c>
      <c r="F77">
        <v>4333897</v>
      </c>
      <c r="G77">
        <v>6743759</v>
      </c>
      <c r="H77">
        <v>7188302</v>
      </c>
      <c r="I77">
        <v>7795164</v>
      </c>
      <c r="J77">
        <v>20473276</v>
      </c>
      <c r="K77">
        <v>5816024</v>
      </c>
      <c r="L77">
        <v>16251607</v>
      </c>
      <c r="M77">
        <v>39378400</v>
      </c>
      <c r="N77">
        <v>79355050</v>
      </c>
      <c r="O77">
        <v>21027531</v>
      </c>
      <c r="P77">
        <v>55114802</v>
      </c>
      <c r="Q77">
        <v>17832824</v>
      </c>
      <c r="R77">
        <v>3335498</v>
      </c>
      <c r="S77">
        <v>20032760</v>
      </c>
      <c r="T77">
        <v>7612487</v>
      </c>
      <c r="U77">
        <v>47486254</v>
      </c>
      <c r="V77">
        <v>15725937</v>
      </c>
      <c r="W77">
        <v>19061219</v>
      </c>
      <c r="X77">
        <v>5112680</v>
      </c>
      <c r="Y77">
        <v>5156300</v>
      </c>
      <c r="Z77">
        <v>32979257</v>
      </c>
      <c r="AA77">
        <v>16212014</v>
      </c>
      <c r="AB77">
        <v>33087082</v>
      </c>
      <c r="AC77">
        <v>74854194</v>
      </c>
      <c r="AD77">
        <v>7891944</v>
      </c>
      <c r="AE77">
        <v>14514318</v>
      </c>
      <c r="AF77">
        <v>30175660</v>
      </c>
      <c r="AG77">
        <v>11593294</v>
      </c>
      <c r="AH77">
        <v>12121599</v>
      </c>
      <c r="AI77">
        <v>90995806</v>
      </c>
      <c r="AJ77">
        <v>17211391</v>
      </c>
      <c r="AK77">
        <v>88786082</v>
      </c>
      <c r="AL77">
        <v>15930791</v>
      </c>
      <c r="AM77">
        <v>3797473</v>
      </c>
      <c r="AN77">
        <v>2629672</v>
      </c>
      <c r="AO77">
        <v>5538310</v>
      </c>
      <c r="AP77">
        <v>10875464</v>
      </c>
      <c r="AQ77">
        <v>9213251</v>
      </c>
      <c r="AR77">
        <v>121820557</v>
      </c>
      <c r="AS77">
        <v>17536509</v>
      </c>
      <c r="AT77">
        <v>9041339</v>
      </c>
      <c r="AU77">
        <v>22639753</v>
      </c>
      <c r="AV77">
        <v>25821612</v>
      </c>
      <c r="AW77">
        <v>6950710</v>
      </c>
      <c r="AX77">
        <v>9992974</v>
      </c>
      <c r="AY77">
        <v>3727545</v>
      </c>
      <c r="AZ77">
        <v>21571128</v>
      </c>
      <c r="BA77">
        <v>8650937</v>
      </c>
      <c r="BB77">
        <v>36112605</v>
      </c>
      <c r="BC77">
        <v>5201367</v>
      </c>
      <c r="BD77">
        <v>10182833</v>
      </c>
      <c r="BE77">
        <v>13379071</v>
      </c>
      <c r="BF77">
        <v>18728957</v>
      </c>
      <c r="BG77">
        <v>12112974</v>
      </c>
      <c r="BH77">
        <v>7380947</v>
      </c>
      <c r="BI77">
        <v>6839380</v>
      </c>
      <c r="BJ77">
        <v>10933472</v>
      </c>
      <c r="BK77">
        <v>232632735</v>
      </c>
      <c r="BL77">
        <v>4143317</v>
      </c>
      <c r="BM77">
        <v>5887863</v>
      </c>
      <c r="BN77">
        <v>24129123</v>
      </c>
      <c r="BO77">
        <v>25701776</v>
      </c>
      <c r="BP77">
        <v>81367590</v>
      </c>
      <c r="BQ77">
        <v>9227587</v>
      </c>
      <c r="BR77">
        <v>42588311</v>
      </c>
      <c r="BS77">
        <v>31355542</v>
      </c>
      <c r="BT77">
        <v>4421261</v>
      </c>
      <c r="BU77">
        <v>8155324</v>
      </c>
      <c r="BV77">
        <v>13921813</v>
      </c>
      <c r="BW77">
        <v>3120818</v>
      </c>
      <c r="BX77">
        <v>12711232</v>
      </c>
      <c r="BY77">
        <v>26733461</v>
      </c>
      <c r="BZ77">
        <v>4988334</v>
      </c>
      <c r="CA77">
        <v>21278669</v>
      </c>
      <c r="CB77">
        <v>16761844</v>
      </c>
      <c r="CC77">
        <v>40096655</v>
      </c>
      <c r="CD77">
        <v>26799758</v>
      </c>
      <c r="CE77">
        <v>28438337</v>
      </c>
      <c r="CF77">
        <v>23378454</v>
      </c>
      <c r="CG77">
        <v>28081881</v>
      </c>
      <c r="CH77">
        <v>9893459</v>
      </c>
      <c r="CI77">
        <v>13319563</v>
      </c>
      <c r="CJ77">
        <v>9463104</v>
      </c>
      <c r="CK77">
        <v>18473462</v>
      </c>
      <c r="CL77">
        <v>6012835</v>
      </c>
      <c r="CM77">
        <v>12126900</v>
      </c>
      <c r="CN77">
        <v>3164892</v>
      </c>
      <c r="CO77">
        <v>38799055</v>
      </c>
      <c r="CP77">
        <v>9660425</v>
      </c>
      <c r="CQ77">
        <v>106822408</v>
      </c>
      <c r="CR77">
        <v>5385573</v>
      </c>
      <c r="CS77">
        <v>5879335</v>
      </c>
      <c r="CT77">
        <v>9023742</v>
      </c>
      <c r="CU77">
        <v>19195634</v>
      </c>
      <c r="CV77">
        <v>14077918</v>
      </c>
      <c r="CW77">
        <v>28112533</v>
      </c>
      <c r="CX77">
        <v>13047044</v>
      </c>
      <c r="CY77">
        <v>9204705</v>
      </c>
    </row>
    <row r="78" spans="1:103" x14ac:dyDescent="0.3">
      <c r="A78">
        <v>505</v>
      </c>
      <c r="B78" t="s">
        <v>160</v>
      </c>
      <c r="D78">
        <v>1200820</v>
      </c>
      <c r="E78">
        <v>68300</v>
      </c>
      <c r="F78">
        <v>232915</v>
      </c>
      <c r="G78">
        <v>0</v>
      </c>
      <c r="H78">
        <v>5188532</v>
      </c>
      <c r="I78">
        <v>450000</v>
      </c>
      <c r="J78">
        <v>487000</v>
      </c>
      <c r="K78">
        <v>0</v>
      </c>
      <c r="L78">
        <v>3328759</v>
      </c>
      <c r="M78">
        <v>3425624</v>
      </c>
      <c r="N78">
        <v>798363</v>
      </c>
      <c r="O78">
        <v>5317200</v>
      </c>
      <c r="P78">
        <v>5514430</v>
      </c>
      <c r="Q78">
        <v>1492870</v>
      </c>
      <c r="R78">
        <v>0</v>
      </c>
      <c r="S78">
        <v>3698670</v>
      </c>
      <c r="T78">
        <v>0</v>
      </c>
      <c r="U78">
        <v>14472</v>
      </c>
      <c r="V78">
        <v>0</v>
      </c>
      <c r="W78">
        <v>477650</v>
      </c>
      <c r="X78">
        <v>0</v>
      </c>
      <c r="Y78">
        <v>902235</v>
      </c>
      <c r="Z78">
        <v>2111791</v>
      </c>
      <c r="AA78">
        <v>27277509</v>
      </c>
      <c r="AB78">
        <v>2203238</v>
      </c>
      <c r="AC78">
        <v>3982512</v>
      </c>
      <c r="AD78">
        <v>2546889</v>
      </c>
      <c r="AE78">
        <v>7636047</v>
      </c>
      <c r="AF78">
        <v>903398</v>
      </c>
      <c r="AG78">
        <v>2786533</v>
      </c>
      <c r="AH78">
        <v>32515425</v>
      </c>
      <c r="AI78">
        <v>1157830</v>
      </c>
      <c r="AJ78">
        <v>1771265</v>
      </c>
      <c r="AK78">
        <v>7389605</v>
      </c>
      <c r="AL78">
        <v>1592227</v>
      </c>
      <c r="AM78">
        <v>47201873</v>
      </c>
      <c r="AN78">
        <v>13050</v>
      </c>
      <c r="AO78">
        <v>1890469</v>
      </c>
      <c r="AP78">
        <v>847385</v>
      </c>
      <c r="AQ78">
        <v>599557</v>
      </c>
      <c r="AR78">
        <v>509179</v>
      </c>
      <c r="AS78">
        <v>1634270</v>
      </c>
      <c r="AT78">
        <v>0</v>
      </c>
      <c r="AU78">
        <v>448969</v>
      </c>
      <c r="AV78">
        <v>1106390</v>
      </c>
      <c r="AW78">
        <v>3108213</v>
      </c>
      <c r="AX78">
        <v>664977</v>
      </c>
      <c r="AY78">
        <v>221962</v>
      </c>
      <c r="AZ78">
        <v>0</v>
      </c>
      <c r="BA78">
        <v>0</v>
      </c>
      <c r="BB78">
        <v>2610000</v>
      </c>
      <c r="BC78">
        <v>632446</v>
      </c>
      <c r="BD78">
        <v>34026</v>
      </c>
      <c r="BE78">
        <v>0</v>
      </c>
      <c r="BF78">
        <v>788070</v>
      </c>
      <c r="BG78">
        <v>30023</v>
      </c>
      <c r="BH78">
        <v>0</v>
      </c>
      <c r="BI78">
        <v>2372418</v>
      </c>
      <c r="BJ78">
        <v>2042634</v>
      </c>
      <c r="BK78">
        <v>780037</v>
      </c>
      <c r="BL78">
        <v>420274</v>
      </c>
      <c r="BM78">
        <v>141700</v>
      </c>
      <c r="BN78">
        <v>218632</v>
      </c>
      <c r="BO78">
        <v>5314743</v>
      </c>
      <c r="BP78">
        <v>628465</v>
      </c>
      <c r="BQ78">
        <v>619807</v>
      </c>
      <c r="BR78">
        <v>12445</v>
      </c>
      <c r="BS78">
        <v>1129817</v>
      </c>
      <c r="BT78">
        <v>84270</v>
      </c>
      <c r="BU78">
        <v>346021</v>
      </c>
      <c r="BV78">
        <v>2629283</v>
      </c>
      <c r="BW78">
        <v>4000000</v>
      </c>
      <c r="BX78">
        <v>1054585</v>
      </c>
      <c r="BY78">
        <v>6875943</v>
      </c>
      <c r="BZ78">
        <v>695193</v>
      </c>
      <c r="CA78">
        <v>20400000</v>
      </c>
      <c r="CB78">
        <v>339458</v>
      </c>
      <c r="CC78">
        <v>0</v>
      </c>
      <c r="CD78">
        <v>821643</v>
      </c>
      <c r="CE78">
        <v>2743828</v>
      </c>
      <c r="CF78">
        <v>12767771</v>
      </c>
      <c r="CG78">
        <v>0</v>
      </c>
      <c r="CH78">
        <v>1188160</v>
      </c>
      <c r="CI78">
        <v>658000</v>
      </c>
      <c r="CJ78">
        <v>0</v>
      </c>
      <c r="CK78">
        <v>1130598</v>
      </c>
      <c r="CL78">
        <v>0</v>
      </c>
      <c r="CM78">
        <v>125000</v>
      </c>
      <c r="CN78">
        <v>241857</v>
      </c>
      <c r="CO78">
        <v>0</v>
      </c>
      <c r="CP78">
        <v>471259</v>
      </c>
      <c r="CQ78">
        <v>0</v>
      </c>
      <c r="CR78">
        <v>106939</v>
      </c>
      <c r="CS78">
        <v>0</v>
      </c>
      <c r="CT78">
        <v>3704460</v>
      </c>
      <c r="CU78">
        <v>0</v>
      </c>
      <c r="CV78">
        <v>788619</v>
      </c>
      <c r="CW78">
        <v>10080278</v>
      </c>
      <c r="CX78">
        <v>911704</v>
      </c>
      <c r="CY78">
        <v>37391</v>
      </c>
    </row>
    <row r="79" spans="1:103" x14ac:dyDescent="0.3">
      <c r="A79">
        <v>506</v>
      </c>
      <c r="B79" t="s">
        <v>166</v>
      </c>
      <c r="D79">
        <v>66014574</v>
      </c>
      <c r="E79">
        <v>21469290</v>
      </c>
      <c r="F79">
        <v>8205250</v>
      </c>
      <c r="G79">
        <v>22114422</v>
      </c>
      <c r="H79">
        <v>14251275</v>
      </c>
      <c r="I79">
        <v>27169037</v>
      </c>
      <c r="J79">
        <v>37800382</v>
      </c>
      <c r="K79">
        <v>2918018</v>
      </c>
      <c r="L79">
        <v>35111813</v>
      </c>
      <c r="M79">
        <v>133439093</v>
      </c>
      <c r="N79">
        <v>117178482</v>
      </c>
      <c r="O79">
        <v>41110173</v>
      </c>
      <c r="P79">
        <v>150694804</v>
      </c>
      <c r="Q79">
        <v>19567802</v>
      </c>
      <c r="R79">
        <v>14080557</v>
      </c>
      <c r="S79">
        <v>68325051</v>
      </c>
      <c r="T79">
        <v>11371880</v>
      </c>
      <c r="U79">
        <v>96595862</v>
      </c>
      <c r="V79">
        <v>48878779</v>
      </c>
      <c r="W79">
        <v>27158372</v>
      </c>
      <c r="X79">
        <v>11769274</v>
      </c>
      <c r="Y79">
        <v>8630426</v>
      </c>
      <c r="Z79">
        <v>44955328</v>
      </c>
      <c r="AA79">
        <v>21768555</v>
      </c>
      <c r="AB79">
        <v>49241732</v>
      </c>
      <c r="AC79">
        <v>248829870</v>
      </c>
      <c r="AD79">
        <v>30043355</v>
      </c>
      <c r="AE79">
        <v>86345216</v>
      </c>
      <c r="AF79">
        <v>86425300</v>
      </c>
      <c r="AG79">
        <v>13302025</v>
      </c>
      <c r="AH79">
        <v>30855743</v>
      </c>
      <c r="AI79">
        <v>295761259</v>
      </c>
      <c r="AJ79">
        <v>25389294</v>
      </c>
      <c r="AK79">
        <v>183512762</v>
      </c>
      <c r="AL79">
        <v>42502759</v>
      </c>
      <c r="AM79">
        <v>107579991</v>
      </c>
      <c r="AN79">
        <v>5460369</v>
      </c>
      <c r="AO79">
        <v>8614904</v>
      </c>
      <c r="AP79">
        <v>40217298</v>
      </c>
      <c r="AQ79">
        <v>14102302</v>
      </c>
      <c r="AR79">
        <v>183170907</v>
      </c>
      <c r="AS79">
        <v>42394806</v>
      </c>
      <c r="AT79">
        <v>87876407</v>
      </c>
      <c r="AU79">
        <v>37710742</v>
      </c>
      <c r="AV79">
        <v>80589089</v>
      </c>
      <c r="AW79">
        <v>7393966</v>
      </c>
      <c r="AX79">
        <v>39440505</v>
      </c>
      <c r="AY79">
        <v>2976507</v>
      </c>
      <c r="AZ79">
        <v>153668148</v>
      </c>
      <c r="BA79">
        <v>35865682</v>
      </c>
      <c r="BB79">
        <v>186346057</v>
      </c>
      <c r="BC79">
        <v>5818668</v>
      </c>
      <c r="BD79">
        <v>26806805</v>
      </c>
      <c r="BE79">
        <v>37185257</v>
      </c>
      <c r="BF79">
        <v>52515640</v>
      </c>
      <c r="BG79">
        <v>41183865</v>
      </c>
      <c r="BH79">
        <v>12287541</v>
      </c>
      <c r="BI79">
        <v>13213740</v>
      </c>
      <c r="BJ79">
        <v>12214208</v>
      </c>
      <c r="BK79">
        <v>618396191</v>
      </c>
      <c r="BL79">
        <v>8451872</v>
      </c>
      <c r="BM79">
        <v>31032887</v>
      </c>
      <c r="BN79">
        <v>50526056</v>
      </c>
      <c r="BO79">
        <v>46851516</v>
      </c>
      <c r="BP79">
        <v>133119235</v>
      </c>
      <c r="BQ79">
        <v>23516591</v>
      </c>
      <c r="BR79">
        <v>130465952</v>
      </c>
      <c r="BS79">
        <v>72345090</v>
      </c>
      <c r="BT79">
        <v>11386607</v>
      </c>
      <c r="BU79">
        <v>30064424</v>
      </c>
      <c r="BV79">
        <v>62917821</v>
      </c>
      <c r="BW79">
        <v>7103035</v>
      </c>
      <c r="BX79">
        <v>25858232</v>
      </c>
      <c r="BY79">
        <v>64004312</v>
      </c>
      <c r="BZ79">
        <v>13484152</v>
      </c>
      <c r="CA79">
        <v>52248252</v>
      </c>
      <c r="CB79">
        <v>15348211</v>
      </c>
      <c r="CC79">
        <v>54883528</v>
      </c>
      <c r="CD79">
        <v>50645446</v>
      </c>
      <c r="CE79">
        <v>79883284</v>
      </c>
      <c r="CF79">
        <v>46130035</v>
      </c>
      <c r="CG79">
        <v>34689710</v>
      </c>
      <c r="CH79">
        <v>13931318</v>
      </c>
      <c r="CI79">
        <v>43056440</v>
      </c>
      <c r="CJ79">
        <v>16601178</v>
      </c>
      <c r="CK79">
        <v>47871430</v>
      </c>
      <c r="CL79">
        <v>10388808</v>
      </c>
      <c r="CM79">
        <v>29491265</v>
      </c>
      <c r="CN79">
        <v>1427813</v>
      </c>
      <c r="CO79">
        <v>106592116</v>
      </c>
      <c r="CP79">
        <v>24093005</v>
      </c>
      <c r="CQ79">
        <v>487292003</v>
      </c>
      <c r="CR79">
        <v>16788486</v>
      </c>
      <c r="CS79">
        <v>11134989</v>
      </c>
      <c r="CT79">
        <v>46641073</v>
      </c>
      <c r="CU79">
        <v>41411201</v>
      </c>
      <c r="CV79">
        <v>42707838</v>
      </c>
      <c r="CW79">
        <v>50110582</v>
      </c>
      <c r="CX79">
        <v>23525595</v>
      </c>
      <c r="CY79">
        <v>10216227</v>
      </c>
    </row>
    <row r="80" spans="1:103" x14ac:dyDescent="0.3">
      <c r="A80">
        <v>507</v>
      </c>
      <c r="B80" t="s">
        <v>611</v>
      </c>
      <c r="D80">
        <v>0</v>
      </c>
      <c r="E80">
        <v>0</v>
      </c>
      <c r="F80">
        <v>0</v>
      </c>
      <c r="G80">
        <v>-305771</v>
      </c>
      <c r="H80">
        <v>0</v>
      </c>
      <c r="I80">
        <v>-323756</v>
      </c>
      <c r="J80">
        <v>0</v>
      </c>
      <c r="K80">
        <v>0</v>
      </c>
      <c r="L80">
        <v>-794384</v>
      </c>
      <c r="M80">
        <v>0</v>
      </c>
      <c r="N80">
        <v>15647</v>
      </c>
      <c r="O80">
        <v>-18850</v>
      </c>
      <c r="P80">
        <v>0</v>
      </c>
      <c r="Q80">
        <v>0</v>
      </c>
      <c r="R80">
        <v>0</v>
      </c>
      <c r="S80">
        <v>0</v>
      </c>
      <c r="T80">
        <v>243937</v>
      </c>
      <c r="U80">
        <v>0</v>
      </c>
      <c r="V80">
        <v>0</v>
      </c>
      <c r="W80">
        <v>0</v>
      </c>
      <c r="X80">
        <v>0</v>
      </c>
      <c r="Y80">
        <v>-54358</v>
      </c>
      <c r="Z80">
        <v>0</v>
      </c>
      <c r="AA80">
        <v>-312815</v>
      </c>
      <c r="AB80">
        <v>0</v>
      </c>
      <c r="AC80">
        <v>0</v>
      </c>
      <c r="AD80">
        <v>0</v>
      </c>
      <c r="AE80">
        <v>-19039</v>
      </c>
      <c r="AF80">
        <v>0</v>
      </c>
      <c r="AG80">
        <v>0</v>
      </c>
      <c r="AH80">
        <v>0</v>
      </c>
      <c r="AI80">
        <v>0</v>
      </c>
      <c r="AJ80">
        <v>998202</v>
      </c>
      <c r="AK80">
        <v>0</v>
      </c>
      <c r="AL80">
        <v>25200</v>
      </c>
      <c r="AM80">
        <v>0</v>
      </c>
      <c r="AN80">
        <v>0</v>
      </c>
      <c r="AO80">
        <v>-3055</v>
      </c>
      <c r="AP80">
        <v>809409</v>
      </c>
      <c r="AQ80">
        <v>455547</v>
      </c>
      <c r="AR80">
        <v>0</v>
      </c>
      <c r="AS80">
        <v>0</v>
      </c>
      <c r="AT80">
        <v>0</v>
      </c>
      <c r="AU80">
        <v>0</v>
      </c>
      <c r="AV80">
        <v>0</v>
      </c>
      <c r="AW80">
        <v>-327851</v>
      </c>
      <c r="AX80">
        <v>0</v>
      </c>
      <c r="AY80">
        <v>336911</v>
      </c>
      <c r="AZ80">
        <v>0</v>
      </c>
      <c r="BA80">
        <v>0</v>
      </c>
      <c r="BB80">
        <v>0</v>
      </c>
      <c r="BC80">
        <v>-1271771</v>
      </c>
      <c r="BD80">
        <v>0</v>
      </c>
      <c r="BE80">
        <v>0</v>
      </c>
      <c r="BF80">
        <v>0</v>
      </c>
      <c r="BG80">
        <v>0</v>
      </c>
      <c r="BH80">
        <v>0</v>
      </c>
      <c r="BI80">
        <v>0</v>
      </c>
      <c r="BJ80">
        <v>0</v>
      </c>
      <c r="BK80">
        <v>29998681</v>
      </c>
      <c r="BL80">
        <v>0</v>
      </c>
      <c r="BM80">
        <v>0</v>
      </c>
      <c r="BN80">
        <v>0</v>
      </c>
      <c r="BO80">
        <v>1835079</v>
      </c>
      <c r="BP80">
        <v>0</v>
      </c>
      <c r="BQ80">
        <v>104785</v>
      </c>
      <c r="BR80">
        <v>0</v>
      </c>
      <c r="BS80">
        <v>0</v>
      </c>
      <c r="BT80">
        <v>0</v>
      </c>
      <c r="BU80">
        <v>0</v>
      </c>
      <c r="BV80">
        <v>0</v>
      </c>
      <c r="BW80">
        <v>244314</v>
      </c>
      <c r="BX80">
        <v>910589</v>
      </c>
      <c r="BY80">
        <v>0</v>
      </c>
      <c r="BZ80">
        <v>0</v>
      </c>
      <c r="CA80">
        <v>0</v>
      </c>
      <c r="CB80">
        <v>0</v>
      </c>
      <c r="CC80">
        <v>0</v>
      </c>
      <c r="CD80">
        <v>1517854</v>
      </c>
      <c r="CE80">
        <v>1270</v>
      </c>
      <c r="CF80">
        <v>0</v>
      </c>
      <c r="CG80">
        <v>0</v>
      </c>
      <c r="CH80">
        <v>1241563</v>
      </c>
      <c r="CI80">
        <v>-2</v>
      </c>
      <c r="CJ80">
        <v>0</v>
      </c>
      <c r="CK80">
        <v>0</v>
      </c>
      <c r="CL80">
        <v>0</v>
      </c>
      <c r="CM80">
        <v>0</v>
      </c>
      <c r="CN80">
        <v>0</v>
      </c>
      <c r="CO80">
        <v>-3080500</v>
      </c>
      <c r="CP80">
        <v>737028</v>
      </c>
      <c r="CQ80">
        <v>0</v>
      </c>
      <c r="CR80">
        <v>0</v>
      </c>
      <c r="CS80">
        <v>0</v>
      </c>
      <c r="CT80">
        <v>-10767</v>
      </c>
      <c r="CU80">
        <v>0</v>
      </c>
      <c r="CV80">
        <v>0</v>
      </c>
      <c r="CW80">
        <v>0</v>
      </c>
      <c r="CX80">
        <v>1</v>
      </c>
      <c r="CY80">
        <v>0</v>
      </c>
    </row>
    <row r="81" spans="1:103" x14ac:dyDescent="0.3">
      <c r="A81">
        <v>508</v>
      </c>
      <c r="B81" t="s">
        <v>180</v>
      </c>
      <c r="D81">
        <v>0</v>
      </c>
      <c r="E81">
        <v>0</v>
      </c>
      <c r="F81">
        <v>0</v>
      </c>
      <c r="G81">
        <v>0</v>
      </c>
      <c r="H81">
        <v>170042</v>
      </c>
      <c r="I81">
        <v>0</v>
      </c>
      <c r="J81">
        <v>0</v>
      </c>
      <c r="K81">
        <v>0</v>
      </c>
      <c r="L81">
        <v>0</v>
      </c>
      <c r="M81">
        <v>280000</v>
      </c>
      <c r="N81">
        <v>2783</v>
      </c>
      <c r="O81">
        <v>0</v>
      </c>
      <c r="P81">
        <v>948047</v>
      </c>
      <c r="Q81">
        <v>0</v>
      </c>
      <c r="R81">
        <v>0</v>
      </c>
      <c r="S81">
        <v>0</v>
      </c>
      <c r="T81">
        <v>0</v>
      </c>
      <c r="U81">
        <v>0</v>
      </c>
      <c r="V81">
        <v>36672</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13860000</v>
      </c>
      <c r="CC81">
        <v>0</v>
      </c>
      <c r="CD81">
        <v>0</v>
      </c>
      <c r="CE81">
        <v>0</v>
      </c>
      <c r="CF81">
        <v>0</v>
      </c>
      <c r="CG81">
        <v>0</v>
      </c>
      <c r="CH81">
        <v>0</v>
      </c>
      <c r="CI81">
        <v>0</v>
      </c>
      <c r="CJ81">
        <v>0</v>
      </c>
      <c r="CK81">
        <v>0</v>
      </c>
      <c r="CL81">
        <v>0</v>
      </c>
      <c r="CM81">
        <v>0</v>
      </c>
      <c r="CN81">
        <v>0</v>
      </c>
      <c r="CO81">
        <v>0</v>
      </c>
      <c r="CP81">
        <v>0</v>
      </c>
      <c r="CQ81">
        <v>0</v>
      </c>
      <c r="CR81">
        <v>0</v>
      </c>
      <c r="CS81">
        <v>0</v>
      </c>
      <c r="CT81">
        <v>0</v>
      </c>
      <c r="CU81">
        <v>0</v>
      </c>
      <c r="CV81">
        <v>0</v>
      </c>
      <c r="CW81">
        <v>0</v>
      </c>
      <c r="CX81">
        <v>0</v>
      </c>
      <c r="CY81">
        <v>0</v>
      </c>
    </row>
    <row r="82" spans="1:103" x14ac:dyDescent="0.3">
      <c r="A82">
        <v>509</v>
      </c>
      <c r="B82" t="s">
        <v>181</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13760761</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c r="CW82">
        <v>0</v>
      </c>
      <c r="CX82">
        <v>0</v>
      </c>
      <c r="CY82">
        <v>0</v>
      </c>
    </row>
    <row r="83" spans="1:103" x14ac:dyDescent="0.3">
      <c r="A83">
        <v>510</v>
      </c>
      <c r="B83" t="s">
        <v>187</v>
      </c>
      <c r="D83">
        <v>0</v>
      </c>
      <c r="E83">
        <v>0</v>
      </c>
      <c r="F83">
        <v>0</v>
      </c>
      <c r="G83">
        <v>251541</v>
      </c>
      <c r="H83">
        <v>0</v>
      </c>
      <c r="I83">
        <v>0</v>
      </c>
      <c r="J83">
        <v>0</v>
      </c>
      <c r="K83">
        <v>0</v>
      </c>
      <c r="L83">
        <v>0</v>
      </c>
      <c r="M83">
        <v>2156817</v>
      </c>
      <c r="N83">
        <v>0</v>
      </c>
      <c r="O83">
        <v>0</v>
      </c>
      <c r="P83">
        <v>0</v>
      </c>
      <c r="Q83">
        <v>208301</v>
      </c>
      <c r="R83">
        <v>0</v>
      </c>
      <c r="S83">
        <v>0</v>
      </c>
      <c r="T83">
        <v>0</v>
      </c>
      <c r="U83">
        <v>0</v>
      </c>
      <c r="V83">
        <v>0</v>
      </c>
      <c r="W83">
        <v>0</v>
      </c>
      <c r="X83">
        <v>87124</v>
      </c>
      <c r="Y83">
        <v>0</v>
      </c>
      <c r="Z83">
        <v>0</v>
      </c>
      <c r="AA83">
        <v>0</v>
      </c>
      <c r="AB83">
        <v>105806</v>
      </c>
      <c r="AC83">
        <v>0</v>
      </c>
      <c r="AD83">
        <v>0</v>
      </c>
      <c r="AE83">
        <v>564217</v>
      </c>
      <c r="AF83">
        <v>0</v>
      </c>
      <c r="AG83">
        <v>0</v>
      </c>
      <c r="AH83">
        <v>41524</v>
      </c>
      <c r="AI83">
        <v>8553</v>
      </c>
      <c r="AJ83">
        <v>0</v>
      </c>
      <c r="AK83">
        <v>0</v>
      </c>
      <c r="AL83">
        <v>0</v>
      </c>
      <c r="AM83">
        <v>0</v>
      </c>
      <c r="AN83">
        <v>37454</v>
      </c>
      <c r="AO83">
        <v>0</v>
      </c>
      <c r="AP83">
        <v>0</v>
      </c>
      <c r="AQ83">
        <v>9430</v>
      </c>
      <c r="AR83">
        <v>0</v>
      </c>
      <c r="AS83">
        <v>58651</v>
      </c>
      <c r="AT83">
        <v>905064</v>
      </c>
      <c r="AU83">
        <v>0</v>
      </c>
      <c r="AV83">
        <v>0</v>
      </c>
      <c r="AW83">
        <v>8579</v>
      </c>
      <c r="AX83">
        <v>150941</v>
      </c>
      <c r="AY83">
        <v>0</v>
      </c>
      <c r="AZ83">
        <v>0</v>
      </c>
      <c r="BA83">
        <v>0</v>
      </c>
      <c r="BB83">
        <v>0</v>
      </c>
      <c r="BC83">
        <v>48848</v>
      </c>
      <c r="BD83">
        <v>0</v>
      </c>
      <c r="BE83">
        <v>0</v>
      </c>
      <c r="BF83">
        <v>710</v>
      </c>
      <c r="BG83">
        <v>0</v>
      </c>
      <c r="BH83">
        <v>0</v>
      </c>
      <c r="BI83">
        <v>4090</v>
      </c>
      <c r="BJ83">
        <v>0</v>
      </c>
      <c r="BK83">
        <v>0</v>
      </c>
      <c r="BL83">
        <v>0</v>
      </c>
      <c r="BM83">
        <v>238321</v>
      </c>
      <c r="BN83">
        <v>784730</v>
      </c>
      <c r="BO83">
        <v>0</v>
      </c>
      <c r="BP83">
        <v>0</v>
      </c>
      <c r="BQ83">
        <v>0</v>
      </c>
      <c r="BR83">
        <v>0</v>
      </c>
      <c r="BS83">
        <v>0</v>
      </c>
      <c r="BT83">
        <v>114769</v>
      </c>
      <c r="BU83">
        <v>376703</v>
      </c>
      <c r="BV83">
        <v>0</v>
      </c>
      <c r="BW83">
        <v>119768</v>
      </c>
      <c r="BX83">
        <v>0</v>
      </c>
      <c r="BY83">
        <v>0</v>
      </c>
      <c r="BZ83">
        <v>0</v>
      </c>
      <c r="CA83">
        <v>0</v>
      </c>
      <c r="CB83">
        <v>0</v>
      </c>
      <c r="CC83">
        <v>0</v>
      </c>
      <c r="CD83">
        <v>0</v>
      </c>
      <c r="CE83">
        <v>0</v>
      </c>
      <c r="CF83">
        <v>0</v>
      </c>
      <c r="CG83">
        <v>184043</v>
      </c>
      <c r="CH83">
        <v>3440</v>
      </c>
      <c r="CI83">
        <v>99278</v>
      </c>
      <c r="CJ83">
        <v>0</v>
      </c>
      <c r="CK83">
        <v>0</v>
      </c>
      <c r="CL83">
        <v>0</v>
      </c>
      <c r="CM83">
        <v>0</v>
      </c>
      <c r="CN83">
        <v>57910</v>
      </c>
      <c r="CO83">
        <v>957053</v>
      </c>
      <c r="CP83">
        <v>0</v>
      </c>
      <c r="CQ83">
        <v>0</v>
      </c>
      <c r="CR83">
        <v>0</v>
      </c>
      <c r="CS83">
        <v>28439</v>
      </c>
      <c r="CT83">
        <v>0</v>
      </c>
      <c r="CU83">
        <v>0</v>
      </c>
      <c r="CV83">
        <v>0</v>
      </c>
      <c r="CW83">
        <v>0</v>
      </c>
      <c r="CX83">
        <v>21466</v>
      </c>
      <c r="CY83">
        <v>0</v>
      </c>
    </row>
    <row r="84" spans="1:103" x14ac:dyDescent="0.3">
      <c r="A84">
        <v>512</v>
      </c>
      <c r="B84" t="s">
        <v>203</v>
      </c>
      <c r="D84">
        <v>669888</v>
      </c>
      <c r="E84">
        <v>10224</v>
      </c>
      <c r="F84">
        <v>1150</v>
      </c>
      <c r="G84">
        <v>136890</v>
      </c>
      <c r="H84">
        <v>821888</v>
      </c>
      <c r="I84">
        <v>159360</v>
      </c>
      <c r="J84">
        <v>85656</v>
      </c>
      <c r="K84">
        <v>0</v>
      </c>
      <c r="L84">
        <v>110821</v>
      </c>
      <c r="M84">
        <v>1739988</v>
      </c>
      <c r="N84">
        <v>34758384</v>
      </c>
      <c r="O84">
        <v>13357</v>
      </c>
      <c r="P84">
        <v>3590164</v>
      </c>
      <c r="Q84">
        <v>47059</v>
      </c>
      <c r="R84">
        <v>0</v>
      </c>
      <c r="S84">
        <v>184263</v>
      </c>
      <c r="T84">
        <v>88737</v>
      </c>
      <c r="U84">
        <v>81516</v>
      </c>
      <c r="V84">
        <v>45749</v>
      </c>
      <c r="W84">
        <v>82680</v>
      </c>
      <c r="X84">
        <v>0</v>
      </c>
      <c r="Y84">
        <v>29813</v>
      </c>
      <c r="Z84">
        <v>366247</v>
      </c>
      <c r="AA84">
        <v>284565</v>
      </c>
      <c r="AB84">
        <v>78985</v>
      </c>
      <c r="AC84">
        <v>3293457</v>
      </c>
      <c r="AD84">
        <v>1100865</v>
      </c>
      <c r="AE84">
        <v>5362837</v>
      </c>
      <c r="AF84">
        <v>1483218</v>
      </c>
      <c r="AG84">
        <v>0</v>
      </c>
      <c r="AH84">
        <v>0</v>
      </c>
      <c r="AI84">
        <v>3000326</v>
      </c>
      <c r="AJ84">
        <v>295663</v>
      </c>
      <c r="AK84">
        <v>40200000</v>
      </c>
      <c r="AL84">
        <v>297943</v>
      </c>
      <c r="AM84">
        <v>262583</v>
      </c>
      <c r="AN84">
        <v>2942</v>
      </c>
      <c r="AO84">
        <v>11983</v>
      </c>
      <c r="AP84">
        <v>134686</v>
      </c>
      <c r="AQ84">
        <v>26095</v>
      </c>
      <c r="AR84">
        <v>21561478</v>
      </c>
      <c r="AS84">
        <v>73519</v>
      </c>
      <c r="AT84">
        <v>1624130</v>
      </c>
      <c r="AU84">
        <v>115200</v>
      </c>
      <c r="AV84">
        <v>462646</v>
      </c>
      <c r="AW84">
        <v>111816</v>
      </c>
      <c r="AX84">
        <v>65948</v>
      </c>
      <c r="AY84">
        <v>0</v>
      </c>
      <c r="AZ84">
        <v>253271</v>
      </c>
      <c r="BA84">
        <v>211978</v>
      </c>
      <c r="BB84">
        <v>2254847</v>
      </c>
      <c r="BC84">
        <v>42408</v>
      </c>
      <c r="BD84">
        <v>94108</v>
      </c>
      <c r="BE84">
        <v>0</v>
      </c>
      <c r="BF84">
        <v>150993</v>
      </c>
      <c r="BG84">
        <v>34409</v>
      </c>
      <c r="BH84">
        <v>54844</v>
      </c>
      <c r="BI84">
        <v>427285</v>
      </c>
      <c r="BJ84">
        <v>182254</v>
      </c>
      <c r="BK84">
        <v>199937553</v>
      </c>
      <c r="BL84">
        <v>179830</v>
      </c>
      <c r="BM84">
        <v>82489</v>
      </c>
      <c r="BN84">
        <v>169711</v>
      </c>
      <c r="BO84">
        <v>53311</v>
      </c>
      <c r="BP84">
        <v>289035571</v>
      </c>
      <c r="BQ84">
        <v>241499</v>
      </c>
      <c r="BR84">
        <v>356104</v>
      </c>
      <c r="BS84">
        <v>654172</v>
      </c>
      <c r="BT84">
        <v>171522</v>
      </c>
      <c r="BU84">
        <v>0</v>
      </c>
      <c r="BV84">
        <v>101014</v>
      </c>
      <c r="BW84">
        <v>0</v>
      </c>
      <c r="BX84">
        <v>108120</v>
      </c>
      <c r="BY84">
        <v>302928</v>
      </c>
      <c r="BZ84">
        <v>65611</v>
      </c>
      <c r="CA84">
        <v>144271</v>
      </c>
      <c r="CB84">
        <v>251715</v>
      </c>
      <c r="CC84">
        <v>235128</v>
      </c>
      <c r="CD84">
        <v>351597</v>
      </c>
      <c r="CE84">
        <v>461541</v>
      </c>
      <c r="CF84">
        <v>177800</v>
      </c>
      <c r="CG84">
        <v>670433</v>
      </c>
      <c r="CH84">
        <v>144513</v>
      </c>
      <c r="CI84">
        <v>117608</v>
      </c>
      <c r="CJ84">
        <v>80853</v>
      </c>
      <c r="CK84">
        <v>25822</v>
      </c>
      <c r="CL84">
        <v>86428</v>
      </c>
      <c r="CM84">
        <v>48953</v>
      </c>
      <c r="CN84">
        <v>0</v>
      </c>
      <c r="CO84">
        <v>60289397</v>
      </c>
      <c r="CP84">
        <v>113515</v>
      </c>
      <c r="CQ84">
        <v>451886</v>
      </c>
      <c r="CR84">
        <v>2645</v>
      </c>
      <c r="CS84">
        <v>164049</v>
      </c>
      <c r="CT84">
        <v>3328766</v>
      </c>
      <c r="CU84">
        <v>141204</v>
      </c>
      <c r="CV84">
        <v>127740</v>
      </c>
      <c r="CW84">
        <v>78877</v>
      </c>
      <c r="CX84">
        <v>48689</v>
      </c>
      <c r="CY84">
        <v>33900</v>
      </c>
    </row>
    <row r="85" spans="1:103" x14ac:dyDescent="0.3">
      <c r="A85" s="537">
        <v>515</v>
      </c>
      <c r="B85" s="537" t="s">
        <v>219</v>
      </c>
      <c r="D85">
        <v>0</v>
      </c>
      <c r="E85">
        <v>0</v>
      </c>
      <c r="F85">
        <v>0</v>
      </c>
      <c r="G85">
        <v>6381215</v>
      </c>
      <c r="H85">
        <v>0</v>
      </c>
      <c r="I85">
        <v>0</v>
      </c>
      <c r="J85">
        <v>0</v>
      </c>
      <c r="K85">
        <v>0</v>
      </c>
      <c r="L85">
        <v>171761</v>
      </c>
      <c r="M85">
        <v>220634154</v>
      </c>
      <c r="N85">
        <v>0</v>
      </c>
      <c r="O85">
        <v>452401</v>
      </c>
      <c r="P85">
        <v>0</v>
      </c>
      <c r="Q85">
        <v>173863</v>
      </c>
      <c r="R85">
        <v>0</v>
      </c>
      <c r="S85">
        <v>2119264</v>
      </c>
      <c r="T85">
        <v>0</v>
      </c>
      <c r="U85">
        <v>0</v>
      </c>
      <c r="V85">
        <v>5474057</v>
      </c>
      <c r="W85">
        <v>0</v>
      </c>
      <c r="X85">
        <v>1512335</v>
      </c>
      <c r="Y85">
        <v>31688</v>
      </c>
      <c r="Z85">
        <v>0</v>
      </c>
      <c r="AA85">
        <v>0</v>
      </c>
      <c r="AB85">
        <v>60895864</v>
      </c>
      <c r="AC85">
        <v>0</v>
      </c>
      <c r="AD85">
        <v>47899249</v>
      </c>
      <c r="AE85">
        <v>57061712</v>
      </c>
      <c r="AF85">
        <v>0</v>
      </c>
      <c r="AG85">
        <v>15857283</v>
      </c>
      <c r="AH85">
        <v>0</v>
      </c>
      <c r="AI85">
        <v>56854766</v>
      </c>
      <c r="AJ85">
        <v>1166880</v>
      </c>
      <c r="AK85">
        <v>0</v>
      </c>
      <c r="AL85">
        <v>0</v>
      </c>
      <c r="AM85">
        <v>0</v>
      </c>
      <c r="AN85">
        <v>0</v>
      </c>
      <c r="AO85">
        <v>0</v>
      </c>
      <c r="AP85">
        <v>0</v>
      </c>
      <c r="AQ85">
        <v>0</v>
      </c>
      <c r="AR85">
        <v>0</v>
      </c>
      <c r="AS85">
        <v>0</v>
      </c>
      <c r="AT85">
        <v>16118978</v>
      </c>
      <c r="AU85">
        <v>0</v>
      </c>
      <c r="AV85">
        <v>0</v>
      </c>
      <c r="AW85">
        <v>211250</v>
      </c>
      <c r="AX85">
        <v>124620</v>
      </c>
      <c r="AY85">
        <v>0</v>
      </c>
      <c r="AZ85">
        <v>0</v>
      </c>
      <c r="BA85">
        <v>0</v>
      </c>
      <c r="BB85">
        <v>0</v>
      </c>
      <c r="BC85">
        <v>0</v>
      </c>
      <c r="BD85">
        <v>0</v>
      </c>
      <c r="BE85">
        <v>0</v>
      </c>
      <c r="BF85">
        <v>41787579</v>
      </c>
      <c r="BG85">
        <v>0</v>
      </c>
      <c r="BH85">
        <v>0</v>
      </c>
      <c r="BI85">
        <v>0</v>
      </c>
      <c r="BJ85">
        <v>0</v>
      </c>
      <c r="BK85">
        <v>0</v>
      </c>
      <c r="BL85">
        <v>0</v>
      </c>
      <c r="BM85">
        <v>5568132</v>
      </c>
      <c r="BN85">
        <v>20299004</v>
      </c>
      <c r="BO85">
        <v>0</v>
      </c>
      <c r="BP85">
        <v>0</v>
      </c>
      <c r="BQ85">
        <v>0</v>
      </c>
      <c r="BR85">
        <v>0</v>
      </c>
      <c r="BS85">
        <v>0</v>
      </c>
      <c r="BT85">
        <v>7262585</v>
      </c>
      <c r="BU85">
        <v>14881284</v>
      </c>
      <c r="BV85">
        <v>0</v>
      </c>
      <c r="BW85">
        <v>0</v>
      </c>
      <c r="BX85">
        <v>0</v>
      </c>
      <c r="BY85">
        <v>0</v>
      </c>
      <c r="BZ85">
        <v>0</v>
      </c>
      <c r="CA85">
        <v>0</v>
      </c>
      <c r="CB85">
        <v>653587</v>
      </c>
      <c r="CC85">
        <v>1379921</v>
      </c>
      <c r="CD85">
        <v>28037089</v>
      </c>
      <c r="CE85">
        <v>0</v>
      </c>
      <c r="CF85">
        <v>0</v>
      </c>
      <c r="CG85">
        <v>0</v>
      </c>
      <c r="CH85">
        <v>0</v>
      </c>
      <c r="CI85">
        <v>0</v>
      </c>
      <c r="CJ85">
        <v>0</v>
      </c>
      <c r="CK85">
        <v>0</v>
      </c>
      <c r="CL85">
        <v>0</v>
      </c>
      <c r="CM85">
        <v>0</v>
      </c>
      <c r="CN85">
        <v>21837</v>
      </c>
      <c r="CO85">
        <v>10833210</v>
      </c>
      <c r="CP85">
        <v>0</v>
      </c>
      <c r="CQ85">
        <v>0</v>
      </c>
      <c r="CR85">
        <v>0</v>
      </c>
      <c r="CS85">
        <v>0</v>
      </c>
      <c r="CT85">
        <v>0</v>
      </c>
      <c r="CU85">
        <v>150762</v>
      </c>
      <c r="CV85">
        <v>0</v>
      </c>
      <c r="CW85">
        <v>0</v>
      </c>
      <c r="CX85">
        <v>0</v>
      </c>
      <c r="CY85">
        <v>0</v>
      </c>
    </row>
    <row r="86" spans="1:103" x14ac:dyDescent="0.3">
      <c r="A86" s="537">
        <v>516</v>
      </c>
      <c r="B86" s="537" t="s">
        <v>220</v>
      </c>
      <c r="D86">
        <v>0</v>
      </c>
      <c r="E86">
        <v>0</v>
      </c>
      <c r="F86">
        <v>0</v>
      </c>
      <c r="G86">
        <v>55899668</v>
      </c>
      <c r="H86">
        <v>0</v>
      </c>
      <c r="I86">
        <v>0</v>
      </c>
      <c r="J86">
        <v>79008763</v>
      </c>
      <c r="K86">
        <v>43448838</v>
      </c>
      <c r="L86">
        <v>38074826</v>
      </c>
      <c r="M86">
        <v>304205352</v>
      </c>
      <c r="N86">
        <v>0</v>
      </c>
      <c r="O86">
        <v>29125983</v>
      </c>
      <c r="P86">
        <v>0</v>
      </c>
      <c r="Q86">
        <v>20832225</v>
      </c>
      <c r="R86">
        <v>30715857</v>
      </c>
      <c r="S86">
        <v>0</v>
      </c>
      <c r="T86">
        <v>0</v>
      </c>
      <c r="U86">
        <v>0</v>
      </c>
      <c r="V86">
        <v>54908709</v>
      </c>
      <c r="W86">
        <v>0</v>
      </c>
      <c r="X86">
        <v>10695956</v>
      </c>
      <c r="Y86">
        <v>11754817</v>
      </c>
      <c r="Z86">
        <v>0</v>
      </c>
      <c r="AA86">
        <v>47579226</v>
      </c>
      <c r="AB86">
        <v>0</v>
      </c>
      <c r="AC86">
        <v>17212349</v>
      </c>
      <c r="AD86">
        <v>16527671</v>
      </c>
      <c r="AE86">
        <v>52593832</v>
      </c>
      <c r="AF86">
        <v>18127698</v>
      </c>
      <c r="AG86">
        <v>40056029</v>
      </c>
      <c r="AH86">
        <v>62141823</v>
      </c>
      <c r="AI86">
        <v>29072626</v>
      </c>
      <c r="AJ86">
        <v>67772195</v>
      </c>
      <c r="AK86">
        <v>0</v>
      </c>
      <c r="AL86">
        <v>50008051</v>
      </c>
      <c r="AM86">
        <v>0</v>
      </c>
      <c r="AN86">
        <v>13900444</v>
      </c>
      <c r="AO86">
        <v>0</v>
      </c>
      <c r="AP86">
        <v>0</v>
      </c>
      <c r="AQ86">
        <v>56814974</v>
      </c>
      <c r="AR86">
        <v>0</v>
      </c>
      <c r="AS86">
        <v>55180228</v>
      </c>
      <c r="AT86">
        <v>414029004</v>
      </c>
      <c r="AU86">
        <v>0</v>
      </c>
      <c r="AV86">
        <v>434523</v>
      </c>
      <c r="AW86">
        <v>18016828</v>
      </c>
      <c r="AX86">
        <v>81181496</v>
      </c>
      <c r="AY86">
        <v>0</v>
      </c>
      <c r="AZ86">
        <v>0</v>
      </c>
      <c r="BA86">
        <v>0</v>
      </c>
      <c r="BB86">
        <v>330621071</v>
      </c>
      <c r="BC86">
        <v>13579908</v>
      </c>
      <c r="BD86">
        <v>0</v>
      </c>
      <c r="BE86">
        <v>0</v>
      </c>
      <c r="BF86">
        <v>80860924</v>
      </c>
      <c r="BG86">
        <v>0</v>
      </c>
      <c r="BH86">
        <v>0</v>
      </c>
      <c r="BI86">
        <v>17813752</v>
      </c>
      <c r="BJ86">
        <v>7263330</v>
      </c>
      <c r="BK86">
        <v>0</v>
      </c>
      <c r="BL86">
        <v>0</v>
      </c>
      <c r="BM86">
        <v>0</v>
      </c>
      <c r="BN86">
        <v>102821135</v>
      </c>
      <c r="BO86">
        <v>0</v>
      </c>
      <c r="BP86">
        <v>0</v>
      </c>
      <c r="BQ86">
        <v>32130284</v>
      </c>
      <c r="BR86">
        <v>0</v>
      </c>
      <c r="BS86">
        <v>0</v>
      </c>
      <c r="BT86">
        <v>12069930</v>
      </c>
      <c r="BU86">
        <v>26834078</v>
      </c>
      <c r="BV86">
        <v>114338790</v>
      </c>
      <c r="BW86">
        <v>18352581</v>
      </c>
      <c r="BX86">
        <v>0</v>
      </c>
      <c r="BY86">
        <v>0</v>
      </c>
      <c r="BZ86">
        <v>11272219</v>
      </c>
      <c r="CA86">
        <v>0</v>
      </c>
      <c r="CB86">
        <v>76283656</v>
      </c>
      <c r="CC86">
        <v>91938506</v>
      </c>
      <c r="CD86">
        <v>0</v>
      </c>
      <c r="CE86">
        <v>0</v>
      </c>
      <c r="CF86">
        <v>0</v>
      </c>
      <c r="CG86">
        <v>36282843</v>
      </c>
      <c r="CH86">
        <v>12374449</v>
      </c>
      <c r="CI86">
        <v>47810859</v>
      </c>
      <c r="CJ86">
        <v>5522972</v>
      </c>
      <c r="CK86">
        <v>12819270</v>
      </c>
      <c r="CL86">
        <v>0</v>
      </c>
      <c r="CM86">
        <v>0</v>
      </c>
      <c r="CN86">
        <v>23506991</v>
      </c>
      <c r="CO86">
        <v>496356835</v>
      </c>
      <c r="CP86">
        <v>16502085</v>
      </c>
      <c r="CQ86">
        <v>0</v>
      </c>
      <c r="CR86">
        <v>45847542</v>
      </c>
      <c r="CS86">
        <v>11102839</v>
      </c>
      <c r="CT86">
        <v>0</v>
      </c>
      <c r="CU86">
        <v>0</v>
      </c>
      <c r="CV86">
        <v>0</v>
      </c>
      <c r="CW86">
        <v>27001853</v>
      </c>
      <c r="CX86">
        <v>13849804</v>
      </c>
      <c r="CY86">
        <v>0</v>
      </c>
    </row>
    <row r="87" spans="1:103" x14ac:dyDescent="0.3">
      <c r="A87" s="537">
        <v>517</v>
      </c>
      <c r="B87" s="537" t="s">
        <v>221</v>
      </c>
      <c r="D87">
        <v>0</v>
      </c>
      <c r="E87">
        <v>27672901</v>
      </c>
      <c r="F87">
        <v>0</v>
      </c>
      <c r="G87">
        <v>0</v>
      </c>
      <c r="H87">
        <v>0</v>
      </c>
      <c r="I87">
        <v>0</v>
      </c>
      <c r="J87">
        <v>0</v>
      </c>
      <c r="K87">
        <v>0</v>
      </c>
      <c r="L87">
        <v>0</v>
      </c>
      <c r="M87">
        <v>0</v>
      </c>
      <c r="N87">
        <v>0</v>
      </c>
      <c r="O87">
        <v>0</v>
      </c>
      <c r="P87">
        <v>0</v>
      </c>
      <c r="Q87">
        <v>0</v>
      </c>
      <c r="R87">
        <v>0</v>
      </c>
      <c r="S87">
        <v>9618564</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17967168</v>
      </c>
      <c r="AZ87">
        <v>0</v>
      </c>
      <c r="BA87">
        <v>0</v>
      </c>
      <c r="BB87">
        <v>0</v>
      </c>
      <c r="BC87">
        <v>0</v>
      </c>
      <c r="BD87">
        <v>0</v>
      </c>
      <c r="BE87">
        <v>0</v>
      </c>
      <c r="BF87">
        <v>935461</v>
      </c>
      <c r="BG87">
        <v>0</v>
      </c>
      <c r="BH87">
        <v>0</v>
      </c>
      <c r="BI87">
        <v>0</v>
      </c>
      <c r="BJ87">
        <v>0</v>
      </c>
      <c r="BK87">
        <v>0</v>
      </c>
      <c r="BL87">
        <v>0</v>
      </c>
      <c r="BM87">
        <v>35969994</v>
      </c>
      <c r="BN87">
        <v>0</v>
      </c>
      <c r="BO87">
        <v>37292240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6072090</v>
      </c>
      <c r="CV87">
        <v>0</v>
      </c>
      <c r="CW87">
        <v>0</v>
      </c>
      <c r="CX87">
        <v>0</v>
      </c>
      <c r="CY87">
        <v>0</v>
      </c>
    </row>
    <row r="88" spans="1:103" x14ac:dyDescent="0.3">
      <c r="A88" s="537">
        <v>518</v>
      </c>
      <c r="B88" s="537" t="s">
        <v>222</v>
      </c>
      <c r="D88">
        <v>0</v>
      </c>
      <c r="E88">
        <v>8500</v>
      </c>
      <c r="F88">
        <v>0</v>
      </c>
      <c r="G88">
        <v>2239066</v>
      </c>
      <c r="H88">
        <v>0</v>
      </c>
      <c r="I88">
        <v>0</v>
      </c>
      <c r="J88">
        <v>1636887</v>
      </c>
      <c r="K88">
        <v>172825</v>
      </c>
      <c r="L88">
        <v>1572418</v>
      </c>
      <c r="M88">
        <v>39851943</v>
      </c>
      <c r="N88">
        <v>0</v>
      </c>
      <c r="O88">
        <v>604667</v>
      </c>
      <c r="P88">
        <v>0</v>
      </c>
      <c r="Q88">
        <v>1710134</v>
      </c>
      <c r="R88">
        <v>800488</v>
      </c>
      <c r="S88">
        <v>234607</v>
      </c>
      <c r="T88">
        <v>0</v>
      </c>
      <c r="U88">
        <v>0</v>
      </c>
      <c r="V88">
        <v>2560370</v>
      </c>
      <c r="W88">
        <v>0</v>
      </c>
      <c r="X88">
        <v>630809</v>
      </c>
      <c r="Y88">
        <v>261873</v>
      </c>
      <c r="Z88">
        <v>0</v>
      </c>
      <c r="AA88">
        <v>894775</v>
      </c>
      <c r="AB88">
        <v>690860</v>
      </c>
      <c r="AC88">
        <v>0</v>
      </c>
      <c r="AD88">
        <v>40615863</v>
      </c>
      <c r="AE88">
        <v>7261325</v>
      </c>
      <c r="AF88">
        <v>127481</v>
      </c>
      <c r="AG88">
        <v>3138150</v>
      </c>
      <c r="AH88">
        <v>425463</v>
      </c>
      <c r="AI88">
        <v>4278613</v>
      </c>
      <c r="AJ88">
        <v>1620737</v>
      </c>
      <c r="AK88">
        <v>0</v>
      </c>
      <c r="AL88">
        <v>3842884</v>
      </c>
      <c r="AM88">
        <v>0</v>
      </c>
      <c r="AN88">
        <v>476553</v>
      </c>
      <c r="AO88">
        <v>0</v>
      </c>
      <c r="AP88">
        <v>0</v>
      </c>
      <c r="AQ88">
        <v>1030908</v>
      </c>
      <c r="AR88">
        <v>0</v>
      </c>
      <c r="AS88">
        <v>3461608</v>
      </c>
      <c r="AT88">
        <v>6989406</v>
      </c>
      <c r="AU88">
        <v>0</v>
      </c>
      <c r="AV88">
        <v>17234</v>
      </c>
      <c r="AW88">
        <v>587029</v>
      </c>
      <c r="AX88">
        <v>3073543</v>
      </c>
      <c r="AY88">
        <v>720183</v>
      </c>
      <c r="AZ88">
        <v>0</v>
      </c>
      <c r="BA88">
        <v>0</v>
      </c>
      <c r="BB88">
        <v>54484181</v>
      </c>
      <c r="BC88">
        <v>442777</v>
      </c>
      <c r="BD88">
        <v>0</v>
      </c>
      <c r="BE88">
        <v>0</v>
      </c>
      <c r="BF88">
        <v>5463768</v>
      </c>
      <c r="BG88">
        <v>0</v>
      </c>
      <c r="BH88">
        <v>0</v>
      </c>
      <c r="BI88">
        <v>376518</v>
      </c>
      <c r="BJ88">
        <v>1144</v>
      </c>
      <c r="BK88">
        <v>0</v>
      </c>
      <c r="BL88">
        <v>0</v>
      </c>
      <c r="BM88">
        <v>4671228</v>
      </c>
      <c r="BN88">
        <v>5062880</v>
      </c>
      <c r="BO88">
        <v>178829</v>
      </c>
      <c r="BP88">
        <v>0</v>
      </c>
      <c r="BQ88">
        <v>770799</v>
      </c>
      <c r="BR88">
        <v>0</v>
      </c>
      <c r="BS88">
        <v>0</v>
      </c>
      <c r="BT88">
        <v>2773922</v>
      </c>
      <c r="BU88">
        <v>1980285</v>
      </c>
      <c r="BV88">
        <v>5399190</v>
      </c>
      <c r="BW88">
        <v>860719</v>
      </c>
      <c r="BX88">
        <v>0</v>
      </c>
      <c r="BY88">
        <v>0</v>
      </c>
      <c r="BZ88">
        <v>0</v>
      </c>
      <c r="CA88">
        <v>0</v>
      </c>
      <c r="CB88">
        <v>2434069</v>
      </c>
      <c r="CC88">
        <v>12789387</v>
      </c>
      <c r="CD88">
        <v>695656</v>
      </c>
      <c r="CE88">
        <v>3372625</v>
      </c>
      <c r="CF88">
        <v>0</v>
      </c>
      <c r="CG88">
        <v>1258454</v>
      </c>
      <c r="CH88">
        <v>8592</v>
      </c>
      <c r="CI88">
        <v>1175655</v>
      </c>
      <c r="CJ88">
        <v>1614193</v>
      </c>
      <c r="CK88">
        <v>0</v>
      </c>
      <c r="CL88">
        <v>0</v>
      </c>
      <c r="CM88">
        <v>0</v>
      </c>
      <c r="CN88">
        <v>616720</v>
      </c>
      <c r="CO88">
        <v>12627112</v>
      </c>
      <c r="CP88">
        <v>0</v>
      </c>
      <c r="CQ88">
        <v>0</v>
      </c>
      <c r="CR88">
        <v>2329420</v>
      </c>
      <c r="CS88">
        <v>494931</v>
      </c>
      <c r="CT88">
        <v>0</v>
      </c>
      <c r="CU88">
        <v>639332</v>
      </c>
      <c r="CV88">
        <v>0</v>
      </c>
      <c r="CW88">
        <v>191479</v>
      </c>
      <c r="CX88">
        <v>0</v>
      </c>
      <c r="CY88">
        <v>0</v>
      </c>
    </row>
    <row r="89" spans="1:103" x14ac:dyDescent="0.3">
      <c r="A89">
        <v>519</v>
      </c>
      <c r="B89" t="s">
        <v>223</v>
      </c>
      <c r="D89">
        <v>0</v>
      </c>
      <c r="E89">
        <v>0</v>
      </c>
      <c r="F89">
        <v>0</v>
      </c>
      <c r="G89">
        <v>132565</v>
      </c>
      <c r="H89">
        <v>0</v>
      </c>
      <c r="I89">
        <v>0</v>
      </c>
      <c r="J89">
        <v>0</v>
      </c>
      <c r="K89">
        <v>0</v>
      </c>
      <c r="L89">
        <v>0</v>
      </c>
      <c r="M89">
        <v>6685254</v>
      </c>
      <c r="N89">
        <v>0</v>
      </c>
      <c r="O89">
        <v>0</v>
      </c>
      <c r="P89">
        <v>0</v>
      </c>
      <c r="Q89">
        <v>6361</v>
      </c>
      <c r="R89">
        <v>0</v>
      </c>
      <c r="S89">
        <v>70642</v>
      </c>
      <c r="T89">
        <v>0</v>
      </c>
      <c r="U89">
        <v>0</v>
      </c>
      <c r="V89">
        <v>51473</v>
      </c>
      <c r="W89">
        <v>0</v>
      </c>
      <c r="X89">
        <v>35514</v>
      </c>
      <c r="Y89">
        <v>2113</v>
      </c>
      <c r="Z89">
        <v>0</v>
      </c>
      <c r="AA89">
        <v>0</v>
      </c>
      <c r="AB89">
        <v>1635534</v>
      </c>
      <c r="AC89">
        <v>0</v>
      </c>
      <c r="AD89">
        <v>1543095</v>
      </c>
      <c r="AE89">
        <v>1301001</v>
      </c>
      <c r="AF89">
        <v>0</v>
      </c>
      <c r="AG89">
        <v>311547</v>
      </c>
      <c r="AH89">
        <v>0</v>
      </c>
      <c r="AI89">
        <v>2372435</v>
      </c>
      <c r="AJ89">
        <v>18383</v>
      </c>
      <c r="AK89">
        <v>0</v>
      </c>
      <c r="AL89">
        <v>0</v>
      </c>
      <c r="AM89">
        <v>0</v>
      </c>
      <c r="AN89">
        <v>0</v>
      </c>
      <c r="AO89">
        <v>0</v>
      </c>
      <c r="AP89">
        <v>0</v>
      </c>
      <c r="AQ89">
        <v>0</v>
      </c>
      <c r="AR89">
        <v>0</v>
      </c>
      <c r="AS89">
        <v>0</v>
      </c>
      <c r="AT89">
        <v>1713186</v>
      </c>
      <c r="AU89">
        <v>0</v>
      </c>
      <c r="AV89">
        <v>0</v>
      </c>
      <c r="AW89">
        <v>8450</v>
      </c>
      <c r="AX89">
        <v>2493</v>
      </c>
      <c r="AY89">
        <v>0</v>
      </c>
      <c r="AZ89">
        <v>0</v>
      </c>
      <c r="BA89">
        <v>0</v>
      </c>
      <c r="BB89">
        <v>0</v>
      </c>
      <c r="BC89">
        <v>0</v>
      </c>
      <c r="BD89">
        <v>0</v>
      </c>
      <c r="BE89">
        <v>0</v>
      </c>
      <c r="BF89">
        <v>1643567</v>
      </c>
      <c r="BG89">
        <v>0</v>
      </c>
      <c r="BH89">
        <v>0</v>
      </c>
      <c r="BI89">
        <v>0</v>
      </c>
      <c r="BJ89">
        <v>0</v>
      </c>
      <c r="BK89">
        <v>0</v>
      </c>
      <c r="BL89">
        <v>0</v>
      </c>
      <c r="BM89">
        <v>137840</v>
      </c>
      <c r="BN89">
        <v>1029195</v>
      </c>
      <c r="BO89">
        <v>0</v>
      </c>
      <c r="BP89">
        <v>0</v>
      </c>
      <c r="BQ89">
        <v>0</v>
      </c>
      <c r="BR89">
        <v>0</v>
      </c>
      <c r="BS89">
        <v>0</v>
      </c>
      <c r="BT89">
        <v>293020</v>
      </c>
      <c r="BU89">
        <v>447838</v>
      </c>
      <c r="BV89">
        <v>0</v>
      </c>
      <c r="BW89">
        <v>0</v>
      </c>
      <c r="BX89">
        <v>0</v>
      </c>
      <c r="BY89">
        <v>0</v>
      </c>
      <c r="BZ89">
        <v>0</v>
      </c>
      <c r="CA89">
        <v>0</v>
      </c>
      <c r="CB89">
        <v>16340</v>
      </c>
      <c r="CC89">
        <v>0</v>
      </c>
      <c r="CD89">
        <v>662835</v>
      </c>
      <c r="CE89">
        <v>0</v>
      </c>
      <c r="CF89">
        <v>0</v>
      </c>
      <c r="CG89">
        <v>0</v>
      </c>
      <c r="CH89">
        <v>0</v>
      </c>
      <c r="CI89">
        <v>0</v>
      </c>
      <c r="CJ89">
        <v>0</v>
      </c>
      <c r="CK89">
        <v>0</v>
      </c>
      <c r="CL89">
        <v>0</v>
      </c>
      <c r="CM89">
        <v>0</v>
      </c>
      <c r="CN89">
        <v>2184</v>
      </c>
      <c r="CO89">
        <v>292893</v>
      </c>
      <c r="CP89">
        <v>0</v>
      </c>
      <c r="CQ89">
        <v>0</v>
      </c>
      <c r="CR89">
        <v>0</v>
      </c>
      <c r="CS89">
        <v>0</v>
      </c>
      <c r="CT89">
        <v>0</v>
      </c>
      <c r="CU89">
        <v>5296</v>
      </c>
      <c r="CV89">
        <v>0</v>
      </c>
      <c r="CW89">
        <v>0</v>
      </c>
      <c r="CX89">
        <v>0</v>
      </c>
      <c r="CY89">
        <v>0</v>
      </c>
    </row>
    <row r="90" spans="1:103" x14ac:dyDescent="0.3">
      <c r="A90">
        <v>520</v>
      </c>
      <c r="B90" t="s">
        <v>224</v>
      </c>
      <c r="D90">
        <v>0</v>
      </c>
      <c r="E90">
        <v>0</v>
      </c>
      <c r="F90">
        <v>0</v>
      </c>
      <c r="G90">
        <v>1265363</v>
      </c>
      <c r="H90">
        <v>0</v>
      </c>
      <c r="I90">
        <v>0</v>
      </c>
      <c r="J90">
        <v>2087715</v>
      </c>
      <c r="K90">
        <v>887186</v>
      </c>
      <c r="L90">
        <v>1627356</v>
      </c>
      <c r="M90">
        <v>5886041</v>
      </c>
      <c r="N90">
        <v>0</v>
      </c>
      <c r="O90">
        <v>804660</v>
      </c>
      <c r="P90">
        <v>0</v>
      </c>
      <c r="Q90">
        <v>178446</v>
      </c>
      <c r="R90">
        <v>635181</v>
      </c>
      <c r="S90">
        <v>0</v>
      </c>
      <c r="T90">
        <v>0</v>
      </c>
      <c r="U90">
        <v>0</v>
      </c>
      <c r="V90">
        <v>1172502</v>
      </c>
      <c r="W90">
        <v>0</v>
      </c>
      <c r="X90">
        <v>283053</v>
      </c>
      <c r="Y90">
        <v>484183</v>
      </c>
      <c r="Z90">
        <v>0</v>
      </c>
      <c r="AA90">
        <v>1346730</v>
      </c>
      <c r="AB90">
        <v>0</v>
      </c>
      <c r="AC90">
        <v>419962</v>
      </c>
      <c r="AD90">
        <v>448142</v>
      </c>
      <c r="AE90">
        <v>1996919</v>
      </c>
      <c r="AF90">
        <v>362343</v>
      </c>
      <c r="AG90">
        <v>349181</v>
      </c>
      <c r="AH90">
        <v>1258048</v>
      </c>
      <c r="AI90">
        <v>555636</v>
      </c>
      <c r="AJ90">
        <v>1360398</v>
      </c>
      <c r="AK90">
        <v>0</v>
      </c>
      <c r="AL90">
        <v>1393130</v>
      </c>
      <c r="AM90">
        <v>0</v>
      </c>
      <c r="AN90">
        <v>278323</v>
      </c>
      <c r="AO90">
        <v>0</v>
      </c>
      <c r="AP90">
        <v>0</v>
      </c>
      <c r="AQ90">
        <v>1168778</v>
      </c>
      <c r="AR90">
        <v>0</v>
      </c>
      <c r="AS90">
        <v>1551550</v>
      </c>
      <c r="AT90">
        <v>10019903</v>
      </c>
      <c r="AU90">
        <v>0</v>
      </c>
      <c r="AV90">
        <v>10863</v>
      </c>
      <c r="AW90">
        <v>364710</v>
      </c>
      <c r="AX90">
        <v>1900967</v>
      </c>
      <c r="AY90">
        <v>0</v>
      </c>
      <c r="AZ90">
        <v>0</v>
      </c>
      <c r="BA90">
        <v>0</v>
      </c>
      <c r="BB90">
        <v>6683605</v>
      </c>
      <c r="BC90">
        <v>430145</v>
      </c>
      <c r="BD90">
        <v>0</v>
      </c>
      <c r="BE90">
        <v>0</v>
      </c>
      <c r="BF90">
        <v>1880178</v>
      </c>
      <c r="BG90">
        <v>0</v>
      </c>
      <c r="BH90">
        <v>0</v>
      </c>
      <c r="BI90">
        <v>356305</v>
      </c>
      <c r="BJ90">
        <v>145140</v>
      </c>
      <c r="BK90">
        <v>0</v>
      </c>
      <c r="BL90">
        <v>0</v>
      </c>
      <c r="BM90">
        <v>0</v>
      </c>
      <c r="BN90">
        <v>3873913</v>
      </c>
      <c r="BO90">
        <v>0</v>
      </c>
      <c r="BP90">
        <v>0</v>
      </c>
      <c r="BQ90">
        <v>643303</v>
      </c>
      <c r="BR90">
        <v>0</v>
      </c>
      <c r="BS90">
        <v>0</v>
      </c>
      <c r="BT90">
        <v>345268</v>
      </c>
      <c r="BU90">
        <v>727368</v>
      </c>
      <c r="BV90">
        <v>3241635</v>
      </c>
      <c r="BW90">
        <v>390721</v>
      </c>
      <c r="BX90">
        <v>0</v>
      </c>
      <c r="BY90">
        <v>0</v>
      </c>
      <c r="BZ90">
        <v>233205</v>
      </c>
      <c r="CA90">
        <v>0</v>
      </c>
      <c r="CB90">
        <v>2631820</v>
      </c>
      <c r="CC90">
        <v>5261487</v>
      </c>
      <c r="CD90">
        <v>0</v>
      </c>
      <c r="CE90">
        <v>0</v>
      </c>
      <c r="CF90">
        <v>0</v>
      </c>
      <c r="CG90">
        <v>901208</v>
      </c>
      <c r="CH90">
        <v>327589</v>
      </c>
      <c r="CI90">
        <v>951744</v>
      </c>
      <c r="CJ90">
        <v>180273</v>
      </c>
      <c r="CK90">
        <v>320481</v>
      </c>
      <c r="CL90">
        <v>0</v>
      </c>
      <c r="CM90">
        <v>0</v>
      </c>
      <c r="CN90">
        <v>477643</v>
      </c>
      <c r="CO90">
        <v>17843516</v>
      </c>
      <c r="CP90">
        <v>416719</v>
      </c>
      <c r="CQ90">
        <v>0</v>
      </c>
      <c r="CR90">
        <v>1212965</v>
      </c>
      <c r="CS90">
        <v>240375</v>
      </c>
      <c r="CT90">
        <v>0</v>
      </c>
      <c r="CU90">
        <v>0</v>
      </c>
      <c r="CV90">
        <v>0</v>
      </c>
      <c r="CW90">
        <v>648512</v>
      </c>
      <c r="CX90">
        <v>395916</v>
      </c>
      <c r="CY90">
        <v>0</v>
      </c>
    </row>
    <row r="91" spans="1:103" x14ac:dyDescent="0.3">
      <c r="A91">
        <v>521</v>
      </c>
      <c r="B91" t="s">
        <v>225</v>
      </c>
      <c r="D91">
        <v>0</v>
      </c>
      <c r="E91">
        <v>989976</v>
      </c>
      <c r="F91">
        <v>0</v>
      </c>
      <c r="G91">
        <v>0</v>
      </c>
      <c r="H91">
        <v>0</v>
      </c>
      <c r="I91">
        <v>0</v>
      </c>
      <c r="J91">
        <v>0</v>
      </c>
      <c r="K91">
        <v>0</v>
      </c>
      <c r="L91">
        <v>0</v>
      </c>
      <c r="M91">
        <v>0</v>
      </c>
      <c r="N91">
        <v>0</v>
      </c>
      <c r="O91">
        <v>0</v>
      </c>
      <c r="P91">
        <v>0</v>
      </c>
      <c r="Q91">
        <v>0</v>
      </c>
      <c r="R91">
        <v>0</v>
      </c>
      <c r="S91">
        <v>277548</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386161</v>
      </c>
      <c r="AZ91">
        <v>0</v>
      </c>
      <c r="BA91">
        <v>0</v>
      </c>
      <c r="BB91">
        <v>0</v>
      </c>
      <c r="BC91">
        <v>0</v>
      </c>
      <c r="BD91">
        <v>0</v>
      </c>
      <c r="BE91">
        <v>0</v>
      </c>
      <c r="BF91">
        <v>40898</v>
      </c>
      <c r="BG91">
        <v>0</v>
      </c>
      <c r="BH91">
        <v>0</v>
      </c>
      <c r="BI91">
        <v>0</v>
      </c>
      <c r="BJ91">
        <v>0</v>
      </c>
      <c r="BK91">
        <v>0</v>
      </c>
      <c r="BL91">
        <v>0</v>
      </c>
      <c r="BM91">
        <v>869340</v>
      </c>
      <c r="BN91">
        <v>0</v>
      </c>
      <c r="BO91">
        <v>882919</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114469</v>
      </c>
      <c r="CV91">
        <v>0</v>
      </c>
      <c r="CW91">
        <v>0</v>
      </c>
      <c r="CX91">
        <v>0</v>
      </c>
      <c r="CY91">
        <v>0</v>
      </c>
    </row>
    <row r="92" spans="1:103" x14ac:dyDescent="0.3">
      <c r="A92">
        <v>522</v>
      </c>
      <c r="B92" t="s">
        <v>226</v>
      </c>
      <c r="D92">
        <v>0</v>
      </c>
      <c r="E92">
        <v>0</v>
      </c>
      <c r="F92">
        <v>0</v>
      </c>
      <c r="G92">
        <v>160795</v>
      </c>
      <c r="H92">
        <v>0</v>
      </c>
      <c r="I92">
        <v>0</v>
      </c>
      <c r="J92">
        <v>151094</v>
      </c>
      <c r="K92">
        <v>0</v>
      </c>
      <c r="L92">
        <v>122939</v>
      </c>
      <c r="M92">
        <v>2628763</v>
      </c>
      <c r="N92">
        <v>0</v>
      </c>
      <c r="O92">
        <v>27482</v>
      </c>
      <c r="P92">
        <v>0</v>
      </c>
      <c r="Q92">
        <v>166643</v>
      </c>
      <c r="R92">
        <v>20778</v>
      </c>
      <c r="S92">
        <v>8997</v>
      </c>
      <c r="T92">
        <v>0</v>
      </c>
      <c r="U92">
        <v>0</v>
      </c>
      <c r="V92">
        <v>152748</v>
      </c>
      <c r="W92">
        <v>0</v>
      </c>
      <c r="X92">
        <v>23469</v>
      </c>
      <c r="Y92">
        <v>15823</v>
      </c>
      <c r="Z92">
        <v>0</v>
      </c>
      <c r="AA92">
        <v>52281</v>
      </c>
      <c r="AB92">
        <v>71603</v>
      </c>
      <c r="AC92">
        <v>0</v>
      </c>
      <c r="AD92">
        <v>1403959</v>
      </c>
      <c r="AE92">
        <v>330821</v>
      </c>
      <c r="AF92">
        <v>10257</v>
      </c>
      <c r="AG92">
        <v>190981</v>
      </c>
      <c r="AH92">
        <v>0</v>
      </c>
      <c r="AI92">
        <v>612904</v>
      </c>
      <c r="AJ92">
        <v>114236</v>
      </c>
      <c r="AK92">
        <v>0</v>
      </c>
      <c r="AL92">
        <v>322491</v>
      </c>
      <c r="AM92">
        <v>0</v>
      </c>
      <c r="AN92">
        <v>20158</v>
      </c>
      <c r="AO92">
        <v>0</v>
      </c>
      <c r="AP92">
        <v>0</v>
      </c>
      <c r="AQ92">
        <v>77360</v>
      </c>
      <c r="AR92">
        <v>0</v>
      </c>
      <c r="AS92">
        <v>238003</v>
      </c>
      <c r="AT92">
        <v>979238</v>
      </c>
      <c r="AU92">
        <v>0</v>
      </c>
      <c r="AV92">
        <v>0</v>
      </c>
      <c r="AW92">
        <v>24128</v>
      </c>
      <c r="AX92">
        <v>175950</v>
      </c>
      <c r="AY92">
        <v>42974</v>
      </c>
      <c r="AZ92">
        <v>0</v>
      </c>
      <c r="BA92">
        <v>0</v>
      </c>
      <c r="BB92">
        <v>1712902</v>
      </c>
      <c r="BC92">
        <v>12330</v>
      </c>
      <c r="BD92">
        <v>0</v>
      </c>
      <c r="BE92">
        <v>0</v>
      </c>
      <c r="BF92">
        <v>316449</v>
      </c>
      <c r="BG92">
        <v>0</v>
      </c>
      <c r="BH92">
        <v>0</v>
      </c>
      <c r="BI92">
        <v>31928</v>
      </c>
      <c r="BJ92">
        <v>0</v>
      </c>
      <c r="BK92">
        <v>0</v>
      </c>
      <c r="BL92">
        <v>0</v>
      </c>
      <c r="BM92">
        <v>152683</v>
      </c>
      <c r="BN92">
        <v>384650</v>
      </c>
      <c r="BO92">
        <v>5372</v>
      </c>
      <c r="BP92">
        <v>0</v>
      </c>
      <c r="BQ92">
        <v>29530</v>
      </c>
      <c r="BR92">
        <v>0</v>
      </c>
      <c r="BS92">
        <v>0</v>
      </c>
      <c r="BT92">
        <v>135198</v>
      </c>
      <c r="BU92">
        <v>139999</v>
      </c>
      <c r="BV92">
        <v>478060</v>
      </c>
      <c r="BW92">
        <v>32559</v>
      </c>
      <c r="BX92">
        <v>0</v>
      </c>
      <c r="BY92">
        <v>0</v>
      </c>
      <c r="BZ92">
        <v>0</v>
      </c>
      <c r="CA92">
        <v>0</v>
      </c>
      <c r="CB92">
        <v>60612</v>
      </c>
      <c r="CC92">
        <v>27796</v>
      </c>
      <c r="CD92">
        <v>70762</v>
      </c>
      <c r="CE92">
        <v>82984</v>
      </c>
      <c r="CF92">
        <v>0</v>
      </c>
      <c r="CG92">
        <v>79711</v>
      </c>
      <c r="CH92">
        <v>856</v>
      </c>
      <c r="CI92">
        <v>77071</v>
      </c>
      <c r="CJ92">
        <v>50071</v>
      </c>
      <c r="CK92">
        <v>0</v>
      </c>
      <c r="CL92">
        <v>0</v>
      </c>
      <c r="CM92">
        <v>0</v>
      </c>
      <c r="CN92">
        <v>40475</v>
      </c>
      <c r="CO92">
        <v>906417</v>
      </c>
      <c r="CP92">
        <v>0</v>
      </c>
      <c r="CQ92">
        <v>0</v>
      </c>
      <c r="CR92">
        <v>73560</v>
      </c>
      <c r="CS92">
        <v>18548</v>
      </c>
      <c r="CT92">
        <v>0</v>
      </c>
      <c r="CU92">
        <v>35108</v>
      </c>
      <c r="CV92">
        <v>0</v>
      </c>
      <c r="CW92">
        <v>10433</v>
      </c>
      <c r="CX92">
        <v>0</v>
      </c>
      <c r="CY92">
        <v>0</v>
      </c>
    </row>
    <row r="93" spans="1:103" x14ac:dyDescent="0.3">
      <c r="A93" s="918">
        <v>523</v>
      </c>
      <c r="B93" s="918" t="s">
        <v>227</v>
      </c>
      <c r="D93">
        <v>0</v>
      </c>
      <c r="E93">
        <v>0</v>
      </c>
      <c r="F93">
        <v>0</v>
      </c>
      <c r="G93">
        <v>4324112</v>
      </c>
      <c r="H93">
        <v>0</v>
      </c>
      <c r="I93">
        <v>0</v>
      </c>
      <c r="J93">
        <v>0</v>
      </c>
      <c r="K93">
        <v>0</v>
      </c>
      <c r="L93">
        <v>0</v>
      </c>
      <c r="M93">
        <v>85939180</v>
      </c>
      <c r="N93">
        <v>0</v>
      </c>
      <c r="O93">
        <v>411551</v>
      </c>
      <c r="P93">
        <v>0</v>
      </c>
      <c r="Q93">
        <v>48147</v>
      </c>
      <c r="R93">
        <v>0</v>
      </c>
      <c r="S93">
        <v>1318652</v>
      </c>
      <c r="T93">
        <v>0</v>
      </c>
      <c r="U93">
        <v>0</v>
      </c>
      <c r="V93">
        <v>5323926</v>
      </c>
      <c r="W93">
        <v>0</v>
      </c>
      <c r="X93">
        <v>1262695</v>
      </c>
      <c r="Y93">
        <v>7394</v>
      </c>
      <c r="Z93">
        <v>0</v>
      </c>
      <c r="AA93">
        <v>0</v>
      </c>
      <c r="AB93">
        <v>24751057</v>
      </c>
      <c r="AC93">
        <v>0</v>
      </c>
      <c r="AD93">
        <v>22715720</v>
      </c>
      <c r="AE93">
        <v>31891572</v>
      </c>
      <c r="AF93">
        <v>0</v>
      </c>
      <c r="AG93">
        <v>8328740</v>
      </c>
      <c r="AH93">
        <v>0</v>
      </c>
      <c r="AI93">
        <v>16913499</v>
      </c>
      <c r="AJ93">
        <v>314727</v>
      </c>
      <c r="AK93">
        <v>0</v>
      </c>
      <c r="AL93">
        <v>0</v>
      </c>
      <c r="AM93">
        <v>0</v>
      </c>
      <c r="AN93">
        <v>0</v>
      </c>
      <c r="AO93">
        <v>0</v>
      </c>
      <c r="AP93">
        <v>0</v>
      </c>
      <c r="AQ93">
        <v>0</v>
      </c>
      <c r="AR93">
        <v>0</v>
      </c>
      <c r="AS93">
        <v>0</v>
      </c>
      <c r="AT93">
        <v>6887764</v>
      </c>
      <c r="AU93">
        <v>0</v>
      </c>
      <c r="AV93">
        <v>0</v>
      </c>
      <c r="AW93">
        <v>41941</v>
      </c>
      <c r="AX93">
        <v>33231</v>
      </c>
      <c r="AY93">
        <v>0</v>
      </c>
      <c r="AZ93">
        <v>0</v>
      </c>
      <c r="BA93">
        <v>0</v>
      </c>
      <c r="BB93">
        <v>0</v>
      </c>
      <c r="BC93">
        <v>0</v>
      </c>
      <c r="BD93">
        <v>0</v>
      </c>
      <c r="BE93">
        <v>0</v>
      </c>
      <c r="BF93">
        <v>17534689</v>
      </c>
      <c r="BG93">
        <v>0</v>
      </c>
      <c r="BH93">
        <v>0</v>
      </c>
      <c r="BI93">
        <v>0</v>
      </c>
      <c r="BJ93">
        <v>0</v>
      </c>
      <c r="BK93">
        <v>0</v>
      </c>
      <c r="BL93">
        <v>0</v>
      </c>
      <c r="BM93">
        <v>5201448</v>
      </c>
      <c r="BN93">
        <v>11840927</v>
      </c>
      <c r="BO93">
        <v>0</v>
      </c>
      <c r="BP93">
        <v>0</v>
      </c>
      <c r="BQ93">
        <v>0</v>
      </c>
      <c r="BR93">
        <v>0</v>
      </c>
      <c r="BS93">
        <v>0</v>
      </c>
      <c r="BT93">
        <v>4581340</v>
      </c>
      <c r="BU93">
        <v>6021853</v>
      </c>
      <c r="BV93">
        <v>0</v>
      </c>
      <c r="BW93">
        <v>0</v>
      </c>
      <c r="BX93">
        <v>0</v>
      </c>
      <c r="BY93">
        <v>0</v>
      </c>
      <c r="BZ93">
        <v>0</v>
      </c>
      <c r="CA93">
        <v>0</v>
      </c>
      <c r="CB93">
        <v>99198</v>
      </c>
      <c r="CC93">
        <v>1379921</v>
      </c>
      <c r="CD93">
        <v>9478872</v>
      </c>
      <c r="CE93">
        <v>0</v>
      </c>
      <c r="CF93">
        <v>0</v>
      </c>
      <c r="CG93">
        <v>0</v>
      </c>
      <c r="CH93">
        <v>0</v>
      </c>
      <c r="CI93">
        <v>0</v>
      </c>
      <c r="CJ93">
        <v>0</v>
      </c>
      <c r="CK93">
        <v>0</v>
      </c>
      <c r="CL93">
        <v>0</v>
      </c>
      <c r="CM93">
        <v>0</v>
      </c>
      <c r="CN93">
        <v>16885</v>
      </c>
      <c r="CO93">
        <v>2139911</v>
      </c>
      <c r="CP93">
        <v>0</v>
      </c>
      <c r="CQ93">
        <v>0</v>
      </c>
      <c r="CR93">
        <v>0</v>
      </c>
      <c r="CS93">
        <v>0</v>
      </c>
      <c r="CT93">
        <v>0</v>
      </c>
      <c r="CU93">
        <v>48415</v>
      </c>
      <c r="CV93">
        <v>0</v>
      </c>
      <c r="CW93">
        <v>0</v>
      </c>
      <c r="CX93">
        <v>0</v>
      </c>
      <c r="CY93">
        <v>0</v>
      </c>
    </row>
    <row r="94" spans="1:103" x14ac:dyDescent="0.3">
      <c r="A94" s="918">
        <v>524</v>
      </c>
      <c r="B94" s="918" t="s">
        <v>228</v>
      </c>
      <c r="D94">
        <v>0</v>
      </c>
      <c r="E94">
        <v>0</v>
      </c>
      <c r="F94">
        <v>0</v>
      </c>
      <c r="G94">
        <v>35831979</v>
      </c>
      <c r="H94">
        <v>0</v>
      </c>
      <c r="I94">
        <v>0</v>
      </c>
      <c r="J94">
        <v>28477240</v>
      </c>
      <c r="K94">
        <v>14683187</v>
      </c>
      <c r="L94">
        <v>14056233</v>
      </c>
      <c r="M94">
        <v>84726519</v>
      </c>
      <c r="N94">
        <v>0</v>
      </c>
      <c r="O94">
        <v>14895812</v>
      </c>
      <c r="P94">
        <v>0</v>
      </c>
      <c r="Q94">
        <v>15707105</v>
      </c>
      <c r="R94">
        <v>8849074</v>
      </c>
      <c r="S94">
        <v>0</v>
      </c>
      <c r="T94">
        <v>0</v>
      </c>
      <c r="U94">
        <v>0</v>
      </c>
      <c r="V94">
        <v>17811320</v>
      </c>
      <c r="W94">
        <v>0</v>
      </c>
      <c r="X94">
        <v>8252587</v>
      </c>
      <c r="Y94">
        <v>8118404</v>
      </c>
      <c r="Z94">
        <v>0</v>
      </c>
      <c r="AA94">
        <v>19828549</v>
      </c>
      <c r="AB94">
        <v>0</v>
      </c>
      <c r="AC94">
        <v>5646037</v>
      </c>
      <c r="AD94">
        <v>5985557</v>
      </c>
      <c r="AE94">
        <v>28169783</v>
      </c>
      <c r="AF94">
        <v>4520461</v>
      </c>
      <c r="AG94">
        <v>11593159</v>
      </c>
      <c r="AH94">
        <v>23900332</v>
      </c>
      <c r="AI94">
        <v>20957541</v>
      </c>
      <c r="AJ94">
        <v>16417895</v>
      </c>
      <c r="AK94">
        <v>0</v>
      </c>
      <c r="AL94">
        <v>22569068</v>
      </c>
      <c r="AM94">
        <v>0</v>
      </c>
      <c r="AN94">
        <v>6613397</v>
      </c>
      <c r="AO94">
        <v>0</v>
      </c>
      <c r="AP94">
        <v>0</v>
      </c>
      <c r="AQ94">
        <v>16917398</v>
      </c>
      <c r="AR94">
        <v>0</v>
      </c>
      <c r="AS94">
        <v>30532054</v>
      </c>
      <c r="AT94">
        <v>131320916</v>
      </c>
      <c r="AU94">
        <v>0</v>
      </c>
      <c r="AV94">
        <v>260714</v>
      </c>
      <c r="AW94">
        <v>6946525</v>
      </c>
      <c r="AX94">
        <v>22512664</v>
      </c>
      <c r="AY94">
        <v>0</v>
      </c>
      <c r="AZ94">
        <v>0</v>
      </c>
      <c r="BA94">
        <v>0</v>
      </c>
      <c r="BB94">
        <v>136934214</v>
      </c>
      <c r="BC94">
        <v>7413515</v>
      </c>
      <c r="BD94">
        <v>0</v>
      </c>
      <c r="BE94">
        <v>0</v>
      </c>
      <c r="BF94">
        <v>30426027</v>
      </c>
      <c r="BG94">
        <v>0</v>
      </c>
      <c r="BH94">
        <v>0</v>
      </c>
      <c r="BI94">
        <v>5012579</v>
      </c>
      <c r="BJ94">
        <v>1394267</v>
      </c>
      <c r="BK94">
        <v>0</v>
      </c>
      <c r="BL94">
        <v>0</v>
      </c>
      <c r="BM94">
        <v>0</v>
      </c>
      <c r="BN94">
        <v>55881048</v>
      </c>
      <c r="BO94">
        <v>0</v>
      </c>
      <c r="BP94">
        <v>0</v>
      </c>
      <c r="BQ94">
        <v>12735919</v>
      </c>
      <c r="BR94">
        <v>0</v>
      </c>
      <c r="BS94">
        <v>0</v>
      </c>
      <c r="BT94">
        <v>4983171</v>
      </c>
      <c r="BU94">
        <v>15218543</v>
      </c>
      <c r="BV94">
        <v>22705524</v>
      </c>
      <c r="BW94">
        <v>10576690</v>
      </c>
      <c r="BX94">
        <v>0</v>
      </c>
      <c r="BY94">
        <v>0</v>
      </c>
      <c r="BZ94">
        <v>2654695</v>
      </c>
      <c r="CA94">
        <v>0</v>
      </c>
      <c r="CB94">
        <v>43754810</v>
      </c>
      <c r="CC94">
        <v>62365150</v>
      </c>
      <c r="CD94">
        <v>0</v>
      </c>
      <c r="CE94">
        <v>0</v>
      </c>
      <c r="CF94">
        <v>0</v>
      </c>
      <c r="CG94">
        <v>15387100</v>
      </c>
      <c r="CH94">
        <v>6119563</v>
      </c>
      <c r="CI94">
        <v>27521941</v>
      </c>
      <c r="CJ94">
        <v>1911119</v>
      </c>
      <c r="CK94">
        <v>2902301</v>
      </c>
      <c r="CL94">
        <v>0</v>
      </c>
      <c r="CM94">
        <v>0</v>
      </c>
      <c r="CN94">
        <v>6566904</v>
      </c>
      <c r="CO94">
        <v>233356519</v>
      </c>
      <c r="CP94">
        <v>2446840</v>
      </c>
      <c r="CQ94">
        <v>0</v>
      </c>
      <c r="CR94">
        <v>19774227</v>
      </c>
      <c r="CS94">
        <v>5422243</v>
      </c>
      <c r="CT94">
        <v>0</v>
      </c>
      <c r="CU94">
        <v>0</v>
      </c>
      <c r="CV94">
        <v>0</v>
      </c>
      <c r="CW94">
        <v>10491912</v>
      </c>
      <c r="CX94">
        <v>4750289</v>
      </c>
      <c r="CY94">
        <v>0</v>
      </c>
    </row>
    <row r="95" spans="1:103" x14ac:dyDescent="0.3">
      <c r="A95" s="918">
        <v>525</v>
      </c>
      <c r="B95" s="918" t="s">
        <v>229</v>
      </c>
      <c r="D95">
        <v>0</v>
      </c>
      <c r="E95">
        <v>14281752</v>
      </c>
      <c r="F95">
        <v>0</v>
      </c>
      <c r="G95">
        <v>0</v>
      </c>
      <c r="H95">
        <v>0</v>
      </c>
      <c r="I95">
        <v>0</v>
      </c>
      <c r="J95">
        <v>0</v>
      </c>
      <c r="K95">
        <v>0</v>
      </c>
      <c r="L95">
        <v>0</v>
      </c>
      <c r="M95">
        <v>0</v>
      </c>
      <c r="N95">
        <v>0</v>
      </c>
      <c r="O95">
        <v>0</v>
      </c>
      <c r="P95">
        <v>0</v>
      </c>
      <c r="Q95">
        <v>0</v>
      </c>
      <c r="R95">
        <v>0</v>
      </c>
      <c r="S95">
        <v>5243544</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9056848</v>
      </c>
      <c r="AZ95">
        <v>0</v>
      </c>
      <c r="BA95">
        <v>0</v>
      </c>
      <c r="BB95">
        <v>0</v>
      </c>
      <c r="BC95">
        <v>0</v>
      </c>
      <c r="BD95">
        <v>0</v>
      </c>
      <c r="BE95">
        <v>0</v>
      </c>
      <c r="BF95">
        <v>540909</v>
      </c>
      <c r="BG95">
        <v>0</v>
      </c>
      <c r="BH95">
        <v>0</v>
      </c>
      <c r="BI95">
        <v>0</v>
      </c>
      <c r="BJ95">
        <v>0</v>
      </c>
      <c r="BK95">
        <v>0</v>
      </c>
      <c r="BL95">
        <v>0</v>
      </c>
      <c r="BM95">
        <v>18900196</v>
      </c>
      <c r="BN95">
        <v>0</v>
      </c>
      <c r="BO95">
        <v>8614348</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2746506</v>
      </c>
      <c r="CV95">
        <v>0</v>
      </c>
      <c r="CW95">
        <v>0</v>
      </c>
      <c r="CX95">
        <v>0</v>
      </c>
      <c r="CY95">
        <v>0</v>
      </c>
    </row>
    <row r="96" spans="1:103" x14ac:dyDescent="0.3">
      <c r="A96" s="918">
        <v>526</v>
      </c>
      <c r="B96" s="918" t="s">
        <v>230</v>
      </c>
      <c r="D96">
        <v>0</v>
      </c>
      <c r="E96">
        <v>8500</v>
      </c>
      <c r="F96">
        <v>0</v>
      </c>
      <c r="G96">
        <v>1971016</v>
      </c>
      <c r="H96">
        <v>0</v>
      </c>
      <c r="I96">
        <v>0</v>
      </c>
      <c r="J96">
        <v>781089</v>
      </c>
      <c r="K96">
        <v>172825</v>
      </c>
      <c r="L96">
        <v>1309441</v>
      </c>
      <c r="M96">
        <v>21139481</v>
      </c>
      <c r="N96">
        <v>0</v>
      </c>
      <c r="O96">
        <v>494294</v>
      </c>
      <c r="P96">
        <v>0</v>
      </c>
      <c r="Q96">
        <v>1623223</v>
      </c>
      <c r="R96">
        <v>242312</v>
      </c>
      <c r="S96">
        <v>230820</v>
      </c>
      <c r="T96">
        <v>0</v>
      </c>
      <c r="U96">
        <v>0</v>
      </c>
      <c r="V96">
        <v>1795670</v>
      </c>
      <c r="W96">
        <v>0</v>
      </c>
      <c r="X96">
        <v>519746</v>
      </c>
      <c r="Y96">
        <v>194817</v>
      </c>
      <c r="Z96">
        <v>0</v>
      </c>
      <c r="AA96">
        <v>603931</v>
      </c>
      <c r="AB96">
        <v>494853</v>
      </c>
      <c r="AC96">
        <v>0</v>
      </c>
      <c r="AD96">
        <v>28081577</v>
      </c>
      <c r="AE96">
        <v>6141624</v>
      </c>
      <c r="AF96">
        <v>87310</v>
      </c>
      <c r="AG96">
        <v>2604655</v>
      </c>
      <c r="AH96">
        <v>345529</v>
      </c>
      <c r="AI96">
        <v>2145362</v>
      </c>
      <c r="AJ96">
        <v>1321345</v>
      </c>
      <c r="AK96">
        <v>0</v>
      </c>
      <c r="AL96">
        <v>2842078</v>
      </c>
      <c r="AM96">
        <v>0</v>
      </c>
      <c r="AN96">
        <v>419349</v>
      </c>
      <c r="AO96">
        <v>0</v>
      </c>
      <c r="AP96">
        <v>0</v>
      </c>
      <c r="AQ96">
        <v>683950</v>
      </c>
      <c r="AR96">
        <v>0</v>
      </c>
      <c r="AS96">
        <v>2934829</v>
      </c>
      <c r="AT96">
        <v>6104655</v>
      </c>
      <c r="AU96">
        <v>0</v>
      </c>
      <c r="AV96">
        <v>17234</v>
      </c>
      <c r="AW96">
        <v>333408</v>
      </c>
      <c r="AX96">
        <v>2061673</v>
      </c>
      <c r="AY96">
        <v>497310</v>
      </c>
      <c r="AZ96">
        <v>0</v>
      </c>
      <c r="BA96">
        <v>0</v>
      </c>
      <c r="BB96">
        <v>25251681</v>
      </c>
      <c r="BC96">
        <v>413830</v>
      </c>
      <c r="BD96">
        <v>0</v>
      </c>
      <c r="BE96">
        <v>0</v>
      </c>
      <c r="BF96">
        <v>4021623</v>
      </c>
      <c r="BG96">
        <v>0</v>
      </c>
      <c r="BH96">
        <v>0</v>
      </c>
      <c r="BI96">
        <v>264285</v>
      </c>
      <c r="BJ96">
        <v>1144</v>
      </c>
      <c r="BK96">
        <v>0</v>
      </c>
      <c r="BL96">
        <v>0</v>
      </c>
      <c r="BM96">
        <v>1930253</v>
      </c>
      <c r="BN96">
        <v>3900048</v>
      </c>
      <c r="BO96">
        <v>163564</v>
      </c>
      <c r="BP96">
        <v>0</v>
      </c>
      <c r="BQ96">
        <v>702614</v>
      </c>
      <c r="BR96">
        <v>0</v>
      </c>
      <c r="BS96">
        <v>0</v>
      </c>
      <c r="BT96">
        <v>1834837</v>
      </c>
      <c r="BU96">
        <v>1544401</v>
      </c>
      <c r="BV96">
        <v>3300784</v>
      </c>
      <c r="BW96">
        <v>688683</v>
      </c>
      <c r="BX96">
        <v>0</v>
      </c>
      <c r="BY96">
        <v>0</v>
      </c>
      <c r="BZ96">
        <v>0</v>
      </c>
      <c r="CA96">
        <v>0</v>
      </c>
      <c r="CB96">
        <v>2320225</v>
      </c>
      <c r="CC96">
        <v>12676754</v>
      </c>
      <c r="CD96">
        <v>329427</v>
      </c>
      <c r="CE96">
        <v>267705</v>
      </c>
      <c r="CF96">
        <v>0</v>
      </c>
      <c r="CG96">
        <v>607190</v>
      </c>
      <c r="CH96">
        <v>7657</v>
      </c>
      <c r="CI96">
        <v>993184</v>
      </c>
      <c r="CJ96">
        <v>616895</v>
      </c>
      <c r="CK96">
        <v>0</v>
      </c>
      <c r="CL96">
        <v>0</v>
      </c>
      <c r="CM96">
        <v>0</v>
      </c>
      <c r="CN96">
        <v>528920</v>
      </c>
      <c r="CO96">
        <v>8605588</v>
      </c>
      <c r="CP96">
        <v>0</v>
      </c>
      <c r="CQ96">
        <v>0</v>
      </c>
      <c r="CR96">
        <v>733071</v>
      </c>
      <c r="CS96">
        <v>403142</v>
      </c>
      <c r="CT96">
        <v>0</v>
      </c>
      <c r="CU96">
        <v>331550</v>
      </c>
      <c r="CV96">
        <v>0</v>
      </c>
      <c r="CW96">
        <v>122965</v>
      </c>
      <c r="CX96">
        <v>0</v>
      </c>
      <c r="CY96">
        <v>0</v>
      </c>
    </row>
    <row r="97" spans="1:103" x14ac:dyDescent="0.3">
      <c r="A97">
        <v>528</v>
      </c>
      <c r="B97" t="s">
        <v>214</v>
      </c>
      <c r="D97">
        <v>91529092</v>
      </c>
      <c r="E97">
        <v>19314262</v>
      </c>
      <c r="F97">
        <v>10713958</v>
      </c>
      <c r="G97">
        <v>14545023</v>
      </c>
      <c r="H97">
        <v>19856637</v>
      </c>
      <c r="I97">
        <v>19513269</v>
      </c>
      <c r="J97">
        <v>34622602</v>
      </c>
      <c r="K97">
        <v>10474043</v>
      </c>
      <c r="L97">
        <v>22593015</v>
      </c>
      <c r="M97">
        <v>143137171</v>
      </c>
      <c r="N97">
        <v>222457138</v>
      </c>
      <c r="O97">
        <v>46896938</v>
      </c>
      <c r="P97">
        <v>202923600</v>
      </c>
      <c r="Q97">
        <v>47829703</v>
      </c>
      <c r="R97">
        <v>9445854</v>
      </c>
      <c r="S97">
        <v>52085903</v>
      </c>
      <c r="T97">
        <v>11214745</v>
      </c>
      <c r="U97">
        <v>104147551</v>
      </c>
      <c r="V97">
        <v>85779840</v>
      </c>
      <c r="W97">
        <v>17667243</v>
      </c>
      <c r="X97">
        <v>10487268</v>
      </c>
      <c r="Y97">
        <v>8310537</v>
      </c>
      <c r="Z97">
        <v>66824738</v>
      </c>
      <c r="AA97">
        <v>29939119</v>
      </c>
      <c r="AB97">
        <v>50668570</v>
      </c>
      <c r="AC97">
        <v>170658551</v>
      </c>
      <c r="AD97">
        <v>35350577</v>
      </c>
      <c r="AE97">
        <v>65950597</v>
      </c>
      <c r="AF97">
        <v>84802656</v>
      </c>
      <c r="AG97">
        <v>37274512</v>
      </c>
      <c r="AH97">
        <v>30636662</v>
      </c>
      <c r="AI97">
        <v>525542920</v>
      </c>
      <c r="AJ97">
        <v>29220535</v>
      </c>
      <c r="AK97">
        <v>266937779</v>
      </c>
      <c r="AL97">
        <v>47198849</v>
      </c>
      <c r="AM97">
        <v>157609213</v>
      </c>
      <c r="AN97">
        <v>6826008</v>
      </c>
      <c r="AO97">
        <v>7123469</v>
      </c>
      <c r="AP97">
        <v>38652203</v>
      </c>
      <c r="AQ97">
        <v>8564205</v>
      </c>
      <c r="AR97">
        <v>365464586</v>
      </c>
      <c r="AS97">
        <v>27873587</v>
      </c>
      <c r="AT97">
        <v>63467701</v>
      </c>
      <c r="AU97">
        <v>47391894</v>
      </c>
      <c r="AV97">
        <v>88422720</v>
      </c>
      <c r="AW97">
        <v>12828796</v>
      </c>
      <c r="AX97">
        <v>26584501</v>
      </c>
      <c r="AY97">
        <v>7127180</v>
      </c>
      <c r="AZ97">
        <v>138494381</v>
      </c>
      <c r="BA97">
        <v>39653611</v>
      </c>
      <c r="BB97">
        <v>157173677</v>
      </c>
      <c r="BC97">
        <v>6152973</v>
      </c>
      <c r="BD97">
        <v>45086327</v>
      </c>
      <c r="BE97">
        <v>31723434</v>
      </c>
      <c r="BF97">
        <v>67322890</v>
      </c>
      <c r="BG97">
        <v>31712826</v>
      </c>
      <c r="BH97">
        <v>12900916</v>
      </c>
      <c r="BI97">
        <v>14763577</v>
      </c>
      <c r="BJ97">
        <v>24773980</v>
      </c>
      <c r="BK97">
        <v>1136556489</v>
      </c>
      <c r="BL97">
        <v>9906443</v>
      </c>
      <c r="BM97">
        <v>20259212</v>
      </c>
      <c r="BN97">
        <v>68001211</v>
      </c>
      <c r="BO97">
        <v>47970703</v>
      </c>
      <c r="BP97">
        <v>216624818</v>
      </c>
      <c r="BQ97">
        <v>18850234</v>
      </c>
      <c r="BR97">
        <v>97838893</v>
      </c>
      <c r="BS97">
        <v>168309898</v>
      </c>
      <c r="BT97">
        <v>11069496</v>
      </c>
      <c r="BU97">
        <v>23274617</v>
      </c>
      <c r="BV97">
        <v>50896686</v>
      </c>
      <c r="BW97">
        <v>9379314</v>
      </c>
      <c r="BX97">
        <v>35076234</v>
      </c>
      <c r="BY97">
        <v>93661867</v>
      </c>
      <c r="BZ97">
        <v>16945329</v>
      </c>
      <c r="CA97">
        <v>68980483</v>
      </c>
      <c r="CB97">
        <v>26727352</v>
      </c>
      <c r="CC97">
        <v>49654373</v>
      </c>
      <c r="CD97">
        <v>49454425</v>
      </c>
      <c r="CE97">
        <v>84116573</v>
      </c>
      <c r="CF97">
        <v>44462688</v>
      </c>
      <c r="CG97">
        <v>36778472</v>
      </c>
      <c r="CH97">
        <v>21060192</v>
      </c>
      <c r="CI97">
        <v>32331193</v>
      </c>
      <c r="CJ97">
        <v>27492857</v>
      </c>
      <c r="CK97">
        <v>34746393</v>
      </c>
      <c r="CL97">
        <v>6753052</v>
      </c>
      <c r="CM97">
        <v>39644319</v>
      </c>
      <c r="CN97">
        <v>4378847</v>
      </c>
      <c r="CO97">
        <v>196263640</v>
      </c>
      <c r="CP97">
        <v>22346450</v>
      </c>
      <c r="CQ97">
        <v>1109643596</v>
      </c>
      <c r="CR97">
        <v>19162407</v>
      </c>
      <c r="CS97">
        <v>7550700</v>
      </c>
      <c r="CT97">
        <v>36947252</v>
      </c>
      <c r="CU97">
        <v>57533399</v>
      </c>
      <c r="CV97">
        <v>35456690</v>
      </c>
      <c r="CW97">
        <v>51105669</v>
      </c>
      <c r="CX97">
        <v>18445861</v>
      </c>
      <c r="CY97">
        <v>13136703</v>
      </c>
    </row>
    <row r="98" spans="1:103" x14ac:dyDescent="0.3">
      <c r="A98">
        <v>529</v>
      </c>
      <c r="B98" t="s">
        <v>215</v>
      </c>
      <c r="D98">
        <v>11873326</v>
      </c>
      <c r="E98">
        <v>2947988</v>
      </c>
      <c r="F98">
        <v>931864</v>
      </c>
      <c r="G98">
        <v>1570392</v>
      </c>
      <c r="H98">
        <v>1755215</v>
      </c>
      <c r="I98">
        <v>1150435</v>
      </c>
      <c r="J98">
        <v>3713927</v>
      </c>
      <c r="K98">
        <v>1668335</v>
      </c>
      <c r="L98">
        <v>2741906</v>
      </c>
      <c r="M98">
        <v>10301807</v>
      </c>
      <c r="N98">
        <v>14094172</v>
      </c>
      <c r="O98">
        <v>5766130</v>
      </c>
      <c r="P98">
        <v>19381676</v>
      </c>
      <c r="Q98">
        <v>4965353</v>
      </c>
      <c r="R98">
        <v>1191419</v>
      </c>
      <c r="S98">
        <v>3419270</v>
      </c>
      <c r="T98">
        <v>1704301</v>
      </c>
      <c r="U98">
        <v>10485869</v>
      </c>
      <c r="V98">
        <v>7025425</v>
      </c>
      <c r="W98">
        <v>1627867</v>
      </c>
      <c r="X98">
        <v>1305618</v>
      </c>
      <c r="Y98">
        <v>659498</v>
      </c>
      <c r="Z98">
        <v>6621148</v>
      </c>
      <c r="AA98">
        <v>3953972</v>
      </c>
      <c r="AB98">
        <v>6753833</v>
      </c>
      <c r="AC98">
        <v>23656683</v>
      </c>
      <c r="AD98">
        <v>2142878</v>
      </c>
      <c r="AE98">
        <v>2378605</v>
      </c>
      <c r="AF98">
        <v>9771258</v>
      </c>
      <c r="AG98">
        <v>4321922</v>
      </c>
      <c r="AH98">
        <v>4136027</v>
      </c>
      <c r="AI98">
        <v>34629498</v>
      </c>
      <c r="AJ98">
        <v>4197227</v>
      </c>
      <c r="AK98">
        <v>26714532</v>
      </c>
      <c r="AL98">
        <v>6436669</v>
      </c>
      <c r="AM98">
        <v>18840958</v>
      </c>
      <c r="AN98">
        <v>972437</v>
      </c>
      <c r="AO98">
        <v>632965</v>
      </c>
      <c r="AP98">
        <v>5517596</v>
      </c>
      <c r="AQ98">
        <v>1532840</v>
      </c>
      <c r="AR98">
        <v>37550921</v>
      </c>
      <c r="AS98">
        <v>3511367</v>
      </c>
      <c r="AT98">
        <v>10606865</v>
      </c>
      <c r="AU98">
        <v>4210351</v>
      </c>
      <c r="AV98">
        <v>7915660</v>
      </c>
      <c r="AW98">
        <v>1721765</v>
      </c>
      <c r="AX98">
        <v>4123228</v>
      </c>
      <c r="AY98">
        <v>447507</v>
      </c>
      <c r="AZ98">
        <v>13608998</v>
      </c>
      <c r="BA98">
        <v>1740950</v>
      </c>
      <c r="BB98">
        <v>19217287</v>
      </c>
      <c r="BC98">
        <v>884912</v>
      </c>
      <c r="BD98">
        <v>5065369</v>
      </c>
      <c r="BE98">
        <v>4493067</v>
      </c>
      <c r="BF98">
        <v>7325282</v>
      </c>
      <c r="BG98">
        <v>1853581</v>
      </c>
      <c r="BH98">
        <v>1120541</v>
      </c>
      <c r="BI98">
        <v>1910154</v>
      </c>
      <c r="BJ98">
        <v>2769439</v>
      </c>
      <c r="BK98">
        <v>74984512</v>
      </c>
      <c r="BL98">
        <v>1007941</v>
      </c>
      <c r="BM98">
        <v>1884255</v>
      </c>
      <c r="BN98">
        <v>6896795</v>
      </c>
      <c r="BO98">
        <v>7720801</v>
      </c>
      <c r="BP98">
        <v>13845651</v>
      </c>
      <c r="BQ98">
        <v>1717450</v>
      </c>
      <c r="BR98">
        <v>13758167</v>
      </c>
      <c r="BS98">
        <v>11433067</v>
      </c>
      <c r="BT98">
        <v>1086701</v>
      </c>
      <c r="BU98">
        <v>3062524</v>
      </c>
      <c r="BV98">
        <v>5364237</v>
      </c>
      <c r="BW98">
        <v>970800</v>
      </c>
      <c r="BX98">
        <v>3176355</v>
      </c>
      <c r="BY98">
        <v>13132113</v>
      </c>
      <c r="BZ98">
        <v>1295177</v>
      </c>
      <c r="CA98">
        <v>9463312</v>
      </c>
      <c r="CB98">
        <v>3222376</v>
      </c>
      <c r="CC98">
        <v>9480313</v>
      </c>
      <c r="CD98">
        <v>6780796</v>
      </c>
      <c r="CE98">
        <v>9787092</v>
      </c>
      <c r="CF98">
        <v>3761725</v>
      </c>
      <c r="CG98">
        <v>5783157</v>
      </c>
      <c r="CH98">
        <v>2743134</v>
      </c>
      <c r="CI98">
        <v>4514808</v>
      </c>
      <c r="CJ98">
        <v>3220246</v>
      </c>
      <c r="CK98">
        <v>4337847</v>
      </c>
      <c r="CL98">
        <v>470209</v>
      </c>
      <c r="CM98">
        <v>2464773</v>
      </c>
      <c r="CN98">
        <v>361630</v>
      </c>
      <c r="CO98">
        <v>20597418</v>
      </c>
      <c r="CP98">
        <v>3566115</v>
      </c>
      <c r="CQ98">
        <v>84440850</v>
      </c>
      <c r="CR98">
        <v>1490910</v>
      </c>
      <c r="CS98">
        <v>947470</v>
      </c>
      <c r="CT98">
        <v>2239242</v>
      </c>
      <c r="CU98">
        <v>8154257</v>
      </c>
      <c r="CV98">
        <v>5161517</v>
      </c>
      <c r="CW98">
        <v>6213997</v>
      </c>
      <c r="CX98">
        <v>2826319</v>
      </c>
      <c r="CY98">
        <v>1230489</v>
      </c>
    </row>
    <row r="99" spans="1:103" x14ac:dyDescent="0.3">
      <c r="A99">
        <v>530</v>
      </c>
      <c r="B99" t="s">
        <v>216</v>
      </c>
      <c r="D99">
        <v>916296</v>
      </c>
      <c r="E99">
        <v>507210</v>
      </c>
      <c r="F99">
        <v>188937</v>
      </c>
      <c r="G99">
        <v>947245</v>
      </c>
      <c r="H99">
        <v>545459</v>
      </c>
      <c r="I99">
        <v>279513</v>
      </c>
      <c r="J99">
        <v>485467</v>
      </c>
      <c r="K99">
        <v>264997</v>
      </c>
      <c r="L99">
        <v>776623</v>
      </c>
      <c r="M99">
        <v>1397456</v>
      </c>
      <c r="N99">
        <v>535879</v>
      </c>
      <c r="O99">
        <v>666743</v>
      </c>
      <c r="P99">
        <v>1377852</v>
      </c>
      <c r="Q99">
        <v>1152736</v>
      </c>
      <c r="R99">
        <v>194149</v>
      </c>
      <c r="S99">
        <v>813325</v>
      </c>
      <c r="T99">
        <v>153926</v>
      </c>
      <c r="U99">
        <v>1092010</v>
      </c>
      <c r="V99">
        <v>716372</v>
      </c>
      <c r="W99">
        <v>319916</v>
      </c>
      <c r="X99">
        <v>174423</v>
      </c>
      <c r="Y99">
        <v>188392</v>
      </c>
      <c r="Z99">
        <v>1021541</v>
      </c>
      <c r="AA99">
        <v>665653</v>
      </c>
      <c r="AB99">
        <v>591283</v>
      </c>
      <c r="AC99">
        <v>800830</v>
      </c>
      <c r="AD99">
        <v>249216</v>
      </c>
      <c r="AE99">
        <v>244342</v>
      </c>
      <c r="AF99">
        <v>2137092</v>
      </c>
      <c r="AG99">
        <v>383881</v>
      </c>
      <c r="AH99">
        <v>1037486</v>
      </c>
      <c r="AI99">
        <v>1040632</v>
      </c>
      <c r="AJ99">
        <v>1333541</v>
      </c>
      <c r="AK99">
        <v>1817868</v>
      </c>
      <c r="AL99">
        <v>850482</v>
      </c>
      <c r="AM99">
        <v>1484517</v>
      </c>
      <c r="AN99">
        <v>212044</v>
      </c>
      <c r="AO99">
        <v>162384</v>
      </c>
      <c r="AP99">
        <v>425546</v>
      </c>
      <c r="AQ99">
        <v>69679</v>
      </c>
      <c r="AR99">
        <v>2448276</v>
      </c>
      <c r="AS99">
        <v>558225</v>
      </c>
      <c r="AT99">
        <v>399623</v>
      </c>
      <c r="AU99">
        <v>768644</v>
      </c>
      <c r="AV99">
        <v>641611</v>
      </c>
      <c r="AW99">
        <v>498264</v>
      </c>
      <c r="AX99">
        <v>622996</v>
      </c>
      <c r="AY99">
        <v>366950</v>
      </c>
      <c r="AZ99">
        <v>747920</v>
      </c>
      <c r="BA99">
        <v>418559</v>
      </c>
      <c r="BB99">
        <v>184433</v>
      </c>
      <c r="BC99">
        <v>259292</v>
      </c>
      <c r="BD99">
        <v>364892</v>
      </c>
      <c r="BE99">
        <v>899985</v>
      </c>
      <c r="BF99">
        <v>414017</v>
      </c>
      <c r="BG99">
        <v>336650</v>
      </c>
      <c r="BH99">
        <v>420710</v>
      </c>
      <c r="BI99">
        <v>867875</v>
      </c>
      <c r="BJ99">
        <v>119440</v>
      </c>
      <c r="BK99">
        <v>6192320</v>
      </c>
      <c r="BL99">
        <v>271546</v>
      </c>
      <c r="BM99">
        <v>528848</v>
      </c>
      <c r="BN99">
        <v>165033</v>
      </c>
      <c r="BO99">
        <v>504496</v>
      </c>
      <c r="BP99">
        <v>1035141</v>
      </c>
      <c r="BQ99">
        <v>663964</v>
      </c>
      <c r="BR99">
        <v>1085396</v>
      </c>
      <c r="BS99">
        <v>1428784</v>
      </c>
      <c r="BT99">
        <v>369436</v>
      </c>
      <c r="BU99">
        <v>690112</v>
      </c>
      <c r="BV99">
        <v>1768727</v>
      </c>
      <c r="BW99">
        <v>233885</v>
      </c>
      <c r="BX99">
        <v>525456</v>
      </c>
      <c r="BY99">
        <v>622155</v>
      </c>
      <c r="BZ99">
        <v>183490</v>
      </c>
      <c r="CA99">
        <v>556153</v>
      </c>
      <c r="CB99">
        <v>687290</v>
      </c>
      <c r="CC99">
        <v>2854316</v>
      </c>
      <c r="CD99">
        <v>733321</v>
      </c>
      <c r="CE99">
        <v>1779688</v>
      </c>
      <c r="CF99">
        <v>612717</v>
      </c>
      <c r="CG99">
        <v>943303</v>
      </c>
      <c r="CH99">
        <v>706032</v>
      </c>
      <c r="CI99">
        <v>640616</v>
      </c>
      <c r="CJ99">
        <v>574022</v>
      </c>
      <c r="CK99">
        <v>388454</v>
      </c>
      <c r="CL99">
        <v>242156</v>
      </c>
      <c r="CM99">
        <v>69206</v>
      </c>
      <c r="CN99">
        <v>131530</v>
      </c>
      <c r="CO99">
        <v>90526</v>
      </c>
      <c r="CP99">
        <v>587022</v>
      </c>
      <c r="CQ99">
        <v>597113</v>
      </c>
      <c r="CR99">
        <v>384153</v>
      </c>
      <c r="CS99">
        <v>350656</v>
      </c>
      <c r="CT99">
        <v>504758</v>
      </c>
      <c r="CU99">
        <v>889925</v>
      </c>
      <c r="CV99">
        <v>1016224</v>
      </c>
      <c r="CW99">
        <v>672312</v>
      </c>
      <c r="CX99">
        <v>388336</v>
      </c>
      <c r="CY99">
        <v>223792</v>
      </c>
    </row>
    <row r="100" spans="1:103" x14ac:dyDescent="0.3">
      <c r="A100">
        <v>531</v>
      </c>
      <c r="B100" t="s">
        <v>217</v>
      </c>
      <c r="D100">
        <v>0</v>
      </c>
      <c r="E100">
        <v>0</v>
      </c>
      <c r="F100">
        <v>0</v>
      </c>
      <c r="G100">
        <v>0</v>
      </c>
      <c r="H100">
        <v>0</v>
      </c>
      <c r="I100">
        <v>6247</v>
      </c>
      <c r="J100">
        <v>0</v>
      </c>
      <c r="K100">
        <v>0</v>
      </c>
      <c r="L100">
        <v>0</v>
      </c>
      <c r="M100">
        <v>0</v>
      </c>
      <c r="N100">
        <v>47158</v>
      </c>
      <c r="O100">
        <v>0</v>
      </c>
      <c r="P100">
        <v>0</v>
      </c>
      <c r="Q100">
        <v>0</v>
      </c>
      <c r="R100">
        <v>0</v>
      </c>
      <c r="S100">
        <v>0</v>
      </c>
      <c r="T100">
        <v>0</v>
      </c>
      <c r="U100">
        <v>0</v>
      </c>
      <c r="V100">
        <v>23000</v>
      </c>
      <c r="W100">
        <v>2237</v>
      </c>
      <c r="X100">
        <v>0</v>
      </c>
      <c r="Y100">
        <v>0</v>
      </c>
      <c r="Z100">
        <v>0</v>
      </c>
      <c r="AA100">
        <v>0</v>
      </c>
      <c r="AB100">
        <v>0</v>
      </c>
      <c r="AC100">
        <v>0</v>
      </c>
      <c r="AD100">
        <v>0</v>
      </c>
      <c r="AE100">
        <v>0</v>
      </c>
      <c r="AF100">
        <v>0</v>
      </c>
      <c r="AG100">
        <v>0</v>
      </c>
      <c r="AH100">
        <v>0</v>
      </c>
      <c r="AI100">
        <v>0</v>
      </c>
      <c r="AJ100">
        <v>0</v>
      </c>
      <c r="AK100">
        <v>0</v>
      </c>
      <c r="AL100">
        <v>5060</v>
      </c>
      <c r="AM100">
        <v>0</v>
      </c>
      <c r="AN100">
        <v>0</v>
      </c>
      <c r="AO100">
        <v>0</v>
      </c>
      <c r="AP100">
        <v>0</v>
      </c>
      <c r="AQ100">
        <v>6165</v>
      </c>
      <c r="AR100">
        <v>0</v>
      </c>
      <c r="AS100">
        <v>0</v>
      </c>
      <c r="AT100">
        <v>0</v>
      </c>
      <c r="AU100">
        <v>0</v>
      </c>
      <c r="AV100">
        <v>2404</v>
      </c>
      <c r="AW100">
        <v>0</v>
      </c>
      <c r="AX100">
        <v>207064</v>
      </c>
      <c r="AY100">
        <v>0</v>
      </c>
      <c r="AZ100">
        <v>0</v>
      </c>
      <c r="BA100">
        <v>1652</v>
      </c>
      <c r="BB100">
        <v>0</v>
      </c>
      <c r="BC100">
        <v>0</v>
      </c>
      <c r="BD100">
        <v>0</v>
      </c>
      <c r="BE100">
        <v>3733</v>
      </c>
      <c r="BF100">
        <v>0</v>
      </c>
      <c r="BG100">
        <v>0</v>
      </c>
      <c r="BH100">
        <v>0</v>
      </c>
      <c r="BI100">
        <v>0</v>
      </c>
      <c r="BJ100">
        <v>1727</v>
      </c>
      <c r="BK100">
        <v>0</v>
      </c>
      <c r="BL100">
        <v>0</v>
      </c>
      <c r="BM100">
        <v>0</v>
      </c>
      <c r="BN100">
        <v>190580</v>
      </c>
      <c r="BO100">
        <v>0</v>
      </c>
      <c r="BP100">
        <v>0</v>
      </c>
      <c r="BQ100">
        <v>0</v>
      </c>
      <c r="BR100">
        <v>1225118</v>
      </c>
      <c r="BS100">
        <v>0</v>
      </c>
      <c r="BT100">
        <v>0</v>
      </c>
      <c r="BU100">
        <v>0</v>
      </c>
      <c r="BV100">
        <v>0</v>
      </c>
      <c r="BW100">
        <v>0</v>
      </c>
      <c r="BX100">
        <v>1236</v>
      </c>
      <c r="BY100">
        <v>0</v>
      </c>
      <c r="BZ100">
        <v>0</v>
      </c>
      <c r="CA100">
        <v>0</v>
      </c>
      <c r="CB100">
        <v>0</v>
      </c>
      <c r="CC100">
        <v>0</v>
      </c>
      <c r="CD100">
        <v>50004</v>
      </c>
      <c r="CE100">
        <v>0</v>
      </c>
      <c r="CF100">
        <v>0</v>
      </c>
      <c r="CG100">
        <v>40185</v>
      </c>
      <c r="CH100">
        <v>8626</v>
      </c>
      <c r="CI100">
        <v>0</v>
      </c>
      <c r="CJ100">
        <v>0</v>
      </c>
      <c r="CK100">
        <v>0</v>
      </c>
      <c r="CL100">
        <v>0</v>
      </c>
      <c r="CM100">
        <v>0</v>
      </c>
      <c r="CN100">
        <v>1946</v>
      </c>
      <c r="CO100">
        <v>0</v>
      </c>
      <c r="CP100">
        <v>0</v>
      </c>
      <c r="CQ100">
        <v>340771</v>
      </c>
      <c r="CR100">
        <v>2458</v>
      </c>
      <c r="CS100">
        <v>0</v>
      </c>
      <c r="CT100">
        <v>6460</v>
      </c>
      <c r="CU100">
        <v>0</v>
      </c>
      <c r="CV100">
        <v>0</v>
      </c>
      <c r="CW100">
        <v>0</v>
      </c>
      <c r="CX100">
        <v>0</v>
      </c>
      <c r="CY100">
        <v>0</v>
      </c>
    </row>
    <row r="101" spans="1:103" x14ac:dyDescent="0.3">
      <c r="A101">
        <v>532</v>
      </c>
      <c r="B101" t="s">
        <v>612</v>
      </c>
      <c r="D101">
        <v>188726304</v>
      </c>
      <c r="E101">
        <v>41302659</v>
      </c>
      <c r="F101">
        <v>15757044</v>
      </c>
      <c r="G101">
        <v>31659393</v>
      </c>
      <c r="H101">
        <v>35794251</v>
      </c>
      <c r="I101">
        <v>30765635</v>
      </c>
      <c r="J101">
        <v>56362089</v>
      </c>
      <c r="K101">
        <v>27410818</v>
      </c>
      <c r="L101">
        <v>42878511</v>
      </c>
      <c r="M101">
        <v>220476078</v>
      </c>
      <c r="N101">
        <v>347505238</v>
      </c>
      <c r="O101">
        <v>90848922</v>
      </c>
      <c r="P101">
        <v>282104959</v>
      </c>
      <c r="Q101">
        <v>89316600</v>
      </c>
      <c r="R101">
        <v>18834338</v>
      </c>
      <c r="S101">
        <v>96700945</v>
      </c>
      <c r="T101">
        <v>27106069</v>
      </c>
      <c r="U101">
        <v>194064798</v>
      </c>
      <c r="V101">
        <v>127323592</v>
      </c>
      <c r="W101">
        <v>43552753</v>
      </c>
      <c r="X101">
        <v>16343843</v>
      </c>
      <c r="Y101">
        <v>20723737</v>
      </c>
      <c r="Z101">
        <v>127202039</v>
      </c>
      <c r="AA101">
        <v>65219846</v>
      </c>
      <c r="AB101">
        <v>114350108</v>
      </c>
      <c r="AC101">
        <v>332691294</v>
      </c>
      <c r="AD101">
        <v>58513825</v>
      </c>
      <c r="AE101">
        <v>112792189</v>
      </c>
      <c r="AF101">
        <v>146431383</v>
      </c>
      <c r="AG101">
        <v>68365570</v>
      </c>
      <c r="AH101">
        <v>54813649</v>
      </c>
      <c r="AI101">
        <v>480750838</v>
      </c>
      <c r="AJ101">
        <v>64959800</v>
      </c>
      <c r="AK101">
        <v>395630962</v>
      </c>
      <c r="AL101">
        <v>101121182</v>
      </c>
      <c r="AM101">
        <v>274290440</v>
      </c>
      <c r="AN101">
        <v>13029984</v>
      </c>
      <c r="AO101">
        <v>19484636</v>
      </c>
      <c r="AP101">
        <v>74799047</v>
      </c>
      <c r="AQ101">
        <v>17767216</v>
      </c>
      <c r="AR101">
        <v>660946794</v>
      </c>
      <c r="AS101">
        <v>66386542</v>
      </c>
      <c r="AT101">
        <v>142823284</v>
      </c>
      <c r="AU101">
        <v>89461208</v>
      </c>
      <c r="AV101">
        <v>157643989</v>
      </c>
      <c r="AW101">
        <v>26764481</v>
      </c>
      <c r="AX101">
        <v>51123291</v>
      </c>
      <c r="AY101">
        <v>15665995</v>
      </c>
      <c r="AZ101">
        <v>221423543</v>
      </c>
      <c r="BA101">
        <v>74204617</v>
      </c>
      <c r="BB101">
        <v>277370655</v>
      </c>
      <c r="BC101">
        <v>17401377</v>
      </c>
      <c r="BD101">
        <v>84124027</v>
      </c>
      <c r="BE101">
        <v>62399505</v>
      </c>
      <c r="BF101">
        <v>125313089</v>
      </c>
      <c r="BG101">
        <v>52204515</v>
      </c>
      <c r="BH101">
        <v>27901764</v>
      </c>
      <c r="BI101">
        <v>31083456</v>
      </c>
      <c r="BJ101">
        <v>53199381</v>
      </c>
      <c r="BK101">
        <v>1440729532</v>
      </c>
      <c r="BL101">
        <v>21583582</v>
      </c>
      <c r="BM101">
        <v>29846916</v>
      </c>
      <c r="BN101">
        <v>120983633</v>
      </c>
      <c r="BO101">
        <v>100244557</v>
      </c>
      <c r="BP101">
        <v>321222806</v>
      </c>
      <c r="BQ101">
        <v>34297933</v>
      </c>
      <c r="BR101">
        <v>225165177</v>
      </c>
      <c r="BS101">
        <v>242217111</v>
      </c>
      <c r="BT101">
        <v>21972864</v>
      </c>
      <c r="BU101">
        <v>55170552</v>
      </c>
      <c r="BV101">
        <v>79499832</v>
      </c>
      <c r="BW101">
        <v>17873616</v>
      </c>
      <c r="BX101">
        <v>58454568</v>
      </c>
      <c r="BY101">
        <v>159998757</v>
      </c>
      <c r="BZ101">
        <v>29187903</v>
      </c>
      <c r="CA101">
        <v>144633028</v>
      </c>
      <c r="CB101">
        <v>60930163</v>
      </c>
      <c r="CC101">
        <v>137280823</v>
      </c>
      <c r="CD101">
        <v>89051167</v>
      </c>
      <c r="CE101">
        <v>151688221</v>
      </c>
      <c r="CF101">
        <v>71528060</v>
      </c>
      <c r="CG101">
        <v>85032879</v>
      </c>
      <c r="CH101">
        <v>48968456</v>
      </c>
      <c r="CI101">
        <v>74939744</v>
      </c>
      <c r="CJ101">
        <v>58935938</v>
      </c>
      <c r="CK101">
        <v>89819162</v>
      </c>
      <c r="CL101">
        <v>25328896</v>
      </c>
      <c r="CM101">
        <v>59876497</v>
      </c>
      <c r="CN101">
        <v>7361221</v>
      </c>
      <c r="CO101">
        <v>310837676</v>
      </c>
      <c r="CP101">
        <v>48150425</v>
      </c>
      <c r="CQ101">
        <v>1089093426</v>
      </c>
      <c r="CR101">
        <v>31554778</v>
      </c>
      <c r="CS101">
        <v>14235122</v>
      </c>
      <c r="CT101">
        <v>60328879</v>
      </c>
      <c r="CU101">
        <v>116766063</v>
      </c>
      <c r="CV101">
        <v>88223709</v>
      </c>
      <c r="CW101">
        <v>105329118</v>
      </c>
      <c r="CX101">
        <v>34520645</v>
      </c>
      <c r="CY101">
        <v>26930354</v>
      </c>
    </row>
    <row r="102" spans="1:103" x14ac:dyDescent="0.3">
      <c r="A102">
        <v>533</v>
      </c>
      <c r="B102" t="s">
        <v>613</v>
      </c>
      <c r="D102">
        <v>6491653</v>
      </c>
      <c r="E102">
        <v>126966</v>
      </c>
      <c r="F102">
        <v>0</v>
      </c>
      <c r="G102">
        <v>0</v>
      </c>
      <c r="H102">
        <v>0</v>
      </c>
      <c r="I102">
        <v>0</v>
      </c>
      <c r="J102">
        <v>355141</v>
      </c>
      <c r="K102">
        <v>0</v>
      </c>
      <c r="L102">
        <v>0</v>
      </c>
      <c r="M102">
        <v>0</v>
      </c>
      <c r="N102">
        <v>0</v>
      </c>
      <c r="O102">
        <v>0</v>
      </c>
      <c r="P102">
        <v>5881913</v>
      </c>
      <c r="Q102">
        <v>892126</v>
      </c>
      <c r="R102">
        <v>4633000</v>
      </c>
      <c r="S102">
        <v>0</v>
      </c>
      <c r="T102">
        <v>4435567</v>
      </c>
      <c r="U102">
        <v>1579797</v>
      </c>
      <c r="V102">
        <v>0</v>
      </c>
      <c r="W102">
        <v>0</v>
      </c>
      <c r="X102">
        <v>0</v>
      </c>
      <c r="Y102">
        <v>0</v>
      </c>
      <c r="Z102">
        <v>110543</v>
      </c>
      <c r="AA102">
        <v>2448960</v>
      </c>
      <c r="AB102">
        <v>385949</v>
      </c>
      <c r="AC102">
        <v>135971</v>
      </c>
      <c r="AD102">
        <v>696581</v>
      </c>
      <c r="AE102">
        <v>1919384</v>
      </c>
      <c r="AF102">
        <v>629624</v>
      </c>
      <c r="AG102">
        <v>767042</v>
      </c>
      <c r="AH102">
        <v>0</v>
      </c>
      <c r="AI102">
        <v>0</v>
      </c>
      <c r="AJ102">
        <v>390331</v>
      </c>
      <c r="AK102">
        <v>1605549</v>
      </c>
      <c r="AL102">
        <v>7605191</v>
      </c>
      <c r="AM102">
        <v>1035968</v>
      </c>
      <c r="AN102">
        <v>1290486</v>
      </c>
      <c r="AO102">
        <v>1859320</v>
      </c>
      <c r="AP102">
        <v>2054006</v>
      </c>
      <c r="AQ102">
        <v>153963</v>
      </c>
      <c r="AR102">
        <v>18970610</v>
      </c>
      <c r="AS102">
        <v>1002166</v>
      </c>
      <c r="AT102">
        <v>1373282</v>
      </c>
      <c r="AU102">
        <v>0</v>
      </c>
      <c r="AV102">
        <v>0</v>
      </c>
      <c r="AW102">
        <v>558729</v>
      </c>
      <c r="AX102">
        <v>180114</v>
      </c>
      <c r="AY102">
        <v>411538</v>
      </c>
      <c r="AZ102">
        <v>179482</v>
      </c>
      <c r="BA102">
        <v>282175</v>
      </c>
      <c r="BB102">
        <v>1612708</v>
      </c>
      <c r="BC102">
        <v>628322</v>
      </c>
      <c r="BD102">
        <v>4231632</v>
      </c>
      <c r="BE102">
        <v>0</v>
      </c>
      <c r="BF102">
        <v>140000</v>
      </c>
      <c r="BG102">
        <v>174553</v>
      </c>
      <c r="BH102">
        <v>0</v>
      </c>
      <c r="BI102">
        <v>86369</v>
      </c>
      <c r="BJ102">
        <v>951209</v>
      </c>
      <c r="BK102">
        <v>3539100</v>
      </c>
      <c r="BL102">
        <v>38715</v>
      </c>
      <c r="BM102">
        <v>0</v>
      </c>
      <c r="BN102">
        <v>46898</v>
      </c>
      <c r="BO102">
        <v>132421</v>
      </c>
      <c r="BP102">
        <v>5467655</v>
      </c>
      <c r="BQ102">
        <v>382179</v>
      </c>
      <c r="BR102">
        <v>1318695</v>
      </c>
      <c r="BS102">
        <v>29415</v>
      </c>
      <c r="BT102">
        <v>0</v>
      </c>
      <c r="BU102">
        <v>0</v>
      </c>
      <c r="BV102">
        <v>628442</v>
      </c>
      <c r="BW102">
        <v>0</v>
      </c>
      <c r="BX102">
        <v>5095093</v>
      </c>
      <c r="BY102">
        <v>1536935</v>
      </c>
      <c r="BZ102">
        <v>124417</v>
      </c>
      <c r="CA102">
        <v>0</v>
      </c>
      <c r="CB102">
        <v>487936</v>
      </c>
      <c r="CC102">
        <v>879614</v>
      </c>
      <c r="CD102">
        <v>176152</v>
      </c>
      <c r="CE102">
        <v>1611610</v>
      </c>
      <c r="CF102">
        <v>0</v>
      </c>
      <c r="CG102">
        <v>0</v>
      </c>
      <c r="CH102">
        <v>181242</v>
      </c>
      <c r="CI102">
        <v>3449675</v>
      </c>
      <c r="CJ102">
        <v>2925208</v>
      </c>
      <c r="CK102">
        <v>0</v>
      </c>
      <c r="CL102">
        <v>0</v>
      </c>
      <c r="CM102">
        <v>696510</v>
      </c>
      <c r="CN102">
        <v>0</v>
      </c>
      <c r="CO102">
        <v>0</v>
      </c>
      <c r="CP102">
        <v>147471</v>
      </c>
      <c r="CQ102">
        <v>0</v>
      </c>
      <c r="CR102">
        <v>227568</v>
      </c>
      <c r="CS102">
        <v>33086</v>
      </c>
      <c r="CT102">
        <v>0</v>
      </c>
      <c r="CU102">
        <v>0</v>
      </c>
      <c r="CV102">
        <v>3280118</v>
      </c>
      <c r="CW102">
        <v>0</v>
      </c>
      <c r="CX102">
        <v>354469</v>
      </c>
      <c r="CY102">
        <v>0</v>
      </c>
    </row>
    <row r="103" spans="1:103" x14ac:dyDescent="0.3">
      <c r="A103">
        <v>535</v>
      </c>
      <c r="B103" t="s">
        <v>204</v>
      </c>
      <c r="D103">
        <v>81435317</v>
      </c>
      <c r="E103">
        <v>0</v>
      </c>
      <c r="F103">
        <v>0</v>
      </c>
      <c r="G103">
        <v>0</v>
      </c>
      <c r="H103">
        <v>1378674</v>
      </c>
      <c r="I103">
        <v>0</v>
      </c>
      <c r="J103">
        <v>0</v>
      </c>
      <c r="K103">
        <v>0</v>
      </c>
      <c r="L103">
        <v>0</v>
      </c>
      <c r="M103">
        <v>97028038</v>
      </c>
      <c r="N103">
        <v>25219548</v>
      </c>
      <c r="O103">
        <v>57</v>
      </c>
      <c r="P103">
        <v>0</v>
      </c>
      <c r="Q103">
        <v>0</v>
      </c>
      <c r="R103">
        <v>0</v>
      </c>
      <c r="S103">
        <v>0</v>
      </c>
      <c r="T103">
        <v>4247820</v>
      </c>
      <c r="U103">
        <v>1909118</v>
      </c>
      <c r="V103">
        <v>26732626</v>
      </c>
      <c r="W103">
        <v>0</v>
      </c>
      <c r="X103">
        <v>0</v>
      </c>
      <c r="Y103">
        <v>0</v>
      </c>
      <c r="Z103">
        <v>9402798</v>
      </c>
      <c r="AA103">
        <v>22571015</v>
      </c>
      <c r="AB103">
        <v>0</v>
      </c>
      <c r="AC103">
        <v>14665298</v>
      </c>
      <c r="AD103">
        <v>0</v>
      </c>
      <c r="AE103">
        <v>40819762</v>
      </c>
      <c r="AF103">
        <v>963940</v>
      </c>
      <c r="AG103">
        <v>860317</v>
      </c>
      <c r="AH103">
        <v>0</v>
      </c>
      <c r="AI103">
        <v>5348245</v>
      </c>
      <c r="AJ103">
        <v>0</v>
      </c>
      <c r="AK103">
        <v>111195433</v>
      </c>
      <c r="AL103">
        <v>15369367</v>
      </c>
      <c r="AM103">
        <v>12356106</v>
      </c>
      <c r="AN103">
        <v>1290486</v>
      </c>
      <c r="AO103">
        <v>0</v>
      </c>
      <c r="AP103">
        <v>0</v>
      </c>
      <c r="AQ103">
        <v>92661</v>
      </c>
      <c r="AR103">
        <v>61603165</v>
      </c>
      <c r="AS103">
        <v>1507025</v>
      </c>
      <c r="AT103">
        <v>39231701</v>
      </c>
      <c r="AU103">
        <v>1693396</v>
      </c>
      <c r="AV103">
        <v>8320118</v>
      </c>
      <c r="AW103">
        <v>0</v>
      </c>
      <c r="AX103">
        <v>4944356</v>
      </c>
      <c r="AY103">
        <v>2000000</v>
      </c>
      <c r="AZ103">
        <v>27154606</v>
      </c>
      <c r="BA103">
        <v>20010115</v>
      </c>
      <c r="BB103">
        <v>29019704</v>
      </c>
      <c r="BC103">
        <v>81241</v>
      </c>
      <c r="BD103">
        <v>2278038</v>
      </c>
      <c r="BE103">
        <v>0</v>
      </c>
      <c r="BF103">
        <v>37046446</v>
      </c>
      <c r="BG103">
        <v>1710763</v>
      </c>
      <c r="BH103">
        <v>0</v>
      </c>
      <c r="BI103">
        <v>0</v>
      </c>
      <c r="BJ103">
        <v>1436608</v>
      </c>
      <c r="BK103">
        <v>20348</v>
      </c>
      <c r="BL103">
        <v>0</v>
      </c>
      <c r="BM103">
        <v>0</v>
      </c>
      <c r="BN103">
        <v>66253070</v>
      </c>
      <c r="BO103">
        <v>13860762</v>
      </c>
      <c r="BP103">
        <v>60168279</v>
      </c>
      <c r="BQ103">
        <v>0</v>
      </c>
      <c r="BR103">
        <v>3313114</v>
      </c>
      <c r="BS103">
        <v>59833655</v>
      </c>
      <c r="BT103">
        <v>0</v>
      </c>
      <c r="BU103">
        <v>0</v>
      </c>
      <c r="BV103">
        <v>2441850</v>
      </c>
      <c r="BW103">
        <v>0</v>
      </c>
      <c r="BX103">
        <v>0</v>
      </c>
      <c r="BY103">
        <v>4109605</v>
      </c>
      <c r="BZ103">
        <v>2816152</v>
      </c>
      <c r="CA103">
        <v>33065934</v>
      </c>
      <c r="CB103">
        <v>0</v>
      </c>
      <c r="CC103">
        <v>0</v>
      </c>
      <c r="CD103">
        <v>21042864</v>
      </c>
      <c r="CE103">
        <v>810792</v>
      </c>
      <c r="CF103">
        <v>2973038</v>
      </c>
      <c r="CG103">
        <v>0</v>
      </c>
      <c r="CH103">
        <v>351173</v>
      </c>
      <c r="CI103">
        <v>0</v>
      </c>
      <c r="CJ103">
        <v>0</v>
      </c>
      <c r="CK103">
        <v>26153784</v>
      </c>
      <c r="CL103">
        <v>0</v>
      </c>
      <c r="CM103">
        <v>0</v>
      </c>
      <c r="CN103">
        <v>0</v>
      </c>
      <c r="CO103">
        <v>215197360</v>
      </c>
      <c r="CP103">
        <v>5105000</v>
      </c>
      <c r="CQ103">
        <v>86868467</v>
      </c>
      <c r="CR103">
        <v>0</v>
      </c>
      <c r="CS103">
        <v>0</v>
      </c>
      <c r="CT103">
        <v>0</v>
      </c>
      <c r="CU103">
        <v>4783622</v>
      </c>
      <c r="CV103">
        <v>9660775</v>
      </c>
      <c r="CW103">
        <v>8953854</v>
      </c>
      <c r="CX103">
        <v>0</v>
      </c>
      <c r="CY103">
        <v>132200</v>
      </c>
    </row>
    <row r="104" spans="1:103" x14ac:dyDescent="0.3">
      <c r="A104">
        <v>536</v>
      </c>
      <c r="B104" t="s">
        <v>167</v>
      </c>
      <c r="D104">
        <v>7607647</v>
      </c>
      <c r="E104">
        <v>594733</v>
      </c>
      <c r="F104">
        <v>122151</v>
      </c>
      <c r="G104">
        <v>3383966</v>
      </c>
      <c r="H104">
        <v>316851</v>
      </c>
      <c r="I104">
        <v>3690</v>
      </c>
      <c r="J104">
        <v>0</v>
      </c>
      <c r="K104">
        <v>249476</v>
      </c>
      <c r="L104">
        <v>1864798</v>
      </c>
      <c r="M104">
        <v>1628645</v>
      </c>
      <c r="N104">
        <v>449064</v>
      </c>
      <c r="O104">
        <v>117512</v>
      </c>
      <c r="P104">
        <v>10160607</v>
      </c>
      <c r="Q104">
        <v>514980</v>
      </c>
      <c r="R104">
        <v>0</v>
      </c>
      <c r="S104">
        <v>1237784</v>
      </c>
      <c r="T104">
        <v>1941938</v>
      </c>
      <c r="U104">
        <v>21502625</v>
      </c>
      <c r="V104">
        <v>1348918</v>
      </c>
      <c r="W104">
        <v>102642</v>
      </c>
      <c r="X104">
        <v>188123</v>
      </c>
      <c r="Y104">
        <v>161443</v>
      </c>
      <c r="Z104">
        <v>15426</v>
      </c>
      <c r="AA104">
        <v>0</v>
      </c>
      <c r="AB104">
        <v>642937</v>
      </c>
      <c r="AC104">
        <v>4881034</v>
      </c>
      <c r="AD104">
        <v>1372070</v>
      </c>
      <c r="AE104">
        <v>1220671</v>
      </c>
      <c r="AF104">
        <v>9933100</v>
      </c>
      <c r="AG104">
        <v>1565069</v>
      </c>
      <c r="AH104">
        <v>0</v>
      </c>
      <c r="AI104">
        <v>2664131</v>
      </c>
      <c r="AJ104">
        <v>1665848</v>
      </c>
      <c r="AK104">
        <v>0</v>
      </c>
      <c r="AL104">
        <v>5780187</v>
      </c>
      <c r="AM104">
        <v>45617500</v>
      </c>
      <c r="AN104">
        <v>1613059</v>
      </c>
      <c r="AO104">
        <v>1207820</v>
      </c>
      <c r="AP104">
        <v>6545517</v>
      </c>
      <c r="AQ104">
        <v>0</v>
      </c>
      <c r="AR104">
        <v>0</v>
      </c>
      <c r="AS104">
        <v>1507025</v>
      </c>
      <c r="AT104">
        <v>6630000</v>
      </c>
      <c r="AU104">
        <v>646607</v>
      </c>
      <c r="AV104">
        <v>259345</v>
      </c>
      <c r="AW104">
        <v>4380788</v>
      </c>
      <c r="AX104">
        <v>60656</v>
      </c>
      <c r="AY104">
        <v>3080330</v>
      </c>
      <c r="AZ104">
        <v>4490789</v>
      </c>
      <c r="BA104">
        <v>354701</v>
      </c>
      <c r="BB104">
        <v>3071476</v>
      </c>
      <c r="BC104">
        <v>153960</v>
      </c>
      <c r="BD104">
        <v>405720</v>
      </c>
      <c r="BE104">
        <v>0</v>
      </c>
      <c r="BF104">
        <v>33007</v>
      </c>
      <c r="BG104">
        <v>84249</v>
      </c>
      <c r="BH104">
        <v>1827432</v>
      </c>
      <c r="BI104">
        <v>230731</v>
      </c>
      <c r="BJ104">
        <v>1560470</v>
      </c>
      <c r="BK104">
        <v>0</v>
      </c>
      <c r="BL104">
        <v>5408</v>
      </c>
      <c r="BM104">
        <v>398524</v>
      </c>
      <c r="BN104">
        <v>3530613</v>
      </c>
      <c r="BO104">
        <v>911752</v>
      </c>
      <c r="BP104">
        <v>334118395</v>
      </c>
      <c r="BQ104">
        <v>556652</v>
      </c>
      <c r="BR104">
        <v>0</v>
      </c>
      <c r="BS104">
        <v>0</v>
      </c>
      <c r="BT104">
        <v>0</v>
      </c>
      <c r="BU104">
        <v>2128235</v>
      </c>
      <c r="BV104">
        <v>835834</v>
      </c>
      <c r="BW104">
        <v>196583</v>
      </c>
      <c r="BX104">
        <v>1849211</v>
      </c>
      <c r="BY104">
        <v>615201</v>
      </c>
      <c r="BZ104">
        <v>191844</v>
      </c>
      <c r="CA104">
        <v>3130879</v>
      </c>
      <c r="CB104">
        <v>6239487</v>
      </c>
      <c r="CC104">
        <v>504721</v>
      </c>
      <c r="CD104">
        <v>8752997</v>
      </c>
      <c r="CE104">
        <v>1588304</v>
      </c>
      <c r="CF104">
        <v>360297</v>
      </c>
      <c r="CG104">
        <v>861155</v>
      </c>
      <c r="CH104">
        <v>923604</v>
      </c>
      <c r="CI104">
        <v>0</v>
      </c>
      <c r="CJ104">
        <v>4033730</v>
      </c>
      <c r="CK104">
        <v>4257880</v>
      </c>
      <c r="CL104">
        <v>1407363</v>
      </c>
      <c r="CM104">
        <v>65565</v>
      </c>
      <c r="CN104">
        <v>300801</v>
      </c>
      <c r="CO104">
        <v>6786279</v>
      </c>
      <c r="CP104">
        <v>402170</v>
      </c>
      <c r="CQ104">
        <v>7549809</v>
      </c>
      <c r="CR104">
        <v>4159799</v>
      </c>
      <c r="CS104">
        <v>85838</v>
      </c>
      <c r="CT104">
        <v>261089</v>
      </c>
      <c r="CU104">
        <v>12536165</v>
      </c>
      <c r="CV104">
        <v>56304</v>
      </c>
      <c r="CW104">
        <v>6838574</v>
      </c>
      <c r="CX104">
        <v>0</v>
      </c>
      <c r="CY104">
        <v>1173744</v>
      </c>
    </row>
    <row r="105" spans="1:103" x14ac:dyDescent="0.3">
      <c r="A105">
        <v>537</v>
      </c>
      <c r="B105" t="s">
        <v>236</v>
      </c>
      <c r="D105">
        <v>0</v>
      </c>
      <c r="E105">
        <v>1</v>
      </c>
      <c r="F105">
        <v>0</v>
      </c>
      <c r="G105">
        <v>2</v>
      </c>
      <c r="H105">
        <v>0</v>
      </c>
      <c r="I105">
        <v>0</v>
      </c>
      <c r="J105">
        <v>1</v>
      </c>
      <c r="K105">
        <v>1</v>
      </c>
      <c r="L105">
        <v>1</v>
      </c>
      <c r="M105">
        <v>1</v>
      </c>
      <c r="N105">
        <v>0</v>
      </c>
      <c r="O105">
        <v>2</v>
      </c>
      <c r="P105">
        <v>2</v>
      </c>
      <c r="Q105">
        <v>1</v>
      </c>
      <c r="R105">
        <v>2</v>
      </c>
      <c r="S105">
        <v>1</v>
      </c>
      <c r="T105">
        <v>2</v>
      </c>
      <c r="U105">
        <v>0</v>
      </c>
      <c r="V105">
        <v>2</v>
      </c>
      <c r="W105">
        <v>0</v>
      </c>
      <c r="X105">
        <v>2</v>
      </c>
      <c r="Y105">
        <v>2</v>
      </c>
      <c r="Z105">
        <v>0</v>
      </c>
      <c r="AA105">
        <v>1</v>
      </c>
      <c r="AB105">
        <v>2</v>
      </c>
      <c r="AC105">
        <v>1</v>
      </c>
      <c r="AD105">
        <v>1</v>
      </c>
      <c r="AE105">
        <v>1</v>
      </c>
      <c r="AF105">
        <v>2</v>
      </c>
      <c r="AG105">
        <v>1</v>
      </c>
      <c r="AH105">
        <v>2</v>
      </c>
      <c r="AI105">
        <v>1</v>
      </c>
      <c r="AJ105">
        <v>1</v>
      </c>
      <c r="AK105">
        <v>0</v>
      </c>
      <c r="AL105">
        <v>1</v>
      </c>
      <c r="AM105">
        <v>2</v>
      </c>
      <c r="AN105">
        <v>2</v>
      </c>
      <c r="AO105">
        <v>0</v>
      </c>
      <c r="AP105">
        <v>2</v>
      </c>
      <c r="AQ105">
        <v>2</v>
      </c>
      <c r="AR105">
        <v>2</v>
      </c>
      <c r="AS105">
        <v>1</v>
      </c>
      <c r="AT105">
        <v>1</v>
      </c>
      <c r="AU105">
        <v>0</v>
      </c>
      <c r="AV105">
        <v>2</v>
      </c>
      <c r="AW105">
        <v>2</v>
      </c>
      <c r="AX105">
        <v>2</v>
      </c>
      <c r="AY105">
        <v>1</v>
      </c>
      <c r="AZ105">
        <v>2</v>
      </c>
      <c r="BA105">
        <v>2</v>
      </c>
      <c r="BB105">
        <v>1</v>
      </c>
      <c r="BC105">
        <v>1</v>
      </c>
      <c r="BD105">
        <v>0</v>
      </c>
      <c r="BE105">
        <v>0</v>
      </c>
      <c r="BF105">
        <v>2</v>
      </c>
      <c r="BG105">
        <v>2</v>
      </c>
      <c r="BH105">
        <v>0</v>
      </c>
      <c r="BI105">
        <v>2</v>
      </c>
      <c r="BJ105">
        <v>1</v>
      </c>
      <c r="BK105">
        <v>0</v>
      </c>
      <c r="BL105">
        <v>0</v>
      </c>
      <c r="BM105">
        <v>2</v>
      </c>
      <c r="BN105">
        <v>1</v>
      </c>
      <c r="BO105">
        <v>2</v>
      </c>
      <c r="BP105">
        <v>2</v>
      </c>
      <c r="BQ105">
        <v>2</v>
      </c>
      <c r="BR105">
        <v>2</v>
      </c>
      <c r="BS105">
        <v>0</v>
      </c>
      <c r="BT105">
        <v>1</v>
      </c>
      <c r="BU105">
        <v>2</v>
      </c>
      <c r="BV105">
        <v>1</v>
      </c>
      <c r="BW105">
        <v>2</v>
      </c>
      <c r="BX105">
        <v>2</v>
      </c>
      <c r="BY105">
        <v>2</v>
      </c>
      <c r="BZ105">
        <v>2</v>
      </c>
      <c r="CA105">
        <v>0</v>
      </c>
      <c r="CB105">
        <v>1</v>
      </c>
      <c r="CC105">
        <v>1</v>
      </c>
      <c r="CD105">
        <v>2</v>
      </c>
      <c r="CE105">
        <v>1</v>
      </c>
      <c r="CF105">
        <v>0</v>
      </c>
      <c r="CG105">
        <v>2</v>
      </c>
      <c r="CH105">
        <v>2</v>
      </c>
      <c r="CI105">
        <v>1</v>
      </c>
      <c r="CJ105">
        <v>2</v>
      </c>
      <c r="CK105">
        <v>2</v>
      </c>
      <c r="CL105">
        <v>2</v>
      </c>
      <c r="CM105">
        <v>0</v>
      </c>
      <c r="CN105">
        <v>1</v>
      </c>
      <c r="CO105">
        <v>2</v>
      </c>
      <c r="CP105">
        <v>2</v>
      </c>
      <c r="CQ105">
        <v>0</v>
      </c>
      <c r="CR105">
        <v>2</v>
      </c>
      <c r="CS105">
        <v>2</v>
      </c>
      <c r="CT105">
        <v>0</v>
      </c>
      <c r="CU105">
        <v>1</v>
      </c>
      <c r="CV105">
        <v>0</v>
      </c>
      <c r="CW105">
        <v>1</v>
      </c>
      <c r="CX105">
        <v>2</v>
      </c>
      <c r="CY105">
        <v>2</v>
      </c>
    </row>
    <row r="106" spans="1:103" x14ac:dyDescent="0.3">
      <c r="A106">
        <v>538</v>
      </c>
      <c r="B106" t="s">
        <v>235</v>
      </c>
      <c r="D106">
        <v>0</v>
      </c>
      <c r="E106">
        <v>1</v>
      </c>
      <c r="F106">
        <v>0</v>
      </c>
      <c r="G106">
        <v>2</v>
      </c>
      <c r="H106">
        <v>0</v>
      </c>
      <c r="I106">
        <v>0</v>
      </c>
      <c r="J106">
        <v>1</v>
      </c>
      <c r="K106">
        <v>2</v>
      </c>
      <c r="L106">
        <v>1</v>
      </c>
      <c r="M106">
        <v>2</v>
      </c>
      <c r="N106">
        <v>0</v>
      </c>
      <c r="O106">
        <v>1</v>
      </c>
      <c r="P106">
        <v>2</v>
      </c>
      <c r="Q106">
        <v>1</v>
      </c>
      <c r="R106">
        <v>2</v>
      </c>
      <c r="S106">
        <v>2</v>
      </c>
      <c r="T106">
        <v>2</v>
      </c>
      <c r="U106">
        <v>0</v>
      </c>
      <c r="V106">
        <v>2</v>
      </c>
      <c r="W106">
        <v>0</v>
      </c>
      <c r="X106">
        <v>2</v>
      </c>
      <c r="Y106">
        <v>2</v>
      </c>
      <c r="Z106">
        <v>0</v>
      </c>
      <c r="AA106">
        <v>1</v>
      </c>
      <c r="AB106">
        <v>2</v>
      </c>
      <c r="AC106">
        <v>1</v>
      </c>
      <c r="AD106">
        <v>1</v>
      </c>
      <c r="AE106">
        <v>1</v>
      </c>
      <c r="AF106">
        <v>2</v>
      </c>
      <c r="AG106">
        <v>1</v>
      </c>
      <c r="AH106">
        <v>2</v>
      </c>
      <c r="AI106">
        <v>1</v>
      </c>
      <c r="AJ106">
        <v>1</v>
      </c>
      <c r="AK106">
        <v>0</v>
      </c>
      <c r="AL106">
        <v>1</v>
      </c>
      <c r="AM106">
        <v>2</v>
      </c>
      <c r="AN106">
        <v>2</v>
      </c>
      <c r="AO106">
        <v>0</v>
      </c>
      <c r="AP106">
        <v>2</v>
      </c>
      <c r="AQ106">
        <v>2</v>
      </c>
      <c r="AR106">
        <v>2</v>
      </c>
      <c r="AS106">
        <v>2</v>
      </c>
      <c r="AT106">
        <v>2</v>
      </c>
      <c r="AU106">
        <v>0</v>
      </c>
      <c r="AV106">
        <v>2</v>
      </c>
      <c r="AW106">
        <v>2</v>
      </c>
      <c r="AX106">
        <v>2</v>
      </c>
      <c r="AY106">
        <v>1</v>
      </c>
      <c r="AZ106">
        <v>2</v>
      </c>
      <c r="BA106">
        <v>2</v>
      </c>
      <c r="BB106">
        <v>1</v>
      </c>
      <c r="BC106">
        <v>2</v>
      </c>
      <c r="BD106">
        <v>0</v>
      </c>
      <c r="BE106">
        <v>0</v>
      </c>
      <c r="BF106">
        <v>2</v>
      </c>
      <c r="BG106">
        <v>2</v>
      </c>
      <c r="BH106">
        <v>0</v>
      </c>
      <c r="BI106">
        <v>2</v>
      </c>
      <c r="BJ106">
        <v>1</v>
      </c>
      <c r="BK106">
        <v>0</v>
      </c>
      <c r="BL106">
        <v>0</v>
      </c>
      <c r="BM106">
        <v>2</v>
      </c>
      <c r="BN106">
        <v>1</v>
      </c>
      <c r="BO106">
        <v>1</v>
      </c>
      <c r="BP106">
        <v>2</v>
      </c>
      <c r="BQ106">
        <v>2</v>
      </c>
      <c r="BR106">
        <v>2</v>
      </c>
      <c r="BS106">
        <v>0</v>
      </c>
      <c r="BT106">
        <v>1</v>
      </c>
      <c r="BU106">
        <v>2</v>
      </c>
      <c r="BV106">
        <v>1</v>
      </c>
      <c r="BW106">
        <v>2</v>
      </c>
      <c r="BX106">
        <v>2</v>
      </c>
      <c r="BY106">
        <v>2</v>
      </c>
      <c r="BZ106">
        <v>2</v>
      </c>
      <c r="CA106">
        <v>0</v>
      </c>
      <c r="CB106">
        <v>1</v>
      </c>
      <c r="CC106">
        <v>1</v>
      </c>
      <c r="CD106">
        <v>2</v>
      </c>
      <c r="CE106">
        <v>1</v>
      </c>
      <c r="CF106">
        <v>0</v>
      </c>
      <c r="CG106">
        <v>2</v>
      </c>
      <c r="CH106">
        <v>2</v>
      </c>
      <c r="CI106">
        <v>1</v>
      </c>
      <c r="CJ106">
        <v>1</v>
      </c>
      <c r="CK106">
        <v>2</v>
      </c>
      <c r="CL106">
        <v>2</v>
      </c>
      <c r="CM106">
        <v>0</v>
      </c>
      <c r="CN106">
        <v>2</v>
      </c>
      <c r="CO106">
        <v>1</v>
      </c>
      <c r="CP106">
        <v>2</v>
      </c>
      <c r="CQ106">
        <v>0</v>
      </c>
      <c r="CR106">
        <v>2</v>
      </c>
      <c r="CS106">
        <v>2</v>
      </c>
      <c r="CT106">
        <v>0</v>
      </c>
      <c r="CU106">
        <v>1</v>
      </c>
      <c r="CV106">
        <v>0</v>
      </c>
      <c r="CW106">
        <v>1</v>
      </c>
      <c r="CX106">
        <v>2</v>
      </c>
      <c r="CY106">
        <v>2</v>
      </c>
    </row>
    <row r="107" spans="1:103" x14ac:dyDescent="0.3">
      <c r="A107">
        <v>540</v>
      </c>
      <c r="B107" t="s">
        <v>210</v>
      </c>
      <c r="D107">
        <v>4985827</v>
      </c>
      <c r="E107">
        <v>6061120</v>
      </c>
      <c r="F107">
        <v>0</v>
      </c>
      <c r="G107">
        <v>0</v>
      </c>
      <c r="H107">
        <v>3834848</v>
      </c>
      <c r="I107">
        <v>0</v>
      </c>
      <c r="J107">
        <v>0</v>
      </c>
      <c r="K107">
        <v>0</v>
      </c>
      <c r="L107">
        <v>10347676</v>
      </c>
      <c r="M107">
        <v>6046124</v>
      </c>
      <c r="N107">
        <v>15947652</v>
      </c>
      <c r="O107">
        <v>3076935</v>
      </c>
      <c r="P107">
        <v>0</v>
      </c>
      <c r="Q107">
        <v>4856352</v>
      </c>
      <c r="R107">
        <v>0</v>
      </c>
      <c r="S107">
        <v>3300000</v>
      </c>
      <c r="T107">
        <v>1235126</v>
      </c>
      <c r="U107">
        <v>11154833</v>
      </c>
      <c r="V107">
        <v>8937201</v>
      </c>
      <c r="W107">
        <v>2172617</v>
      </c>
      <c r="X107">
        <v>0</v>
      </c>
      <c r="Y107">
        <v>0</v>
      </c>
      <c r="Z107">
        <v>4238027</v>
      </c>
      <c r="AA107">
        <v>0</v>
      </c>
      <c r="AB107">
        <v>3731</v>
      </c>
      <c r="AC107">
        <v>8071721</v>
      </c>
      <c r="AD107">
        <v>2603667</v>
      </c>
      <c r="AE107">
        <v>3745155</v>
      </c>
      <c r="AF107">
        <v>5533382</v>
      </c>
      <c r="AG107">
        <v>4493521</v>
      </c>
      <c r="AH107">
        <v>2753796</v>
      </c>
      <c r="AI107">
        <v>28509242</v>
      </c>
      <c r="AJ107">
        <v>5569357</v>
      </c>
      <c r="AK107">
        <v>13901975</v>
      </c>
      <c r="AL107">
        <v>3574535</v>
      </c>
      <c r="AM107">
        <v>27810749</v>
      </c>
      <c r="AN107">
        <v>18805</v>
      </c>
      <c r="AO107">
        <v>1201383</v>
      </c>
      <c r="AP107">
        <v>3466276</v>
      </c>
      <c r="AQ107">
        <v>100000</v>
      </c>
      <c r="AR107">
        <v>30795397</v>
      </c>
      <c r="AS107">
        <v>4800905</v>
      </c>
      <c r="AT107">
        <v>4372996</v>
      </c>
      <c r="AU107">
        <v>5356405</v>
      </c>
      <c r="AV107">
        <v>0</v>
      </c>
      <c r="AW107">
        <v>1927401</v>
      </c>
      <c r="AX107">
        <v>300000</v>
      </c>
      <c r="AY107">
        <v>412000</v>
      </c>
      <c r="AZ107">
        <v>0</v>
      </c>
      <c r="BA107">
        <v>0</v>
      </c>
      <c r="BB107">
        <v>2806215</v>
      </c>
      <c r="BC107">
        <v>669422</v>
      </c>
      <c r="BD107">
        <v>4253206</v>
      </c>
      <c r="BE107">
        <v>14044055</v>
      </c>
      <c r="BF107">
        <v>576532</v>
      </c>
      <c r="BG107">
        <v>0</v>
      </c>
      <c r="BH107">
        <v>1787504</v>
      </c>
      <c r="BI107">
        <v>1423881</v>
      </c>
      <c r="BJ107">
        <v>709300</v>
      </c>
      <c r="BK107">
        <v>57270982</v>
      </c>
      <c r="BL107">
        <v>110831</v>
      </c>
      <c r="BM107">
        <v>3480050</v>
      </c>
      <c r="BN107">
        <v>496095</v>
      </c>
      <c r="BO107">
        <v>6473966</v>
      </c>
      <c r="BP107">
        <v>10033297</v>
      </c>
      <c r="BQ107">
        <v>2160660</v>
      </c>
      <c r="BR107">
        <v>10744208</v>
      </c>
      <c r="BS107">
        <v>14608880</v>
      </c>
      <c r="BT107">
        <v>2099815</v>
      </c>
      <c r="BU107">
        <v>806800</v>
      </c>
      <c r="BV107">
        <v>40139</v>
      </c>
      <c r="BW107">
        <v>0</v>
      </c>
      <c r="BX107">
        <v>2168060</v>
      </c>
      <c r="BY107">
        <v>4903179</v>
      </c>
      <c r="BZ107">
        <v>835293</v>
      </c>
      <c r="CA107">
        <v>3405621</v>
      </c>
      <c r="CB107">
        <v>0</v>
      </c>
      <c r="CC107">
        <v>0</v>
      </c>
      <c r="CD107">
        <v>13330428</v>
      </c>
      <c r="CE107">
        <v>9327527</v>
      </c>
      <c r="CF107">
        <v>4735029</v>
      </c>
      <c r="CG107">
        <v>4711780</v>
      </c>
      <c r="CH107">
        <v>2149291</v>
      </c>
      <c r="CI107">
        <v>0</v>
      </c>
      <c r="CJ107">
        <v>3636186</v>
      </c>
      <c r="CK107">
        <v>10931636</v>
      </c>
      <c r="CL107">
        <v>1000000</v>
      </c>
      <c r="CM107">
        <v>1680995</v>
      </c>
      <c r="CN107">
        <v>844237</v>
      </c>
      <c r="CO107">
        <v>8270719</v>
      </c>
      <c r="CP107">
        <v>1655897</v>
      </c>
      <c r="CQ107">
        <v>7818000</v>
      </c>
      <c r="CR107">
        <v>2843272</v>
      </c>
      <c r="CS107">
        <v>3854430</v>
      </c>
      <c r="CT107">
        <v>0</v>
      </c>
      <c r="CU107">
        <v>2122032</v>
      </c>
      <c r="CV107">
        <v>6118080</v>
      </c>
      <c r="CW107">
        <v>13487519</v>
      </c>
      <c r="CX107">
        <v>2948406</v>
      </c>
      <c r="CY107">
        <v>0</v>
      </c>
    </row>
    <row r="108" spans="1:103" x14ac:dyDescent="0.3">
      <c r="A108">
        <v>541</v>
      </c>
      <c r="B108" t="s">
        <v>261</v>
      </c>
      <c r="D108">
        <v>0</v>
      </c>
      <c r="E108">
        <v>562813</v>
      </c>
      <c r="F108">
        <v>0</v>
      </c>
      <c r="G108">
        <v>130397</v>
      </c>
      <c r="H108">
        <v>0</v>
      </c>
      <c r="I108">
        <v>0</v>
      </c>
      <c r="J108">
        <v>1158032</v>
      </c>
      <c r="K108">
        <v>554424</v>
      </c>
      <c r="L108">
        <v>303133</v>
      </c>
      <c r="M108">
        <v>24056017</v>
      </c>
      <c r="N108">
        <v>0</v>
      </c>
      <c r="O108">
        <v>167989</v>
      </c>
      <c r="P108">
        <v>0</v>
      </c>
      <c r="Q108">
        <v>1100298</v>
      </c>
      <c r="R108">
        <v>167172</v>
      </c>
      <c r="S108">
        <v>192318</v>
      </c>
      <c r="T108">
        <v>0</v>
      </c>
      <c r="U108">
        <v>0</v>
      </c>
      <c r="V108">
        <v>3708937</v>
      </c>
      <c r="W108">
        <v>0</v>
      </c>
      <c r="X108">
        <v>117221</v>
      </c>
      <c r="Y108">
        <v>54173</v>
      </c>
      <c r="Z108">
        <v>0</v>
      </c>
      <c r="AA108">
        <v>953416</v>
      </c>
      <c r="AB108">
        <v>680996</v>
      </c>
      <c r="AC108">
        <v>191550</v>
      </c>
      <c r="AD108">
        <v>-14165</v>
      </c>
      <c r="AE108">
        <v>-1702086</v>
      </c>
      <c r="AF108">
        <v>-548900</v>
      </c>
      <c r="AG108">
        <v>2042567</v>
      </c>
      <c r="AH108">
        <v>1734677</v>
      </c>
      <c r="AI108">
        <v>0</v>
      </c>
      <c r="AJ108">
        <v>710854</v>
      </c>
      <c r="AK108">
        <v>0</v>
      </c>
      <c r="AL108">
        <v>5327385</v>
      </c>
      <c r="AM108">
        <v>0</v>
      </c>
      <c r="AN108">
        <v>155464</v>
      </c>
      <c r="AO108">
        <v>0</v>
      </c>
      <c r="AP108">
        <v>0</v>
      </c>
      <c r="AQ108">
        <v>1111553</v>
      </c>
      <c r="AR108">
        <v>0</v>
      </c>
      <c r="AS108">
        <v>181436</v>
      </c>
      <c r="AT108">
        <v>18717294</v>
      </c>
      <c r="AU108">
        <v>0</v>
      </c>
      <c r="AV108">
        <v>0</v>
      </c>
      <c r="AW108">
        <v>-13656</v>
      </c>
      <c r="AX108">
        <v>146194</v>
      </c>
      <c r="AY108">
        <v>-48838</v>
      </c>
      <c r="AZ108">
        <v>0</v>
      </c>
      <c r="BA108">
        <v>0</v>
      </c>
      <c r="BB108">
        <v>23202337</v>
      </c>
      <c r="BC108">
        <v>101973</v>
      </c>
      <c r="BD108">
        <v>0</v>
      </c>
      <c r="BE108">
        <v>0</v>
      </c>
      <c r="BF108">
        <v>3620560</v>
      </c>
      <c r="BG108">
        <v>0</v>
      </c>
      <c r="BH108">
        <v>0</v>
      </c>
      <c r="BI108">
        <v>-98103</v>
      </c>
      <c r="BJ108">
        <v>41286</v>
      </c>
      <c r="BK108">
        <v>0</v>
      </c>
      <c r="BL108">
        <v>0</v>
      </c>
      <c r="BM108">
        <v>1080673</v>
      </c>
      <c r="BN108">
        <v>5249752</v>
      </c>
      <c r="BO108">
        <v>260782</v>
      </c>
      <c r="BP108">
        <v>0</v>
      </c>
      <c r="BQ108">
        <v>337000</v>
      </c>
      <c r="BR108">
        <v>0</v>
      </c>
      <c r="BS108">
        <v>0</v>
      </c>
      <c r="BT108">
        <v>372250</v>
      </c>
      <c r="BU108">
        <v>1707</v>
      </c>
      <c r="BV108">
        <v>-16670473</v>
      </c>
      <c r="BW108">
        <v>332470</v>
      </c>
      <c r="BX108">
        <v>0</v>
      </c>
      <c r="BY108">
        <v>0</v>
      </c>
      <c r="BZ108">
        <v>18000</v>
      </c>
      <c r="CA108">
        <v>0</v>
      </c>
      <c r="CB108">
        <v>1387062</v>
      </c>
      <c r="CC108">
        <v>4112359</v>
      </c>
      <c r="CD108">
        <v>-328653</v>
      </c>
      <c r="CE108">
        <v>-324179</v>
      </c>
      <c r="CF108">
        <v>0</v>
      </c>
      <c r="CG108">
        <v>-39612</v>
      </c>
      <c r="CH108">
        <v>1688304</v>
      </c>
      <c r="CI108">
        <v>342002</v>
      </c>
      <c r="CJ108">
        <v>-6663</v>
      </c>
      <c r="CK108">
        <v>0</v>
      </c>
      <c r="CL108">
        <v>0</v>
      </c>
      <c r="CM108">
        <v>0</v>
      </c>
      <c r="CN108">
        <v>452263</v>
      </c>
      <c r="CO108">
        <v>21228233</v>
      </c>
      <c r="CP108">
        <v>43399</v>
      </c>
      <c r="CQ108">
        <v>0</v>
      </c>
      <c r="CR108">
        <v>564230</v>
      </c>
      <c r="CS108">
        <v>290068</v>
      </c>
      <c r="CT108">
        <v>0</v>
      </c>
      <c r="CU108">
        <v>-63601</v>
      </c>
      <c r="CV108">
        <v>0</v>
      </c>
      <c r="CW108">
        <v>930080</v>
      </c>
      <c r="CX108">
        <v>-153596</v>
      </c>
      <c r="CY108">
        <v>0</v>
      </c>
    </row>
    <row r="109" spans="1:103" x14ac:dyDescent="0.3">
      <c r="A109">
        <v>542</v>
      </c>
      <c r="B109" t="s">
        <v>614</v>
      </c>
      <c r="D109">
        <v>0</v>
      </c>
      <c r="E109">
        <v>0</v>
      </c>
      <c r="F109">
        <v>0</v>
      </c>
      <c r="G109">
        <v>992216</v>
      </c>
      <c r="H109">
        <v>0</v>
      </c>
      <c r="I109">
        <v>0</v>
      </c>
      <c r="J109">
        <v>0</v>
      </c>
      <c r="K109">
        <v>0</v>
      </c>
      <c r="L109">
        <v>0</v>
      </c>
      <c r="M109">
        <v>0</v>
      </c>
      <c r="N109">
        <v>0</v>
      </c>
      <c r="O109">
        <v>0</v>
      </c>
      <c r="P109">
        <v>0</v>
      </c>
      <c r="Q109">
        <v>0</v>
      </c>
      <c r="R109">
        <v>0</v>
      </c>
      <c r="S109">
        <v>0</v>
      </c>
      <c r="T109">
        <v>0</v>
      </c>
      <c r="U109">
        <v>0</v>
      </c>
      <c r="V109">
        <v>1484454</v>
      </c>
      <c r="W109">
        <v>0</v>
      </c>
      <c r="X109">
        <v>0</v>
      </c>
      <c r="Y109">
        <v>0</v>
      </c>
      <c r="Z109">
        <v>0</v>
      </c>
      <c r="AA109">
        <v>0</v>
      </c>
      <c r="AB109">
        <v>1000000</v>
      </c>
      <c r="AC109">
        <v>0</v>
      </c>
      <c r="AD109">
        <v>0</v>
      </c>
      <c r="AE109">
        <v>0</v>
      </c>
      <c r="AF109">
        <v>0</v>
      </c>
      <c r="AG109">
        <v>0</v>
      </c>
      <c r="AH109">
        <v>0</v>
      </c>
      <c r="AI109">
        <v>0</v>
      </c>
      <c r="AJ109">
        <v>0</v>
      </c>
      <c r="AK109">
        <v>0</v>
      </c>
      <c r="AL109">
        <v>164498</v>
      </c>
      <c r="AM109">
        <v>0</v>
      </c>
      <c r="AN109">
        <v>0</v>
      </c>
      <c r="AO109">
        <v>0</v>
      </c>
      <c r="AP109">
        <v>0</v>
      </c>
      <c r="AQ109">
        <v>51216</v>
      </c>
      <c r="AR109">
        <v>0</v>
      </c>
      <c r="AS109">
        <v>0</v>
      </c>
      <c r="AT109">
        <v>0</v>
      </c>
      <c r="AU109">
        <v>0</v>
      </c>
      <c r="AV109">
        <v>0</v>
      </c>
      <c r="AW109">
        <v>0</v>
      </c>
      <c r="AX109">
        <v>153027</v>
      </c>
      <c r="AY109">
        <v>0</v>
      </c>
      <c r="AZ109">
        <v>0</v>
      </c>
      <c r="BA109">
        <v>0</v>
      </c>
      <c r="BB109">
        <v>3392163</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147027</v>
      </c>
      <c r="CE109">
        <v>319055</v>
      </c>
      <c r="CF109">
        <v>0</v>
      </c>
      <c r="CG109">
        <v>0</v>
      </c>
      <c r="CH109">
        <v>0</v>
      </c>
      <c r="CI109">
        <v>221726</v>
      </c>
      <c r="CJ109">
        <v>131030</v>
      </c>
      <c r="CK109">
        <v>0</v>
      </c>
      <c r="CL109">
        <v>0</v>
      </c>
      <c r="CM109">
        <v>0</v>
      </c>
      <c r="CN109">
        <v>0</v>
      </c>
      <c r="CO109">
        <v>7637847</v>
      </c>
      <c r="CP109">
        <v>0</v>
      </c>
      <c r="CQ109">
        <v>0</v>
      </c>
      <c r="CR109">
        <v>0</v>
      </c>
      <c r="CS109">
        <v>0</v>
      </c>
      <c r="CT109">
        <v>0</v>
      </c>
      <c r="CU109">
        <v>0</v>
      </c>
      <c r="CV109">
        <v>0</v>
      </c>
      <c r="CW109">
        <v>0</v>
      </c>
      <c r="CX109">
        <v>0</v>
      </c>
      <c r="CY109">
        <v>0</v>
      </c>
    </row>
    <row r="110" spans="1:103" x14ac:dyDescent="0.3">
      <c r="A110">
        <v>544</v>
      </c>
      <c r="B110" t="s">
        <v>48</v>
      </c>
      <c r="D110">
        <v>0</v>
      </c>
      <c r="E110">
        <v>0</v>
      </c>
      <c r="F110">
        <v>0</v>
      </c>
      <c r="G110">
        <v>0</v>
      </c>
      <c r="H110">
        <v>6.7</v>
      </c>
      <c r="I110">
        <v>0</v>
      </c>
      <c r="J110">
        <v>0</v>
      </c>
      <c r="K110">
        <v>0</v>
      </c>
      <c r="L110">
        <v>0</v>
      </c>
      <c r="M110">
        <v>0</v>
      </c>
      <c r="N110">
        <v>0</v>
      </c>
      <c r="O110">
        <v>0</v>
      </c>
      <c r="P110">
        <v>0</v>
      </c>
      <c r="Q110">
        <v>0</v>
      </c>
      <c r="R110">
        <v>0</v>
      </c>
      <c r="S110">
        <v>0</v>
      </c>
      <c r="T110">
        <v>0</v>
      </c>
      <c r="U110">
        <v>0</v>
      </c>
      <c r="V110">
        <v>0</v>
      </c>
      <c r="W110">
        <v>0.04</v>
      </c>
      <c r="X110">
        <v>0</v>
      </c>
      <c r="Y110">
        <v>0</v>
      </c>
      <c r="Z110">
        <v>0</v>
      </c>
      <c r="AA110">
        <v>0</v>
      </c>
      <c r="AB110">
        <v>1.06E-2</v>
      </c>
      <c r="AC110">
        <v>0</v>
      </c>
      <c r="AD110">
        <v>0</v>
      </c>
      <c r="AE110">
        <v>0</v>
      </c>
      <c r="AF110">
        <v>0</v>
      </c>
      <c r="AG110">
        <v>0</v>
      </c>
      <c r="AH110">
        <v>0</v>
      </c>
      <c r="AI110">
        <v>0</v>
      </c>
      <c r="AJ110">
        <v>0</v>
      </c>
      <c r="AK110">
        <v>7.4999999999999997E-3</v>
      </c>
      <c r="AL110">
        <v>0</v>
      </c>
      <c r="AM110">
        <v>0</v>
      </c>
      <c r="AN110">
        <v>0</v>
      </c>
      <c r="AO110">
        <v>0</v>
      </c>
      <c r="AP110">
        <v>0</v>
      </c>
      <c r="AQ110">
        <v>0</v>
      </c>
      <c r="AR110">
        <v>0</v>
      </c>
      <c r="AS110">
        <v>0</v>
      </c>
      <c r="AT110">
        <v>0</v>
      </c>
      <c r="AU110">
        <v>0</v>
      </c>
      <c r="AV110">
        <v>0</v>
      </c>
      <c r="AW110">
        <v>0</v>
      </c>
      <c r="AX110">
        <v>0</v>
      </c>
      <c r="AY110">
        <v>0.1</v>
      </c>
      <c r="AZ110">
        <v>0</v>
      </c>
      <c r="BA110">
        <v>0</v>
      </c>
      <c r="BB110">
        <v>0</v>
      </c>
      <c r="BC110">
        <v>0</v>
      </c>
      <c r="BD110">
        <v>0</v>
      </c>
      <c r="BE110">
        <v>0</v>
      </c>
      <c r="BF110">
        <v>0.02</v>
      </c>
      <c r="BG110">
        <v>2.5000000000000001E-2</v>
      </c>
      <c r="BH110">
        <v>0</v>
      </c>
      <c r="BI110">
        <v>0</v>
      </c>
      <c r="BJ110">
        <v>0</v>
      </c>
      <c r="BK110">
        <v>0</v>
      </c>
      <c r="BL110">
        <v>0</v>
      </c>
      <c r="BM110">
        <v>0</v>
      </c>
      <c r="BN110">
        <v>0</v>
      </c>
      <c r="BO110">
        <v>0</v>
      </c>
      <c r="BP110">
        <v>5.0000000000000001E-3</v>
      </c>
      <c r="BQ110">
        <v>0</v>
      </c>
      <c r="BR110">
        <v>0</v>
      </c>
      <c r="BS110">
        <v>0</v>
      </c>
      <c r="BT110">
        <v>0</v>
      </c>
      <c r="BU110">
        <v>0</v>
      </c>
      <c r="BV110">
        <v>0</v>
      </c>
      <c r="BW110">
        <v>0</v>
      </c>
      <c r="BX110">
        <v>0</v>
      </c>
      <c r="BY110">
        <v>4.4000000000000003E-3</v>
      </c>
      <c r="BZ110">
        <v>0</v>
      </c>
      <c r="CA110">
        <v>0</v>
      </c>
      <c r="CB110">
        <v>0</v>
      </c>
      <c r="CC110">
        <v>0</v>
      </c>
      <c r="CD110">
        <v>0</v>
      </c>
      <c r="CE110">
        <v>0</v>
      </c>
      <c r="CF110">
        <v>0</v>
      </c>
      <c r="CG110">
        <v>0</v>
      </c>
      <c r="CH110">
        <v>0</v>
      </c>
      <c r="CI110">
        <v>0</v>
      </c>
      <c r="CJ110">
        <v>0</v>
      </c>
      <c r="CK110">
        <v>0</v>
      </c>
      <c r="CL110">
        <v>0</v>
      </c>
      <c r="CM110">
        <v>0</v>
      </c>
      <c r="CN110">
        <v>0.01</v>
      </c>
      <c r="CO110">
        <v>0</v>
      </c>
      <c r="CP110">
        <v>0</v>
      </c>
      <c r="CQ110">
        <v>0</v>
      </c>
      <c r="CR110">
        <v>0</v>
      </c>
      <c r="CS110">
        <v>0</v>
      </c>
      <c r="CT110">
        <v>0</v>
      </c>
      <c r="CU110">
        <v>0</v>
      </c>
      <c r="CV110">
        <v>0</v>
      </c>
      <c r="CW110">
        <v>0</v>
      </c>
      <c r="CX110">
        <v>0</v>
      </c>
      <c r="CY110">
        <v>0</v>
      </c>
    </row>
    <row r="111" spans="1:103" x14ac:dyDescent="0.3">
      <c r="A111">
        <v>545</v>
      </c>
      <c r="B111" t="s">
        <v>49</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0.05</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-2E-3</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row>
    <row r="112" spans="1:103" x14ac:dyDescent="0.3">
      <c r="A112">
        <v>546</v>
      </c>
      <c r="B112" t="s">
        <v>615</v>
      </c>
      <c r="D112">
        <v>0</v>
      </c>
      <c r="E112">
        <v>0</v>
      </c>
      <c r="F112">
        <v>0</v>
      </c>
      <c r="G112">
        <v>0</v>
      </c>
      <c r="H112">
        <v>0</v>
      </c>
      <c r="I112">
        <v>0</v>
      </c>
      <c r="J112">
        <v>0</v>
      </c>
      <c r="K112">
        <v>0</v>
      </c>
      <c r="L112">
        <v>0</v>
      </c>
      <c r="M112">
        <v>0</v>
      </c>
      <c r="N112">
        <v>11368288</v>
      </c>
      <c r="O112">
        <v>0</v>
      </c>
      <c r="P112">
        <v>0</v>
      </c>
      <c r="Q112">
        <v>0</v>
      </c>
      <c r="R112">
        <v>0</v>
      </c>
      <c r="S112">
        <v>0</v>
      </c>
      <c r="T112">
        <v>0</v>
      </c>
      <c r="U112">
        <v>0</v>
      </c>
      <c r="V112">
        <v>0</v>
      </c>
      <c r="W112">
        <v>0</v>
      </c>
      <c r="X112">
        <v>0</v>
      </c>
      <c r="Y112">
        <v>0</v>
      </c>
      <c r="Z112">
        <v>14414075</v>
      </c>
      <c r="AA112">
        <v>0</v>
      </c>
      <c r="AB112">
        <v>0</v>
      </c>
      <c r="AC112">
        <v>0</v>
      </c>
      <c r="AD112">
        <v>0</v>
      </c>
      <c r="AE112">
        <v>0</v>
      </c>
      <c r="AF112">
        <v>1844456</v>
      </c>
      <c r="AG112">
        <v>0</v>
      </c>
      <c r="AH112">
        <v>0</v>
      </c>
      <c r="AI112">
        <v>0</v>
      </c>
      <c r="AJ112">
        <v>0</v>
      </c>
      <c r="AK112">
        <v>0</v>
      </c>
      <c r="AL112">
        <v>0</v>
      </c>
      <c r="AM112">
        <v>0</v>
      </c>
      <c r="AN112">
        <v>0</v>
      </c>
      <c r="AO112">
        <v>0</v>
      </c>
      <c r="AP112">
        <v>0</v>
      </c>
      <c r="AQ112">
        <v>0</v>
      </c>
      <c r="AR112">
        <v>0</v>
      </c>
      <c r="AS112">
        <v>5452542</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299386</v>
      </c>
      <c r="CA112">
        <v>6084854</v>
      </c>
      <c r="CB112">
        <v>0</v>
      </c>
      <c r="CC112">
        <v>0</v>
      </c>
      <c r="CD112">
        <v>0</v>
      </c>
      <c r="CE112">
        <v>0</v>
      </c>
      <c r="CF112">
        <v>0</v>
      </c>
      <c r="CG112">
        <v>0</v>
      </c>
      <c r="CH112">
        <v>0</v>
      </c>
      <c r="CI112">
        <v>0</v>
      </c>
      <c r="CJ112">
        <v>93156</v>
      </c>
      <c r="CK112">
        <v>0</v>
      </c>
      <c r="CL112">
        <v>0</v>
      </c>
      <c r="CM112">
        <v>0</v>
      </c>
      <c r="CN112">
        <v>0</v>
      </c>
      <c r="CO112">
        <v>0</v>
      </c>
      <c r="CP112">
        <v>0</v>
      </c>
      <c r="CQ112">
        <v>0</v>
      </c>
      <c r="CR112">
        <v>0</v>
      </c>
      <c r="CS112">
        <v>0</v>
      </c>
      <c r="CT112">
        <v>0</v>
      </c>
      <c r="CU112">
        <v>0</v>
      </c>
      <c r="CV112">
        <v>0</v>
      </c>
      <c r="CW112">
        <v>0</v>
      </c>
      <c r="CX112">
        <v>0</v>
      </c>
      <c r="CY112">
        <v>0</v>
      </c>
    </row>
    <row r="113" spans="1:103" x14ac:dyDescent="0.3">
      <c r="A113">
        <v>547</v>
      </c>
      <c r="B113" t="s">
        <v>616</v>
      </c>
      <c r="D113">
        <v>3</v>
      </c>
      <c r="E113">
        <v>3</v>
      </c>
      <c r="F113">
        <v>3</v>
      </c>
      <c r="G113">
        <v>3</v>
      </c>
      <c r="H113">
        <v>3</v>
      </c>
      <c r="I113">
        <v>3</v>
      </c>
      <c r="J113">
        <v>3</v>
      </c>
      <c r="K113">
        <v>3</v>
      </c>
      <c r="L113">
        <v>4</v>
      </c>
      <c r="M113">
        <v>3</v>
      </c>
      <c r="N113">
        <v>3</v>
      </c>
      <c r="O113">
        <v>3</v>
      </c>
      <c r="P113">
        <v>3</v>
      </c>
      <c r="Q113">
        <v>3</v>
      </c>
      <c r="R113">
        <v>3</v>
      </c>
      <c r="S113">
        <v>3</v>
      </c>
      <c r="T113">
        <v>3</v>
      </c>
      <c r="U113">
        <v>3</v>
      </c>
      <c r="V113">
        <v>3</v>
      </c>
      <c r="W113">
        <v>3</v>
      </c>
      <c r="X113">
        <v>3</v>
      </c>
      <c r="Y113">
        <v>3</v>
      </c>
      <c r="Z113">
        <v>3</v>
      </c>
      <c r="AA113">
        <v>3</v>
      </c>
      <c r="AB113">
        <v>3</v>
      </c>
      <c r="AC113">
        <v>1</v>
      </c>
      <c r="AD113">
        <v>3</v>
      </c>
      <c r="AE113">
        <v>3</v>
      </c>
      <c r="AF113">
        <v>3</v>
      </c>
      <c r="AG113">
        <v>3</v>
      </c>
      <c r="AH113">
        <v>1</v>
      </c>
      <c r="AI113">
        <v>3</v>
      </c>
      <c r="AJ113">
        <v>3</v>
      </c>
      <c r="AK113">
        <v>1</v>
      </c>
      <c r="AL113">
        <v>3</v>
      </c>
      <c r="AM113">
        <v>3</v>
      </c>
      <c r="AN113">
        <v>3</v>
      </c>
      <c r="AO113">
        <v>2</v>
      </c>
      <c r="AP113">
        <v>3</v>
      </c>
      <c r="AQ113">
        <v>3</v>
      </c>
      <c r="AR113">
        <v>3</v>
      </c>
      <c r="AS113">
        <v>3</v>
      </c>
      <c r="AT113">
        <v>3</v>
      </c>
      <c r="AU113">
        <v>3</v>
      </c>
      <c r="AV113">
        <v>3</v>
      </c>
      <c r="AW113">
        <v>3</v>
      </c>
      <c r="AX113">
        <v>3</v>
      </c>
      <c r="AY113">
        <v>3</v>
      </c>
      <c r="AZ113">
        <v>1</v>
      </c>
      <c r="BA113">
        <v>3</v>
      </c>
      <c r="BB113">
        <v>3</v>
      </c>
      <c r="BC113">
        <v>2</v>
      </c>
      <c r="BD113">
        <v>3</v>
      </c>
      <c r="BE113">
        <v>3</v>
      </c>
      <c r="BF113">
        <v>3</v>
      </c>
      <c r="BG113">
        <v>3</v>
      </c>
      <c r="BH113">
        <v>2</v>
      </c>
      <c r="BI113">
        <v>3</v>
      </c>
      <c r="BJ113">
        <v>3</v>
      </c>
      <c r="BK113">
        <v>3</v>
      </c>
      <c r="BL113">
        <v>3</v>
      </c>
      <c r="BM113">
        <v>3</v>
      </c>
      <c r="BN113">
        <v>3</v>
      </c>
      <c r="BO113">
        <v>3</v>
      </c>
      <c r="BP113">
        <v>3</v>
      </c>
      <c r="BQ113">
        <v>4</v>
      </c>
      <c r="BR113">
        <v>3</v>
      </c>
      <c r="BS113">
        <v>3</v>
      </c>
      <c r="BT113">
        <v>3</v>
      </c>
      <c r="BU113">
        <v>3</v>
      </c>
      <c r="BV113">
        <v>3</v>
      </c>
      <c r="BW113">
        <v>3</v>
      </c>
      <c r="BX113">
        <v>3</v>
      </c>
      <c r="BY113">
        <v>3</v>
      </c>
      <c r="BZ113">
        <v>2</v>
      </c>
      <c r="CA113">
        <v>3</v>
      </c>
      <c r="CB113">
        <v>3</v>
      </c>
      <c r="CC113">
        <v>3</v>
      </c>
      <c r="CD113">
        <v>3</v>
      </c>
      <c r="CE113">
        <v>3</v>
      </c>
      <c r="CF113">
        <v>4</v>
      </c>
      <c r="CG113">
        <v>3</v>
      </c>
      <c r="CH113">
        <v>3</v>
      </c>
      <c r="CI113">
        <v>3</v>
      </c>
      <c r="CJ113">
        <v>3</v>
      </c>
      <c r="CK113">
        <v>3</v>
      </c>
      <c r="CL113">
        <v>1</v>
      </c>
      <c r="CM113">
        <v>3</v>
      </c>
      <c r="CN113">
        <v>3</v>
      </c>
      <c r="CO113">
        <v>3</v>
      </c>
      <c r="CP113">
        <v>3</v>
      </c>
      <c r="CQ113">
        <v>1</v>
      </c>
      <c r="CR113">
        <v>1</v>
      </c>
      <c r="CS113">
        <v>4</v>
      </c>
      <c r="CT113">
        <v>3</v>
      </c>
      <c r="CU113">
        <v>3</v>
      </c>
      <c r="CV113">
        <v>3</v>
      </c>
      <c r="CW113">
        <v>3</v>
      </c>
      <c r="CX113">
        <v>3</v>
      </c>
      <c r="CY113">
        <v>3</v>
      </c>
    </row>
    <row r="114" spans="1:103" x14ac:dyDescent="0.3">
      <c r="A114">
        <v>554</v>
      </c>
      <c r="B114" t="s">
        <v>269</v>
      </c>
      <c r="D114">
        <v>24552912</v>
      </c>
      <c r="E114">
        <v>4081385</v>
      </c>
      <c r="F114">
        <v>3347407</v>
      </c>
      <c r="G114">
        <v>5042733</v>
      </c>
      <c r="H114">
        <v>8101744</v>
      </c>
      <c r="I114">
        <v>2966998</v>
      </c>
      <c r="J114">
        <v>13243024</v>
      </c>
      <c r="K114">
        <v>4844826</v>
      </c>
      <c r="L114">
        <v>13712799</v>
      </c>
      <c r="M114">
        <v>27968543</v>
      </c>
      <c r="N114">
        <v>66890529</v>
      </c>
      <c r="O114">
        <v>13249123</v>
      </c>
      <c r="P114">
        <v>42867317</v>
      </c>
      <c r="Q114">
        <v>21977828</v>
      </c>
      <c r="R114">
        <v>970359</v>
      </c>
      <c r="S114">
        <v>12687255</v>
      </c>
      <c r="T114">
        <v>5518085</v>
      </c>
      <c r="U114">
        <v>34563034</v>
      </c>
      <c r="V114">
        <v>26223296</v>
      </c>
      <c r="W114">
        <v>10698817</v>
      </c>
      <c r="X114">
        <v>2450473</v>
      </c>
      <c r="Y114">
        <v>3819097</v>
      </c>
      <c r="Z114">
        <v>15990237</v>
      </c>
      <c r="AA114">
        <v>11322037</v>
      </c>
      <c r="AB114">
        <v>23982809</v>
      </c>
      <c r="AC114">
        <v>54356994</v>
      </c>
      <c r="AD114">
        <v>5392818</v>
      </c>
      <c r="AE114">
        <v>12544529</v>
      </c>
      <c r="AF114">
        <v>18040863</v>
      </c>
      <c r="AG114">
        <v>6852106</v>
      </c>
      <c r="AH114">
        <v>59541440</v>
      </c>
      <c r="AI114">
        <v>59541440</v>
      </c>
      <c r="AJ114">
        <v>12244401</v>
      </c>
      <c r="AK114">
        <v>71329722</v>
      </c>
      <c r="AL114">
        <v>15967831</v>
      </c>
      <c r="AM114">
        <v>46283768</v>
      </c>
      <c r="AN114">
        <v>1999741</v>
      </c>
      <c r="AO114">
        <v>3686015</v>
      </c>
      <c r="AP114">
        <v>6129684</v>
      </c>
      <c r="AQ114">
        <v>6765402</v>
      </c>
      <c r="AR114">
        <v>96791497</v>
      </c>
      <c r="AS114">
        <v>10785123</v>
      </c>
      <c r="AT114">
        <v>15301439</v>
      </c>
      <c r="AU114">
        <v>13246027</v>
      </c>
      <c r="AV114">
        <v>14068820</v>
      </c>
      <c r="AW114">
        <v>5799472</v>
      </c>
      <c r="AX114">
        <v>7380236</v>
      </c>
      <c r="AY114">
        <v>1815946</v>
      </c>
      <c r="AZ114">
        <v>18555728</v>
      </c>
      <c r="BA114">
        <v>5862753</v>
      </c>
      <c r="BB114">
        <v>48899769</v>
      </c>
      <c r="BC114">
        <v>7919330</v>
      </c>
      <c r="BD114">
        <v>8155046</v>
      </c>
      <c r="BE114">
        <v>10442988</v>
      </c>
      <c r="BF114">
        <v>26633195</v>
      </c>
      <c r="BG114">
        <v>7461916</v>
      </c>
      <c r="BH114">
        <v>5788183</v>
      </c>
      <c r="BI114">
        <v>5753732</v>
      </c>
      <c r="BJ114">
        <v>10171499</v>
      </c>
      <c r="BK114">
        <v>187685333</v>
      </c>
      <c r="BL114">
        <v>2976898</v>
      </c>
      <c r="BM114">
        <v>71014344</v>
      </c>
      <c r="BN114">
        <v>19704176</v>
      </c>
      <c r="BO114">
        <v>17022814</v>
      </c>
      <c r="BP114">
        <v>51365516</v>
      </c>
      <c r="BQ114">
        <v>5336660</v>
      </c>
      <c r="BR114">
        <v>29531042</v>
      </c>
      <c r="BS114">
        <v>29149940</v>
      </c>
      <c r="BT114">
        <v>2790020</v>
      </c>
      <c r="BU114">
        <v>5098022</v>
      </c>
      <c r="BV114">
        <v>8029988</v>
      </c>
      <c r="BW114">
        <v>1555743</v>
      </c>
      <c r="BX114">
        <v>7074554</v>
      </c>
      <c r="BY114">
        <v>24216301</v>
      </c>
      <c r="BZ114">
        <v>5021451</v>
      </c>
      <c r="CA114">
        <v>12016432</v>
      </c>
      <c r="CB114">
        <v>11266328</v>
      </c>
      <c r="CC114">
        <v>23859327</v>
      </c>
      <c r="CD114">
        <v>20162102</v>
      </c>
      <c r="CE114">
        <v>19648954</v>
      </c>
      <c r="CF114">
        <v>19622215</v>
      </c>
      <c r="CG114">
        <v>12387953</v>
      </c>
      <c r="CH114">
        <v>7394002</v>
      </c>
      <c r="CI114">
        <v>10701180</v>
      </c>
      <c r="CJ114">
        <v>17065262</v>
      </c>
      <c r="CK114">
        <v>13162136</v>
      </c>
      <c r="CL114">
        <v>3397449</v>
      </c>
      <c r="CM114">
        <v>9318781</v>
      </c>
      <c r="CN114">
        <v>2613006</v>
      </c>
      <c r="CO114">
        <v>26503682</v>
      </c>
      <c r="CP114">
        <v>5992099</v>
      </c>
      <c r="CQ114">
        <v>247686968</v>
      </c>
      <c r="CR114">
        <v>3675604</v>
      </c>
      <c r="CS114">
        <v>4471113</v>
      </c>
      <c r="CT114">
        <v>8245186</v>
      </c>
      <c r="CU114">
        <v>14959663</v>
      </c>
      <c r="CV114">
        <v>10568941</v>
      </c>
      <c r="CW114">
        <v>24300337</v>
      </c>
      <c r="CX114">
        <v>11530558</v>
      </c>
      <c r="CY114">
        <v>6985929</v>
      </c>
    </row>
    <row r="115" spans="1:103" x14ac:dyDescent="0.3">
      <c r="A115">
        <v>555</v>
      </c>
      <c r="B115" t="s">
        <v>270</v>
      </c>
      <c r="D115">
        <v>14048963</v>
      </c>
      <c r="E115">
        <v>1968803</v>
      </c>
      <c r="F115">
        <v>1537482</v>
      </c>
      <c r="G115">
        <v>2537651</v>
      </c>
      <c r="H115">
        <v>4975105</v>
      </c>
      <c r="I115">
        <v>643066</v>
      </c>
      <c r="J115">
        <v>7289007</v>
      </c>
      <c r="K115">
        <v>3343952</v>
      </c>
      <c r="L115">
        <v>9267363</v>
      </c>
      <c r="M115">
        <v>16746574</v>
      </c>
      <c r="N115">
        <v>43281527</v>
      </c>
      <c r="O115">
        <v>4809170</v>
      </c>
      <c r="P115">
        <v>34390372</v>
      </c>
      <c r="Q115">
        <v>17627063</v>
      </c>
      <c r="R115">
        <v>437490</v>
      </c>
      <c r="S115">
        <v>7542169</v>
      </c>
      <c r="T115">
        <v>2587263</v>
      </c>
      <c r="U115">
        <v>23967680</v>
      </c>
      <c r="V115">
        <v>21251200</v>
      </c>
      <c r="W115">
        <v>6847864</v>
      </c>
      <c r="X115">
        <v>1200083</v>
      </c>
      <c r="Y115">
        <v>1476309</v>
      </c>
      <c r="Z115">
        <v>6783512</v>
      </c>
      <c r="AA115">
        <v>5081623</v>
      </c>
      <c r="AB115">
        <v>8438154</v>
      </c>
      <c r="AC115">
        <v>29487213</v>
      </c>
      <c r="AD115">
        <v>3501779</v>
      </c>
      <c r="AE115">
        <v>9207755</v>
      </c>
      <c r="AF115">
        <v>7796922</v>
      </c>
      <c r="AG115">
        <v>2950184</v>
      </c>
      <c r="AH115">
        <v>40460117</v>
      </c>
      <c r="AI115">
        <v>40460117</v>
      </c>
      <c r="AJ115">
        <v>6731555</v>
      </c>
      <c r="AK115">
        <v>51601674</v>
      </c>
      <c r="AL115">
        <v>10889246</v>
      </c>
      <c r="AM115">
        <v>24214921</v>
      </c>
      <c r="AN115">
        <v>884568</v>
      </c>
      <c r="AO115">
        <v>1241732</v>
      </c>
      <c r="AP115">
        <v>3328314</v>
      </c>
      <c r="AQ115">
        <v>3909189</v>
      </c>
      <c r="AR115">
        <v>68824487</v>
      </c>
      <c r="AS115">
        <v>5888539</v>
      </c>
      <c r="AT115">
        <v>7005247</v>
      </c>
      <c r="AU115">
        <v>7115226</v>
      </c>
      <c r="AV115">
        <v>7716367</v>
      </c>
      <c r="AW115">
        <v>4264409</v>
      </c>
      <c r="AX115">
        <v>3081532</v>
      </c>
      <c r="AY115">
        <v>734808</v>
      </c>
      <c r="AZ115">
        <v>10250345</v>
      </c>
      <c r="BA115">
        <v>1189999</v>
      </c>
      <c r="BB115">
        <v>20393596</v>
      </c>
      <c r="BC115">
        <v>5776833</v>
      </c>
      <c r="BD115">
        <v>3307567</v>
      </c>
      <c r="BE115">
        <v>7037069</v>
      </c>
      <c r="BF115">
        <v>20788597</v>
      </c>
      <c r="BG115">
        <v>3244665</v>
      </c>
      <c r="BH115">
        <v>2944530</v>
      </c>
      <c r="BI115">
        <v>2626553</v>
      </c>
      <c r="BJ115">
        <v>4037789</v>
      </c>
      <c r="BK115">
        <v>109265612</v>
      </c>
      <c r="BL115">
        <v>611125</v>
      </c>
      <c r="BM115">
        <v>67329926</v>
      </c>
      <c r="BN115">
        <v>13509462</v>
      </c>
      <c r="BO115">
        <v>8646842</v>
      </c>
      <c r="BP115">
        <v>37320999</v>
      </c>
      <c r="BQ115">
        <v>3032249</v>
      </c>
      <c r="BR115">
        <v>21755795</v>
      </c>
      <c r="BS115">
        <v>22189763</v>
      </c>
      <c r="BT115">
        <v>686829</v>
      </c>
      <c r="BU115">
        <v>2774191</v>
      </c>
      <c r="BV115">
        <v>3442679</v>
      </c>
      <c r="BW115">
        <v>931468</v>
      </c>
      <c r="BX115">
        <v>3757861</v>
      </c>
      <c r="BY115">
        <v>9994966</v>
      </c>
      <c r="BZ115">
        <v>2141033</v>
      </c>
      <c r="CA115">
        <v>4597922</v>
      </c>
      <c r="CB115">
        <v>7586901</v>
      </c>
      <c r="CC115">
        <v>9812138</v>
      </c>
      <c r="CD115">
        <v>14503897</v>
      </c>
      <c r="CE115">
        <v>13823349</v>
      </c>
      <c r="CF115">
        <v>12283092</v>
      </c>
      <c r="CG115">
        <v>5130929</v>
      </c>
      <c r="CH115">
        <v>4205813</v>
      </c>
      <c r="CI115">
        <v>5703514</v>
      </c>
      <c r="CJ115">
        <v>12867570</v>
      </c>
      <c r="CK115">
        <v>9017852</v>
      </c>
      <c r="CL115">
        <v>1046813</v>
      </c>
      <c r="CM115">
        <v>5521323</v>
      </c>
      <c r="CN115">
        <v>1160832</v>
      </c>
      <c r="CO115">
        <v>14931320</v>
      </c>
      <c r="CP115">
        <v>3296254</v>
      </c>
      <c r="CQ115">
        <v>124736494</v>
      </c>
      <c r="CR115">
        <v>1621311</v>
      </c>
      <c r="CS115">
        <v>2323133</v>
      </c>
      <c r="CT115">
        <v>5160299</v>
      </c>
      <c r="CU115">
        <v>10257505</v>
      </c>
      <c r="CV115">
        <v>4236449</v>
      </c>
      <c r="CW115">
        <v>15886589</v>
      </c>
      <c r="CX115">
        <v>8149164</v>
      </c>
      <c r="CY115">
        <v>4589276</v>
      </c>
    </row>
    <row r="116" spans="1:103" x14ac:dyDescent="0.3">
      <c r="A116">
        <v>556</v>
      </c>
      <c r="B116" t="s">
        <v>271</v>
      </c>
      <c r="D116">
        <v>5250585</v>
      </c>
      <c r="E116">
        <v>1020355</v>
      </c>
      <c r="F116">
        <v>853468</v>
      </c>
      <c r="G116">
        <v>1135077</v>
      </c>
      <c r="H116">
        <v>1240544</v>
      </c>
      <c r="I116">
        <v>510308</v>
      </c>
      <c r="J116">
        <v>4073146</v>
      </c>
      <c r="K116">
        <v>462085</v>
      </c>
      <c r="L116">
        <v>5213181</v>
      </c>
      <c r="M116">
        <v>6216582</v>
      </c>
      <c r="N116">
        <v>5671399</v>
      </c>
      <c r="O116">
        <v>6173311</v>
      </c>
      <c r="P116">
        <v>5557602</v>
      </c>
      <c r="Q116">
        <v>3570214</v>
      </c>
      <c r="R116">
        <v>1971763</v>
      </c>
      <c r="S116">
        <v>608619</v>
      </c>
      <c r="T116">
        <v>1003450</v>
      </c>
      <c r="U116">
        <v>5219794</v>
      </c>
      <c r="V116">
        <v>2430626</v>
      </c>
      <c r="W116">
        <v>7319898</v>
      </c>
      <c r="X116">
        <v>3413663</v>
      </c>
      <c r="Y116">
        <v>1531949</v>
      </c>
      <c r="Z116">
        <v>2797122</v>
      </c>
      <c r="AA116">
        <v>5891698</v>
      </c>
      <c r="AB116">
        <v>6169125</v>
      </c>
      <c r="AC116">
        <v>8429645</v>
      </c>
      <c r="AD116">
        <v>1927699</v>
      </c>
      <c r="AE116">
        <v>3600282</v>
      </c>
      <c r="AF116">
        <v>5076855</v>
      </c>
      <c r="AG116">
        <v>1492346</v>
      </c>
      <c r="AH116">
        <v>3390219</v>
      </c>
      <c r="AI116">
        <v>3390219</v>
      </c>
      <c r="AJ116">
        <v>2612120</v>
      </c>
      <c r="AK116">
        <v>18030377</v>
      </c>
      <c r="AL116">
        <v>3374422</v>
      </c>
      <c r="AM116">
        <v>7969403</v>
      </c>
      <c r="AN116">
        <v>233097</v>
      </c>
      <c r="AO116">
        <v>2341590</v>
      </c>
      <c r="AP116">
        <v>1800553</v>
      </c>
      <c r="AQ116">
        <v>1890506</v>
      </c>
      <c r="AR116">
        <v>14612029</v>
      </c>
      <c r="AS116">
        <v>2336043</v>
      </c>
      <c r="AT116">
        <v>5227861</v>
      </c>
      <c r="AU116">
        <v>2138872</v>
      </c>
      <c r="AV116">
        <v>3358253</v>
      </c>
      <c r="AW116">
        <v>3651408</v>
      </c>
      <c r="AX116">
        <v>1399801</v>
      </c>
      <c r="AY116">
        <v>1575379</v>
      </c>
      <c r="AZ116">
        <v>2583384</v>
      </c>
      <c r="BA116">
        <v>1576621</v>
      </c>
      <c r="BB116">
        <v>24407842</v>
      </c>
      <c r="BC116">
        <v>1502891</v>
      </c>
      <c r="BD116">
        <v>1360484</v>
      </c>
      <c r="BE116">
        <v>2090631</v>
      </c>
      <c r="BF116">
        <v>3203391</v>
      </c>
      <c r="BG116">
        <v>1981588</v>
      </c>
      <c r="BH116">
        <v>1723974</v>
      </c>
      <c r="BI116">
        <v>900593</v>
      </c>
      <c r="BJ116">
        <v>1700565</v>
      </c>
      <c r="BK116">
        <v>59740865</v>
      </c>
      <c r="BL116">
        <v>717412</v>
      </c>
      <c r="BM116">
        <v>4377480</v>
      </c>
      <c r="BN116">
        <v>1692769</v>
      </c>
      <c r="BO116">
        <v>13887977</v>
      </c>
      <c r="BP116">
        <v>6729636</v>
      </c>
      <c r="BQ116">
        <v>1502877</v>
      </c>
      <c r="BR116">
        <v>5189481</v>
      </c>
      <c r="BS116">
        <v>4812770</v>
      </c>
      <c r="BT116">
        <v>931690</v>
      </c>
      <c r="BU116">
        <v>965778</v>
      </c>
      <c r="BV116">
        <v>5330143</v>
      </c>
      <c r="BW116">
        <v>403086</v>
      </c>
      <c r="BX116">
        <v>1975481</v>
      </c>
      <c r="BY116">
        <v>6245084</v>
      </c>
      <c r="BZ116">
        <v>772927</v>
      </c>
      <c r="CA116">
        <v>4672309</v>
      </c>
      <c r="CB116">
        <v>3025825</v>
      </c>
      <c r="CC116">
        <v>6576160</v>
      </c>
      <c r="CD116">
        <v>6057667</v>
      </c>
      <c r="CE116">
        <v>5452296</v>
      </c>
      <c r="CF116">
        <v>8162959</v>
      </c>
      <c r="CG116">
        <v>10635734</v>
      </c>
      <c r="CH116">
        <v>2699160</v>
      </c>
      <c r="CI116">
        <v>2438367</v>
      </c>
      <c r="CJ116">
        <v>1806761</v>
      </c>
      <c r="CK116">
        <v>6721317</v>
      </c>
      <c r="CL116">
        <v>1083679</v>
      </c>
      <c r="CM116">
        <v>1573612</v>
      </c>
      <c r="CN116">
        <v>833683</v>
      </c>
      <c r="CO116">
        <v>7537243</v>
      </c>
      <c r="CP116">
        <v>1264636</v>
      </c>
      <c r="CQ116">
        <v>23746870</v>
      </c>
      <c r="CR116">
        <v>1073266</v>
      </c>
      <c r="CS116">
        <v>629641</v>
      </c>
      <c r="CT116">
        <v>1953811</v>
      </c>
      <c r="CU116">
        <v>4646568</v>
      </c>
      <c r="CV116">
        <v>3737622</v>
      </c>
      <c r="CW116">
        <v>12549046</v>
      </c>
      <c r="CX116">
        <v>1804304</v>
      </c>
      <c r="CY116">
        <v>1551865</v>
      </c>
    </row>
    <row r="117" spans="1:103" x14ac:dyDescent="0.3">
      <c r="A117">
        <v>557</v>
      </c>
      <c r="B117" t="s">
        <v>272</v>
      </c>
      <c r="D117">
        <v>2274361</v>
      </c>
      <c r="E117">
        <v>444132</v>
      </c>
      <c r="F117">
        <v>301441</v>
      </c>
      <c r="G117">
        <v>455897</v>
      </c>
      <c r="H117">
        <v>459039</v>
      </c>
      <c r="I117">
        <v>142718</v>
      </c>
      <c r="J117">
        <v>1958028</v>
      </c>
      <c r="K117">
        <v>0</v>
      </c>
      <c r="L117">
        <v>3084482</v>
      </c>
      <c r="M117">
        <v>3071840</v>
      </c>
      <c r="N117">
        <v>1512892</v>
      </c>
      <c r="O117">
        <v>1573720</v>
      </c>
      <c r="P117">
        <v>2948059</v>
      </c>
      <c r="Q117">
        <v>1722043</v>
      </c>
      <c r="R117">
        <v>1462981</v>
      </c>
      <c r="S117">
        <v>1673342</v>
      </c>
      <c r="T117">
        <v>404498</v>
      </c>
      <c r="U117">
        <v>2299615</v>
      </c>
      <c r="V117">
        <v>1023053</v>
      </c>
      <c r="W117">
        <v>6195016</v>
      </c>
      <c r="X117">
        <v>2765298</v>
      </c>
      <c r="Y117">
        <v>386995</v>
      </c>
      <c r="Z117">
        <v>1180507</v>
      </c>
      <c r="AA117">
        <v>2905375</v>
      </c>
      <c r="AB117">
        <v>4221289</v>
      </c>
      <c r="AC117">
        <v>3393850</v>
      </c>
      <c r="AD117">
        <v>1037343</v>
      </c>
      <c r="AE117">
        <v>1557607</v>
      </c>
      <c r="AF117">
        <v>2090593</v>
      </c>
      <c r="AG117">
        <v>302090</v>
      </c>
      <c r="AH117">
        <v>2638648</v>
      </c>
      <c r="AI117">
        <v>2638648</v>
      </c>
      <c r="AJ117">
        <v>1286773</v>
      </c>
      <c r="AK117">
        <v>12340255</v>
      </c>
      <c r="AL117">
        <v>1572703</v>
      </c>
      <c r="AM117">
        <v>3348902</v>
      </c>
      <c r="AN117">
        <v>0</v>
      </c>
      <c r="AO117">
        <v>1890022</v>
      </c>
      <c r="AP117">
        <v>808574</v>
      </c>
      <c r="AQ117">
        <v>1064109</v>
      </c>
      <c r="AR117">
        <v>9592174</v>
      </c>
      <c r="AS117">
        <v>1010053</v>
      </c>
      <c r="AT117">
        <v>2796602</v>
      </c>
      <c r="AU117">
        <v>571638</v>
      </c>
      <c r="AV117">
        <v>1585657</v>
      </c>
      <c r="AW117">
        <v>3119441</v>
      </c>
      <c r="AX117">
        <v>575089</v>
      </c>
      <c r="AY117">
        <v>671523</v>
      </c>
      <c r="AZ117">
        <v>1257503</v>
      </c>
      <c r="BA117">
        <v>695085</v>
      </c>
      <c r="BB117">
        <v>20109110</v>
      </c>
      <c r="BC117">
        <v>833322</v>
      </c>
      <c r="BD117">
        <v>637128</v>
      </c>
      <c r="BE117">
        <v>935438</v>
      </c>
      <c r="BF117">
        <v>1299239</v>
      </c>
      <c r="BG117">
        <v>936373</v>
      </c>
      <c r="BH117">
        <v>883948</v>
      </c>
      <c r="BI117">
        <v>390498</v>
      </c>
      <c r="BJ117">
        <v>364295</v>
      </c>
      <c r="BK117">
        <v>19048908</v>
      </c>
      <c r="BL117">
        <v>299447</v>
      </c>
      <c r="BM117">
        <v>2676866</v>
      </c>
      <c r="BN117">
        <v>810981</v>
      </c>
      <c r="BO117">
        <v>10689743</v>
      </c>
      <c r="BP117">
        <v>2704034</v>
      </c>
      <c r="BQ117">
        <v>625717</v>
      </c>
      <c r="BR117">
        <v>2445292</v>
      </c>
      <c r="BS117">
        <v>1903845</v>
      </c>
      <c r="BT117">
        <v>372675</v>
      </c>
      <c r="BU117">
        <v>594803</v>
      </c>
      <c r="BV117">
        <v>2526904</v>
      </c>
      <c r="BW117">
        <v>0</v>
      </c>
      <c r="BX117">
        <v>991942</v>
      </c>
      <c r="BY117">
        <v>2813645</v>
      </c>
      <c r="BZ117">
        <v>407950</v>
      </c>
      <c r="CA117">
        <v>2071082</v>
      </c>
      <c r="CB117">
        <v>1265661</v>
      </c>
      <c r="CC117">
        <v>2815125</v>
      </c>
      <c r="CD117">
        <v>3385386</v>
      </c>
      <c r="CE117">
        <v>2286563</v>
      </c>
      <c r="CF117">
        <v>6182952</v>
      </c>
      <c r="CG117">
        <v>7762148</v>
      </c>
      <c r="CH117">
        <v>1174941</v>
      </c>
      <c r="CI117">
        <v>1014329</v>
      </c>
      <c r="CJ117">
        <v>773397</v>
      </c>
      <c r="CK117">
        <v>2887454</v>
      </c>
      <c r="CL117">
        <v>374530</v>
      </c>
      <c r="CM117">
        <v>666162</v>
      </c>
      <c r="CN117">
        <v>342276</v>
      </c>
      <c r="CO117">
        <v>3135557</v>
      </c>
      <c r="CP117">
        <v>524942</v>
      </c>
      <c r="CQ117">
        <v>13475836</v>
      </c>
      <c r="CR117">
        <v>438864</v>
      </c>
      <c r="CS117">
        <v>359009</v>
      </c>
      <c r="CT117">
        <v>769647</v>
      </c>
      <c r="CU117">
        <v>2946658</v>
      </c>
      <c r="CV117">
        <v>1770520</v>
      </c>
      <c r="CW117">
        <v>10003422</v>
      </c>
      <c r="CX117">
        <v>744199</v>
      </c>
      <c r="CY117">
        <v>632503</v>
      </c>
    </row>
    <row r="118" spans="1:103" x14ac:dyDescent="0.3">
      <c r="A118">
        <v>575</v>
      </c>
      <c r="B118" t="s">
        <v>255</v>
      </c>
      <c r="D118">
        <v>0</v>
      </c>
      <c r="E118">
        <v>0</v>
      </c>
      <c r="F118">
        <v>0</v>
      </c>
      <c r="G118">
        <v>0</v>
      </c>
      <c r="H118">
        <v>0</v>
      </c>
      <c r="I118">
        <v>0</v>
      </c>
      <c r="J118">
        <v>0</v>
      </c>
      <c r="K118">
        <v>0</v>
      </c>
      <c r="L118">
        <v>0</v>
      </c>
      <c r="M118">
        <v>0</v>
      </c>
      <c r="N118">
        <v>0</v>
      </c>
      <c r="O118">
        <v>0</v>
      </c>
      <c r="P118">
        <v>0</v>
      </c>
      <c r="Q118">
        <v>0</v>
      </c>
      <c r="R118">
        <v>0</v>
      </c>
      <c r="S118">
        <v>0</v>
      </c>
      <c r="T118">
        <v>224380</v>
      </c>
      <c r="U118">
        <v>0</v>
      </c>
      <c r="V118">
        <v>0</v>
      </c>
      <c r="W118">
        <v>0</v>
      </c>
      <c r="X118">
        <v>0</v>
      </c>
      <c r="Y118">
        <v>0</v>
      </c>
      <c r="Z118">
        <v>0</v>
      </c>
      <c r="AA118">
        <v>11400000</v>
      </c>
      <c r="AB118">
        <v>0</v>
      </c>
      <c r="AC118">
        <v>5500</v>
      </c>
      <c r="AD118">
        <v>51360</v>
      </c>
      <c r="AE118">
        <v>0</v>
      </c>
      <c r="AF118">
        <v>0</v>
      </c>
      <c r="AG118">
        <v>0</v>
      </c>
      <c r="AH118">
        <v>0</v>
      </c>
      <c r="AI118">
        <v>0</v>
      </c>
      <c r="AJ118">
        <v>0</v>
      </c>
      <c r="AK118">
        <v>0</v>
      </c>
      <c r="AL118">
        <v>247150</v>
      </c>
      <c r="AM118">
        <v>0</v>
      </c>
      <c r="AN118">
        <v>0</v>
      </c>
      <c r="AO118">
        <v>0</v>
      </c>
      <c r="AP118">
        <v>482339</v>
      </c>
      <c r="AQ118">
        <v>255880</v>
      </c>
      <c r="AR118">
        <v>32858460</v>
      </c>
      <c r="AS118">
        <v>0</v>
      </c>
      <c r="AT118">
        <v>0</v>
      </c>
      <c r="AU118">
        <v>0</v>
      </c>
      <c r="AV118">
        <v>0</v>
      </c>
      <c r="AW118">
        <v>0</v>
      </c>
      <c r="AX118">
        <v>0</v>
      </c>
      <c r="AY118">
        <v>0</v>
      </c>
      <c r="AZ118">
        <v>0</v>
      </c>
      <c r="BA118">
        <v>0</v>
      </c>
      <c r="BB118">
        <v>70448</v>
      </c>
      <c r="BC118">
        <v>0</v>
      </c>
      <c r="BD118">
        <v>0</v>
      </c>
      <c r="BE118">
        <v>0</v>
      </c>
      <c r="BF118">
        <v>0</v>
      </c>
      <c r="BG118">
        <v>0</v>
      </c>
      <c r="BH118">
        <v>0</v>
      </c>
      <c r="BI118">
        <v>1612200</v>
      </c>
      <c r="BJ118">
        <v>1544855</v>
      </c>
      <c r="BK118">
        <v>0</v>
      </c>
      <c r="BL118">
        <v>0</v>
      </c>
      <c r="BM118">
        <v>0</v>
      </c>
      <c r="BN118">
        <v>0</v>
      </c>
      <c r="BO118">
        <v>1040890</v>
      </c>
      <c r="BP118">
        <v>0</v>
      </c>
      <c r="BQ118">
        <v>0</v>
      </c>
      <c r="BR118">
        <v>3738</v>
      </c>
      <c r="BS118">
        <v>0</v>
      </c>
      <c r="BT118">
        <v>0</v>
      </c>
      <c r="BU118">
        <v>0</v>
      </c>
      <c r="BV118">
        <v>483896</v>
      </c>
      <c r="BW118">
        <v>0</v>
      </c>
      <c r="BX118">
        <v>0</v>
      </c>
      <c r="BY118">
        <v>168192</v>
      </c>
      <c r="BZ118">
        <v>0</v>
      </c>
      <c r="CA118">
        <v>0</v>
      </c>
      <c r="CB118">
        <v>0</v>
      </c>
      <c r="CC118">
        <v>0</v>
      </c>
      <c r="CD118">
        <v>862759</v>
      </c>
      <c r="CE118">
        <v>932885</v>
      </c>
      <c r="CF118">
        <v>0</v>
      </c>
      <c r="CG118">
        <v>0</v>
      </c>
      <c r="CH118">
        <v>0</v>
      </c>
      <c r="CI118">
        <v>430668</v>
      </c>
      <c r="CJ118">
        <v>0</v>
      </c>
      <c r="CK118">
        <v>765091</v>
      </c>
      <c r="CL118">
        <v>348152</v>
      </c>
      <c r="CM118">
        <v>6462</v>
      </c>
      <c r="CN118">
        <v>0</v>
      </c>
      <c r="CO118">
        <v>262000</v>
      </c>
      <c r="CP118">
        <v>0</v>
      </c>
      <c r="CQ118">
        <v>0</v>
      </c>
      <c r="CR118">
        <v>3069</v>
      </c>
      <c r="CS118">
        <v>48459</v>
      </c>
      <c r="CT118">
        <v>0</v>
      </c>
      <c r="CU118">
        <v>0</v>
      </c>
      <c r="CV118">
        <v>400000</v>
      </c>
      <c r="CW118">
        <v>0</v>
      </c>
      <c r="CX118">
        <v>51204</v>
      </c>
      <c r="CY118">
        <v>245126</v>
      </c>
    </row>
    <row r="119" spans="1:103" x14ac:dyDescent="0.3">
      <c r="A119">
        <v>576</v>
      </c>
      <c r="B119" t="s">
        <v>256</v>
      </c>
      <c r="D119">
        <v>0</v>
      </c>
      <c r="E119">
        <v>8500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468732</v>
      </c>
      <c r="AF119">
        <v>0</v>
      </c>
      <c r="AG119">
        <v>0</v>
      </c>
      <c r="AH119">
        <v>0</v>
      </c>
      <c r="AI119">
        <v>0</v>
      </c>
      <c r="AJ119">
        <v>0</v>
      </c>
      <c r="AK119">
        <v>0</v>
      </c>
      <c r="AL119">
        <v>0</v>
      </c>
      <c r="AM119">
        <v>0</v>
      </c>
      <c r="AN119">
        <v>0</v>
      </c>
      <c r="AO119">
        <v>0</v>
      </c>
      <c r="AP119">
        <v>0</v>
      </c>
      <c r="AQ119">
        <v>0</v>
      </c>
      <c r="AR119">
        <v>0</v>
      </c>
      <c r="AS119">
        <v>0</v>
      </c>
      <c r="AT119">
        <v>2635037</v>
      </c>
      <c r="AU119">
        <v>0</v>
      </c>
      <c r="AV119">
        <v>0</v>
      </c>
      <c r="AW119">
        <v>0</v>
      </c>
      <c r="AX119">
        <v>0</v>
      </c>
      <c r="AY119">
        <v>0</v>
      </c>
      <c r="AZ119">
        <v>0</v>
      </c>
      <c r="BA119">
        <v>0</v>
      </c>
      <c r="BB119">
        <v>0</v>
      </c>
      <c r="BC119">
        <v>0</v>
      </c>
      <c r="BD119">
        <v>0</v>
      </c>
      <c r="BE119">
        <v>0</v>
      </c>
      <c r="BF119">
        <v>0</v>
      </c>
      <c r="BG119">
        <v>0</v>
      </c>
      <c r="BH119">
        <v>618830</v>
      </c>
      <c r="BI119">
        <v>0</v>
      </c>
      <c r="BJ119">
        <v>0</v>
      </c>
      <c r="BK119">
        <v>44901</v>
      </c>
      <c r="BL119">
        <v>0</v>
      </c>
      <c r="BM119">
        <v>0</v>
      </c>
      <c r="BN119">
        <v>0</v>
      </c>
      <c r="BO119">
        <v>0</v>
      </c>
      <c r="BP119">
        <v>0</v>
      </c>
      <c r="BQ119">
        <v>251250</v>
      </c>
      <c r="BR119">
        <v>0</v>
      </c>
      <c r="BS119">
        <v>0</v>
      </c>
      <c r="BT119">
        <v>0</v>
      </c>
      <c r="BU119">
        <v>0</v>
      </c>
      <c r="BV119">
        <v>0</v>
      </c>
      <c r="BW119">
        <v>0</v>
      </c>
      <c r="BX119">
        <v>0</v>
      </c>
      <c r="BY119">
        <v>0</v>
      </c>
      <c r="BZ119">
        <v>0</v>
      </c>
      <c r="CA119">
        <v>0</v>
      </c>
      <c r="CB119">
        <v>0</v>
      </c>
      <c r="CC119">
        <v>510761</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135100</v>
      </c>
      <c r="CX119">
        <v>0</v>
      </c>
      <c r="CY119">
        <v>0</v>
      </c>
    </row>
    <row r="120" spans="1:103" x14ac:dyDescent="0.3">
      <c r="A120">
        <v>577</v>
      </c>
      <c r="B120" t="s">
        <v>617</v>
      </c>
      <c r="D120">
        <v>2</v>
      </c>
      <c r="E120">
        <v>2</v>
      </c>
      <c r="F120">
        <v>2</v>
      </c>
      <c r="G120">
        <v>2</v>
      </c>
      <c r="H120">
        <v>2</v>
      </c>
      <c r="I120">
        <v>2</v>
      </c>
      <c r="J120">
        <v>2</v>
      </c>
      <c r="K120">
        <v>2</v>
      </c>
      <c r="L120">
        <v>1</v>
      </c>
      <c r="M120">
        <v>2</v>
      </c>
      <c r="N120">
        <v>1</v>
      </c>
      <c r="O120">
        <v>2</v>
      </c>
      <c r="P120">
        <v>2</v>
      </c>
      <c r="Q120">
        <v>2</v>
      </c>
      <c r="R120">
        <v>2</v>
      </c>
      <c r="S120">
        <v>2</v>
      </c>
      <c r="T120">
        <v>2</v>
      </c>
      <c r="U120">
        <v>2</v>
      </c>
      <c r="V120">
        <v>2</v>
      </c>
      <c r="W120">
        <v>2</v>
      </c>
      <c r="X120">
        <v>2</v>
      </c>
      <c r="Y120">
        <v>0</v>
      </c>
      <c r="Z120">
        <v>2</v>
      </c>
      <c r="AA120">
        <v>2</v>
      </c>
      <c r="AB120">
        <v>2</v>
      </c>
      <c r="AC120">
        <v>2</v>
      </c>
      <c r="AD120">
        <v>2</v>
      </c>
      <c r="AE120">
        <v>2</v>
      </c>
      <c r="AF120">
        <v>2</v>
      </c>
      <c r="AG120">
        <v>2</v>
      </c>
      <c r="AH120">
        <v>2</v>
      </c>
      <c r="AI120">
        <v>0</v>
      </c>
      <c r="AJ120">
        <v>2</v>
      </c>
      <c r="AK120">
        <v>1</v>
      </c>
      <c r="AL120">
        <v>2</v>
      </c>
      <c r="AM120">
        <v>2</v>
      </c>
      <c r="AN120">
        <v>2</v>
      </c>
      <c r="AO120">
        <v>2</v>
      </c>
      <c r="AP120">
        <v>2</v>
      </c>
      <c r="AQ120">
        <v>2</v>
      </c>
      <c r="AR120">
        <v>0</v>
      </c>
      <c r="AS120">
        <v>2</v>
      </c>
      <c r="AT120">
        <v>2</v>
      </c>
      <c r="AU120">
        <v>2</v>
      </c>
      <c r="AV120">
        <v>1</v>
      </c>
      <c r="AW120">
        <v>2</v>
      </c>
      <c r="AX120">
        <v>2</v>
      </c>
      <c r="AY120">
        <v>2</v>
      </c>
      <c r="AZ120">
        <v>2</v>
      </c>
      <c r="BA120">
        <v>2</v>
      </c>
      <c r="BB120">
        <v>1</v>
      </c>
      <c r="BC120">
        <v>2</v>
      </c>
      <c r="BD120">
        <v>2</v>
      </c>
      <c r="BE120">
        <v>2</v>
      </c>
      <c r="BF120">
        <v>2</v>
      </c>
      <c r="BG120">
        <v>2</v>
      </c>
      <c r="BH120">
        <v>2</v>
      </c>
      <c r="BI120">
        <v>2</v>
      </c>
      <c r="BJ120">
        <v>2</v>
      </c>
      <c r="BK120">
        <v>1</v>
      </c>
      <c r="BL120">
        <v>0</v>
      </c>
      <c r="BM120">
        <v>2</v>
      </c>
      <c r="BN120">
        <v>2</v>
      </c>
      <c r="BO120">
        <v>2</v>
      </c>
      <c r="BP120">
        <v>2</v>
      </c>
      <c r="BQ120">
        <v>2</v>
      </c>
      <c r="BR120">
        <v>2</v>
      </c>
      <c r="BS120">
        <v>2</v>
      </c>
      <c r="BT120">
        <v>2</v>
      </c>
      <c r="BU120">
        <v>2</v>
      </c>
      <c r="BV120">
        <v>2</v>
      </c>
      <c r="BW120">
        <v>2</v>
      </c>
      <c r="BX120">
        <v>2</v>
      </c>
      <c r="BY120">
        <v>2</v>
      </c>
      <c r="BZ120">
        <v>2</v>
      </c>
      <c r="CA120">
        <v>2</v>
      </c>
      <c r="CB120">
        <v>2</v>
      </c>
      <c r="CC120">
        <v>2</v>
      </c>
      <c r="CD120">
        <v>2</v>
      </c>
      <c r="CE120">
        <v>2</v>
      </c>
      <c r="CF120">
        <v>2</v>
      </c>
      <c r="CG120">
        <v>2</v>
      </c>
      <c r="CH120">
        <v>2</v>
      </c>
      <c r="CI120">
        <v>2</v>
      </c>
      <c r="CJ120">
        <v>2</v>
      </c>
      <c r="CK120">
        <v>2</v>
      </c>
      <c r="CL120">
        <v>2</v>
      </c>
      <c r="CM120">
        <v>2</v>
      </c>
      <c r="CN120">
        <v>0</v>
      </c>
      <c r="CO120">
        <v>1</v>
      </c>
      <c r="CP120">
        <v>2</v>
      </c>
      <c r="CQ120">
        <v>2</v>
      </c>
      <c r="CR120">
        <v>2</v>
      </c>
      <c r="CS120">
        <v>1</v>
      </c>
      <c r="CT120">
        <v>2</v>
      </c>
      <c r="CU120">
        <v>2</v>
      </c>
      <c r="CV120">
        <v>2</v>
      </c>
      <c r="CW120">
        <v>2</v>
      </c>
      <c r="CX120">
        <v>2</v>
      </c>
      <c r="CY120">
        <v>2</v>
      </c>
    </row>
    <row r="121" spans="1:103" x14ac:dyDescent="0.3">
      <c r="A121">
        <v>578</v>
      </c>
      <c r="B121" t="s">
        <v>618</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11005000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row>
    <row r="122" spans="1:103" x14ac:dyDescent="0.3">
      <c r="A122">
        <v>579</v>
      </c>
      <c r="B122" t="s">
        <v>619</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9925000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row>
    <row r="123" spans="1:103" x14ac:dyDescent="0.3">
      <c r="A123">
        <v>585</v>
      </c>
      <c r="B123" t="s">
        <v>620</v>
      </c>
      <c r="D123">
        <v>0</v>
      </c>
      <c r="E123">
        <v>0</v>
      </c>
      <c r="F123">
        <v>0</v>
      </c>
      <c r="G123">
        <v>0</v>
      </c>
      <c r="H123">
        <v>5829</v>
      </c>
      <c r="I123">
        <v>41913</v>
      </c>
      <c r="J123">
        <v>0</v>
      </c>
      <c r="K123">
        <v>0</v>
      </c>
      <c r="L123">
        <v>0</v>
      </c>
      <c r="M123">
        <v>0</v>
      </c>
      <c r="N123">
        <v>23465</v>
      </c>
      <c r="O123">
        <v>71669</v>
      </c>
      <c r="P123">
        <v>0</v>
      </c>
      <c r="Q123">
        <v>0</v>
      </c>
      <c r="R123">
        <v>0</v>
      </c>
      <c r="S123">
        <v>0</v>
      </c>
      <c r="T123">
        <v>0</v>
      </c>
      <c r="U123">
        <v>0</v>
      </c>
      <c r="V123">
        <v>0</v>
      </c>
      <c r="W123">
        <v>133872</v>
      </c>
      <c r="X123">
        <v>0</v>
      </c>
      <c r="Y123">
        <v>106267</v>
      </c>
      <c r="Z123">
        <v>0</v>
      </c>
      <c r="AA123">
        <v>0</v>
      </c>
      <c r="AB123">
        <v>0</v>
      </c>
      <c r="AC123">
        <v>0</v>
      </c>
      <c r="AD123">
        <v>0</v>
      </c>
      <c r="AE123">
        <v>0</v>
      </c>
      <c r="AF123">
        <v>4128</v>
      </c>
      <c r="AG123">
        <v>0</v>
      </c>
      <c r="AH123">
        <v>0</v>
      </c>
      <c r="AI123">
        <v>0</v>
      </c>
      <c r="AJ123">
        <v>0</v>
      </c>
      <c r="AK123">
        <v>0</v>
      </c>
      <c r="AL123">
        <v>0</v>
      </c>
      <c r="AM123">
        <v>0</v>
      </c>
      <c r="AN123">
        <v>0</v>
      </c>
      <c r="AO123">
        <v>143160</v>
      </c>
      <c r="AP123">
        <v>0</v>
      </c>
      <c r="AQ123">
        <v>0</v>
      </c>
      <c r="AR123">
        <v>0</v>
      </c>
      <c r="AS123">
        <v>0</v>
      </c>
      <c r="AT123">
        <v>0</v>
      </c>
      <c r="AU123">
        <v>0</v>
      </c>
      <c r="AV123">
        <v>0</v>
      </c>
      <c r="AW123">
        <v>0</v>
      </c>
      <c r="AX123">
        <v>0</v>
      </c>
      <c r="AY123">
        <v>0</v>
      </c>
      <c r="AZ123">
        <v>0</v>
      </c>
      <c r="BA123">
        <v>141928</v>
      </c>
      <c r="BB123">
        <v>0</v>
      </c>
      <c r="BC123">
        <v>49803</v>
      </c>
      <c r="BD123">
        <v>0</v>
      </c>
      <c r="BE123">
        <v>0</v>
      </c>
      <c r="BF123">
        <v>0</v>
      </c>
      <c r="BG123">
        <v>147087</v>
      </c>
      <c r="BH123">
        <v>0</v>
      </c>
      <c r="BI123">
        <v>0</v>
      </c>
      <c r="BJ123">
        <v>101512</v>
      </c>
      <c r="BK123">
        <v>0</v>
      </c>
      <c r="BL123">
        <v>26724</v>
      </c>
      <c r="BM123">
        <v>63648</v>
      </c>
      <c r="BN123">
        <v>0</v>
      </c>
      <c r="BO123">
        <v>0</v>
      </c>
      <c r="BP123">
        <v>0</v>
      </c>
      <c r="BQ123">
        <v>0</v>
      </c>
      <c r="BR123">
        <v>0</v>
      </c>
      <c r="BS123">
        <v>0</v>
      </c>
      <c r="BT123">
        <v>0</v>
      </c>
      <c r="BU123">
        <v>0</v>
      </c>
      <c r="BV123">
        <v>0</v>
      </c>
      <c r="BW123">
        <v>0</v>
      </c>
      <c r="BX123">
        <v>0</v>
      </c>
      <c r="BY123">
        <v>0</v>
      </c>
      <c r="BZ123">
        <v>0</v>
      </c>
      <c r="CA123">
        <v>14598</v>
      </c>
      <c r="CB123">
        <v>0</v>
      </c>
      <c r="CC123">
        <v>0</v>
      </c>
      <c r="CD123">
        <v>0</v>
      </c>
      <c r="CE123">
        <v>0</v>
      </c>
      <c r="CF123">
        <v>0</v>
      </c>
      <c r="CG123">
        <v>0</v>
      </c>
      <c r="CH123">
        <v>0</v>
      </c>
      <c r="CI123">
        <v>0</v>
      </c>
      <c r="CJ123">
        <v>0</v>
      </c>
      <c r="CK123">
        <v>0</v>
      </c>
      <c r="CL123">
        <v>26431</v>
      </c>
      <c r="CM123">
        <v>96752</v>
      </c>
      <c r="CN123">
        <v>0</v>
      </c>
      <c r="CO123">
        <v>0</v>
      </c>
      <c r="CP123">
        <v>0</v>
      </c>
      <c r="CQ123">
        <v>0</v>
      </c>
      <c r="CR123">
        <v>0</v>
      </c>
      <c r="CS123">
        <v>0</v>
      </c>
      <c r="CT123">
        <v>549</v>
      </c>
      <c r="CU123">
        <v>0</v>
      </c>
      <c r="CV123">
        <v>0</v>
      </c>
      <c r="CW123">
        <v>0</v>
      </c>
      <c r="CX123">
        <v>0</v>
      </c>
      <c r="CY123">
        <v>51346</v>
      </c>
    </row>
    <row r="124" spans="1:103" x14ac:dyDescent="0.3">
      <c r="A124">
        <v>586</v>
      </c>
      <c r="B124" t="s">
        <v>621</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1664281</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348152</v>
      </c>
      <c r="CM124">
        <v>0</v>
      </c>
      <c r="CN124">
        <v>0</v>
      </c>
      <c r="CO124">
        <v>0</v>
      </c>
      <c r="CP124">
        <v>0</v>
      </c>
      <c r="CQ124">
        <v>0</v>
      </c>
      <c r="CR124">
        <v>0</v>
      </c>
      <c r="CS124">
        <v>0</v>
      </c>
      <c r="CT124">
        <v>0</v>
      </c>
      <c r="CU124">
        <v>0</v>
      </c>
      <c r="CV124">
        <v>0</v>
      </c>
      <c r="CW124">
        <v>0</v>
      </c>
      <c r="CX124">
        <v>0</v>
      </c>
      <c r="CY124">
        <v>0</v>
      </c>
    </row>
    <row r="125" spans="1:103" x14ac:dyDescent="0.3">
      <c r="A125">
        <v>589</v>
      </c>
      <c r="B125" t="s">
        <v>622</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0</v>
      </c>
    </row>
    <row r="126" spans="1:103" x14ac:dyDescent="0.3">
      <c r="A126">
        <v>590</v>
      </c>
      <c r="B126" t="s">
        <v>1345</v>
      </c>
      <c r="AA126" t="s">
        <v>1747</v>
      </c>
      <c r="AD126" t="s">
        <v>358</v>
      </c>
      <c r="AU126" t="s">
        <v>1346</v>
      </c>
      <c r="AY126" t="s">
        <v>358</v>
      </c>
      <c r="BT126" t="s">
        <v>358</v>
      </c>
      <c r="CA126" t="s">
        <v>1347</v>
      </c>
      <c r="CP126" t="s">
        <v>358</v>
      </c>
    </row>
    <row r="127" spans="1:103" x14ac:dyDescent="0.3">
      <c r="A127">
        <v>591</v>
      </c>
      <c r="B127" t="s">
        <v>278</v>
      </c>
      <c r="D127">
        <v>5381087</v>
      </c>
      <c r="E127">
        <v>5096320</v>
      </c>
      <c r="F127">
        <v>770386</v>
      </c>
      <c r="G127">
        <v>8600698</v>
      </c>
      <c r="H127">
        <v>3111085</v>
      </c>
      <c r="I127">
        <v>0</v>
      </c>
      <c r="J127">
        <v>11191315</v>
      </c>
      <c r="K127">
        <v>2806217</v>
      </c>
      <c r="L127">
        <v>57124175</v>
      </c>
      <c r="M127">
        <v>54176783</v>
      </c>
      <c r="N127">
        <v>12434310</v>
      </c>
      <c r="O127">
        <v>7988692</v>
      </c>
      <c r="P127">
        <v>1755828</v>
      </c>
      <c r="Q127">
        <v>3329905</v>
      </c>
      <c r="R127">
        <v>2011747</v>
      </c>
      <c r="S127">
        <v>1048800</v>
      </c>
      <c r="T127">
        <v>1953925</v>
      </c>
      <c r="U127">
        <v>9731297</v>
      </c>
      <c r="V127">
        <v>11817571</v>
      </c>
      <c r="W127">
        <v>0</v>
      </c>
      <c r="X127">
        <v>4938027</v>
      </c>
      <c r="Y127">
        <v>815417</v>
      </c>
      <c r="Z127">
        <v>8146905</v>
      </c>
      <c r="AA127">
        <v>10052856</v>
      </c>
      <c r="AB127">
        <v>4313497</v>
      </c>
      <c r="AC127">
        <v>8836942</v>
      </c>
      <c r="AD127">
        <v>15812019</v>
      </c>
      <c r="AE127">
        <v>14035876</v>
      </c>
      <c r="AF127">
        <v>6358223</v>
      </c>
      <c r="AG127">
        <v>6710716</v>
      </c>
      <c r="AH127">
        <v>10749179</v>
      </c>
      <c r="AI127">
        <v>11307360</v>
      </c>
      <c r="AJ127">
        <v>8060427</v>
      </c>
      <c r="AK127">
        <v>0</v>
      </c>
      <c r="AL127">
        <v>15646906</v>
      </c>
      <c r="AM127">
        <v>11122940</v>
      </c>
      <c r="AN127">
        <v>2069851</v>
      </c>
      <c r="AO127">
        <v>0</v>
      </c>
      <c r="AP127">
        <v>3512952</v>
      </c>
      <c r="AQ127">
        <v>5395258</v>
      </c>
      <c r="AR127">
        <v>0</v>
      </c>
      <c r="AS127">
        <v>11173962</v>
      </c>
      <c r="AT127">
        <v>45766600</v>
      </c>
      <c r="AU127">
        <v>0</v>
      </c>
      <c r="AV127">
        <v>8389444</v>
      </c>
      <c r="AW127">
        <v>2921352</v>
      </c>
      <c r="AX127">
        <v>12450215</v>
      </c>
      <c r="AY127">
        <v>1999367</v>
      </c>
      <c r="AZ127">
        <v>10773036</v>
      </c>
      <c r="BA127">
        <v>4397119</v>
      </c>
      <c r="BB127">
        <v>63036293</v>
      </c>
      <c r="BC127">
        <v>1718765</v>
      </c>
      <c r="BD127">
        <v>1791437</v>
      </c>
      <c r="BE127">
        <v>3605602</v>
      </c>
      <c r="BF127">
        <v>19255208</v>
      </c>
      <c r="BG127">
        <v>6010083</v>
      </c>
      <c r="BH127">
        <v>2329431</v>
      </c>
      <c r="BI127">
        <v>1875549</v>
      </c>
      <c r="BJ127">
        <v>4059815</v>
      </c>
      <c r="BK127">
        <v>29038110</v>
      </c>
      <c r="BL127">
        <v>0</v>
      </c>
      <c r="BM127">
        <v>3787313</v>
      </c>
      <c r="BN127">
        <v>21196438</v>
      </c>
      <c r="BO127">
        <v>6708366</v>
      </c>
      <c r="BP127">
        <v>11953314</v>
      </c>
      <c r="BQ127">
        <v>5387926</v>
      </c>
      <c r="BR127">
        <v>12388061</v>
      </c>
      <c r="BS127">
        <v>14339551</v>
      </c>
      <c r="BT127">
        <v>2994804</v>
      </c>
      <c r="BU127">
        <v>12326590</v>
      </c>
      <c r="BV127">
        <v>20992612</v>
      </c>
      <c r="BW127">
        <v>3340721</v>
      </c>
      <c r="BX127">
        <v>211460</v>
      </c>
      <c r="BY127">
        <v>13526245</v>
      </c>
      <c r="BZ127">
        <v>2264283</v>
      </c>
      <c r="CA127">
        <v>1335075</v>
      </c>
      <c r="CB127">
        <v>10442560</v>
      </c>
      <c r="CC127">
        <v>26548922</v>
      </c>
      <c r="CD127">
        <v>6428788</v>
      </c>
      <c r="CE127">
        <v>9274002</v>
      </c>
      <c r="CF127">
        <v>4649849</v>
      </c>
      <c r="CG127">
        <v>3652005</v>
      </c>
      <c r="CH127">
        <v>4468322</v>
      </c>
      <c r="CI127">
        <v>8330990</v>
      </c>
      <c r="CJ127">
        <v>531799</v>
      </c>
      <c r="CK127">
        <v>7383047</v>
      </c>
      <c r="CL127">
        <v>1267785</v>
      </c>
      <c r="CM127">
        <v>4253930</v>
      </c>
      <c r="CN127">
        <v>1789949</v>
      </c>
      <c r="CO127">
        <v>75156980</v>
      </c>
      <c r="CP127">
        <v>3848793</v>
      </c>
      <c r="CQ127">
        <v>34479328</v>
      </c>
      <c r="CR127">
        <v>5614220</v>
      </c>
      <c r="CS127">
        <v>2579886</v>
      </c>
      <c r="CT127">
        <v>5548874</v>
      </c>
      <c r="CU127">
        <v>9928430</v>
      </c>
      <c r="CV127">
        <v>6415168</v>
      </c>
      <c r="CW127">
        <v>5772319</v>
      </c>
      <c r="CX127">
        <v>3344506</v>
      </c>
      <c r="CY127">
        <v>0</v>
      </c>
    </row>
    <row r="128" spans="1:103" x14ac:dyDescent="0.3">
      <c r="A128">
        <v>592</v>
      </c>
      <c r="B128" t="s">
        <v>279</v>
      </c>
      <c r="D128">
        <v>1227257</v>
      </c>
      <c r="E128">
        <v>1758087</v>
      </c>
      <c r="F128">
        <v>536991</v>
      </c>
      <c r="G128">
        <v>-1503190</v>
      </c>
      <c r="H128">
        <v>-11053</v>
      </c>
      <c r="I128">
        <v>0</v>
      </c>
      <c r="J128">
        <v>3540148</v>
      </c>
      <c r="K128">
        <v>391051</v>
      </c>
      <c r="L128">
        <v>196937</v>
      </c>
      <c r="M128">
        <v>38757609</v>
      </c>
      <c r="N128">
        <v>-326260</v>
      </c>
      <c r="O128">
        <v>569837</v>
      </c>
      <c r="P128">
        <v>207512</v>
      </c>
      <c r="Q128">
        <v>722780</v>
      </c>
      <c r="R128">
        <v>-63803</v>
      </c>
      <c r="S128">
        <v>419775</v>
      </c>
      <c r="T128">
        <v>165127</v>
      </c>
      <c r="U128">
        <v>-8228265</v>
      </c>
      <c r="V128">
        <v>4455722</v>
      </c>
      <c r="W128">
        <v>0</v>
      </c>
      <c r="X128">
        <v>239038</v>
      </c>
      <c r="Y128">
        <v>-326297</v>
      </c>
      <c r="Z128">
        <v>763257</v>
      </c>
      <c r="AA128">
        <v>2030936</v>
      </c>
      <c r="AB128">
        <v>663727</v>
      </c>
      <c r="AC128">
        <v>8315234</v>
      </c>
      <c r="AD128">
        <v>3971429</v>
      </c>
      <c r="AE128">
        <v>1137684</v>
      </c>
      <c r="AF128">
        <v>1900338</v>
      </c>
      <c r="AG128">
        <v>2160703</v>
      </c>
      <c r="AH128">
        <v>3045558</v>
      </c>
      <c r="AI128">
        <v>7434979</v>
      </c>
      <c r="AJ128">
        <v>-460720</v>
      </c>
      <c r="AK128">
        <v>0</v>
      </c>
      <c r="AL128">
        <v>5362024</v>
      </c>
      <c r="AM128">
        <v>1021553</v>
      </c>
      <c r="AN128">
        <v>-29171</v>
      </c>
      <c r="AO128">
        <v>0</v>
      </c>
      <c r="AP128">
        <v>14404</v>
      </c>
      <c r="AQ128">
        <v>383368</v>
      </c>
      <c r="AR128">
        <v>0</v>
      </c>
      <c r="AS128">
        <v>-247000</v>
      </c>
      <c r="AT128">
        <v>20075518</v>
      </c>
      <c r="AU128">
        <v>0</v>
      </c>
      <c r="AV128">
        <v>208194</v>
      </c>
      <c r="AW128">
        <v>-194173</v>
      </c>
      <c r="AX128">
        <v>1190776</v>
      </c>
      <c r="AY128">
        <v>-145728</v>
      </c>
      <c r="AZ128">
        <v>2681326</v>
      </c>
      <c r="BA128">
        <v>230701</v>
      </c>
      <c r="BB128">
        <v>26366660</v>
      </c>
      <c r="BC128">
        <v>2632866</v>
      </c>
      <c r="BD128">
        <v>39403</v>
      </c>
      <c r="BE128">
        <v>-383420</v>
      </c>
      <c r="BF128">
        <v>7981561</v>
      </c>
      <c r="BG128">
        <v>-276831</v>
      </c>
      <c r="BH128">
        <v>530538</v>
      </c>
      <c r="BI128">
        <v>-107016</v>
      </c>
      <c r="BJ128">
        <v>-502847</v>
      </c>
      <c r="BK128">
        <v>8810798</v>
      </c>
      <c r="BL128">
        <v>0</v>
      </c>
      <c r="BM128">
        <v>2876548</v>
      </c>
      <c r="BN128">
        <v>3954182</v>
      </c>
      <c r="BO128">
        <v>345572</v>
      </c>
      <c r="BP128">
        <v>11267382</v>
      </c>
      <c r="BQ128">
        <v>981468</v>
      </c>
      <c r="BR128">
        <v>9023336</v>
      </c>
      <c r="BS128">
        <v>2334763</v>
      </c>
      <c r="BT128">
        <v>-305298</v>
      </c>
      <c r="BU128">
        <v>163177</v>
      </c>
      <c r="BV128">
        <v>2361642</v>
      </c>
      <c r="BW128">
        <v>314839</v>
      </c>
      <c r="BX128">
        <v>72414</v>
      </c>
      <c r="BY128">
        <v>1399261</v>
      </c>
      <c r="BZ128">
        <v>-1819</v>
      </c>
      <c r="CA128">
        <v>5354994</v>
      </c>
      <c r="CB128">
        <v>422424</v>
      </c>
      <c r="CC128">
        <v>2513658</v>
      </c>
      <c r="CD128">
        <v>2873362</v>
      </c>
      <c r="CE128">
        <v>2771881</v>
      </c>
      <c r="CF128">
        <v>1253251</v>
      </c>
      <c r="CG128">
        <v>10300718</v>
      </c>
      <c r="CH128">
        <v>1206553</v>
      </c>
      <c r="CI128">
        <v>-326207</v>
      </c>
      <c r="CJ128">
        <v>-207685</v>
      </c>
      <c r="CK128">
        <v>158319</v>
      </c>
      <c r="CL128">
        <v>268030</v>
      </c>
      <c r="CM128">
        <v>3517307</v>
      </c>
      <c r="CN128">
        <v>54219</v>
      </c>
      <c r="CO128">
        <v>29243252</v>
      </c>
      <c r="CP128">
        <v>83393</v>
      </c>
      <c r="CQ128">
        <v>2436381</v>
      </c>
      <c r="CR128">
        <v>822858</v>
      </c>
      <c r="CS128">
        <v>256965</v>
      </c>
      <c r="CT128">
        <v>471460</v>
      </c>
      <c r="CU128">
        <v>1384292</v>
      </c>
      <c r="CV128">
        <v>863388</v>
      </c>
      <c r="CW128">
        <v>953776</v>
      </c>
      <c r="CX128">
        <v>-271147</v>
      </c>
      <c r="CY128">
        <v>537320</v>
      </c>
    </row>
    <row r="129" spans="1:103" x14ac:dyDescent="0.3">
      <c r="A129">
        <v>596</v>
      </c>
      <c r="B129" t="s">
        <v>284</v>
      </c>
      <c r="D129">
        <v>52</v>
      </c>
      <c r="E129">
        <v>52</v>
      </c>
      <c r="F129">
        <v>52</v>
      </c>
      <c r="G129">
        <v>52</v>
      </c>
      <c r="H129">
        <v>0</v>
      </c>
      <c r="I129">
        <v>0</v>
      </c>
      <c r="J129">
        <v>52</v>
      </c>
      <c r="K129">
        <v>52</v>
      </c>
      <c r="L129">
        <v>52</v>
      </c>
      <c r="M129">
        <v>52</v>
      </c>
      <c r="N129">
        <v>0</v>
      </c>
      <c r="O129">
        <v>52</v>
      </c>
      <c r="P129">
        <v>52</v>
      </c>
      <c r="Q129">
        <v>52</v>
      </c>
      <c r="R129">
        <v>52</v>
      </c>
      <c r="S129">
        <v>52</v>
      </c>
      <c r="T129">
        <v>52</v>
      </c>
      <c r="U129">
        <v>52</v>
      </c>
      <c r="V129">
        <v>52</v>
      </c>
      <c r="W129">
        <v>52</v>
      </c>
      <c r="X129">
        <v>52</v>
      </c>
      <c r="Y129">
        <v>52</v>
      </c>
      <c r="Z129">
        <v>52</v>
      </c>
      <c r="AA129">
        <v>52</v>
      </c>
      <c r="AB129">
        <v>52</v>
      </c>
      <c r="AC129">
        <v>52</v>
      </c>
      <c r="AD129">
        <v>52</v>
      </c>
      <c r="AE129">
        <v>52</v>
      </c>
      <c r="AF129">
        <v>52</v>
      </c>
      <c r="AG129">
        <v>52</v>
      </c>
      <c r="AH129">
        <v>52</v>
      </c>
      <c r="AI129">
        <v>52</v>
      </c>
      <c r="AJ129">
        <v>52</v>
      </c>
      <c r="AK129">
        <v>52</v>
      </c>
      <c r="AL129">
        <v>52</v>
      </c>
      <c r="AM129">
        <v>52</v>
      </c>
      <c r="AN129">
        <v>52</v>
      </c>
      <c r="AO129">
        <v>52</v>
      </c>
      <c r="AP129">
        <v>52</v>
      </c>
      <c r="AQ129">
        <v>52</v>
      </c>
      <c r="AR129">
        <v>52</v>
      </c>
      <c r="AS129">
        <v>52</v>
      </c>
      <c r="AT129">
        <v>52</v>
      </c>
      <c r="AU129">
        <v>52</v>
      </c>
      <c r="AV129">
        <v>0</v>
      </c>
      <c r="AW129">
        <v>52</v>
      </c>
      <c r="AX129">
        <v>52</v>
      </c>
      <c r="AY129">
        <v>52</v>
      </c>
      <c r="AZ129">
        <v>52</v>
      </c>
      <c r="BA129">
        <v>52</v>
      </c>
      <c r="BB129">
        <v>52</v>
      </c>
      <c r="BC129">
        <v>52</v>
      </c>
      <c r="BD129">
        <v>52</v>
      </c>
      <c r="BE129">
        <v>52</v>
      </c>
      <c r="BF129">
        <v>52</v>
      </c>
      <c r="BG129">
        <v>52</v>
      </c>
      <c r="BH129">
        <v>0</v>
      </c>
      <c r="BI129">
        <v>52</v>
      </c>
      <c r="BJ129">
        <v>52</v>
      </c>
      <c r="BK129">
        <v>0</v>
      </c>
      <c r="BL129">
        <v>0</v>
      </c>
      <c r="BM129">
        <v>52</v>
      </c>
      <c r="BN129">
        <v>52</v>
      </c>
      <c r="BO129">
        <v>52</v>
      </c>
      <c r="BP129">
        <v>52</v>
      </c>
      <c r="BQ129">
        <v>52</v>
      </c>
      <c r="BR129">
        <v>52</v>
      </c>
      <c r="BS129">
        <v>52</v>
      </c>
      <c r="BT129">
        <v>52</v>
      </c>
      <c r="BU129">
        <v>52</v>
      </c>
      <c r="BV129">
        <v>52</v>
      </c>
      <c r="BW129">
        <v>52</v>
      </c>
      <c r="BX129">
        <v>52</v>
      </c>
      <c r="BY129">
        <v>52</v>
      </c>
      <c r="BZ129">
        <v>52</v>
      </c>
      <c r="CA129">
        <v>52</v>
      </c>
      <c r="CB129">
        <v>52</v>
      </c>
      <c r="CC129">
        <v>52</v>
      </c>
      <c r="CD129">
        <v>52</v>
      </c>
      <c r="CE129">
        <v>52</v>
      </c>
      <c r="CF129">
        <v>0</v>
      </c>
      <c r="CG129">
        <v>52</v>
      </c>
      <c r="CH129">
        <v>52</v>
      </c>
      <c r="CI129">
        <v>52</v>
      </c>
      <c r="CJ129">
        <v>52</v>
      </c>
      <c r="CK129">
        <v>52</v>
      </c>
      <c r="CL129">
        <v>52</v>
      </c>
      <c r="CM129">
        <v>52</v>
      </c>
      <c r="CN129">
        <v>52</v>
      </c>
      <c r="CO129">
        <v>52</v>
      </c>
      <c r="CP129">
        <v>52</v>
      </c>
      <c r="CQ129">
        <v>0</v>
      </c>
      <c r="CR129">
        <v>52</v>
      </c>
      <c r="CS129">
        <v>52</v>
      </c>
      <c r="CT129">
        <v>52</v>
      </c>
      <c r="CU129">
        <v>52</v>
      </c>
      <c r="CV129">
        <v>52</v>
      </c>
      <c r="CW129">
        <v>52</v>
      </c>
      <c r="CX129">
        <v>52</v>
      </c>
      <c r="CY129">
        <v>52</v>
      </c>
    </row>
    <row r="130" spans="1:103" x14ac:dyDescent="0.3">
      <c r="A130">
        <v>597</v>
      </c>
      <c r="B130" t="s">
        <v>287</v>
      </c>
      <c r="D130">
        <v>450739</v>
      </c>
      <c r="E130">
        <v>95690</v>
      </c>
      <c r="F130">
        <v>1837</v>
      </c>
      <c r="G130">
        <v>56780</v>
      </c>
      <c r="H130">
        <v>11464</v>
      </c>
      <c r="I130">
        <v>88879</v>
      </c>
      <c r="J130">
        <v>122781</v>
      </c>
      <c r="K130">
        <v>10632</v>
      </c>
      <c r="L130">
        <v>118995</v>
      </c>
      <c r="M130">
        <v>402872</v>
      </c>
      <c r="N130">
        <v>-89324</v>
      </c>
      <c r="O130">
        <v>65721</v>
      </c>
      <c r="P130">
        <v>-1754007</v>
      </c>
      <c r="Q130">
        <v>8077</v>
      </c>
      <c r="R130">
        <v>39378</v>
      </c>
      <c r="S130">
        <v>-482988</v>
      </c>
      <c r="T130">
        <v>23151</v>
      </c>
      <c r="U130">
        <v>-7480606</v>
      </c>
      <c r="V130">
        <v>-4215339</v>
      </c>
      <c r="W130">
        <v>17138</v>
      </c>
      <c r="X130">
        <v>15534</v>
      </c>
      <c r="Y130">
        <v>17845</v>
      </c>
      <c r="Z130">
        <v>97958</v>
      </c>
      <c r="AA130">
        <v>33053</v>
      </c>
      <c r="AB130">
        <v>-46597</v>
      </c>
      <c r="AC130">
        <v>1494487</v>
      </c>
      <c r="AD130">
        <v>-2749840</v>
      </c>
      <c r="AE130">
        <v>-2301453</v>
      </c>
      <c r="AF130">
        <v>-103330</v>
      </c>
      <c r="AG130">
        <v>35534</v>
      </c>
      <c r="AH130">
        <v>253953</v>
      </c>
      <c r="AI130">
        <v>3507750</v>
      </c>
      <c r="AJ130">
        <v>51942</v>
      </c>
      <c r="AK130">
        <v>134284</v>
      </c>
      <c r="AL130">
        <v>138796</v>
      </c>
      <c r="AM130">
        <v>-973370</v>
      </c>
      <c r="AN130">
        <v>22480</v>
      </c>
      <c r="AO130">
        <v>286204</v>
      </c>
      <c r="AP130">
        <v>68980</v>
      </c>
      <c r="AQ130">
        <v>18922</v>
      </c>
      <c r="AR130">
        <v>-6197029</v>
      </c>
      <c r="AS130">
        <v>72422</v>
      </c>
      <c r="AT130">
        <v>148335</v>
      </c>
      <c r="AU130">
        <v>-83659</v>
      </c>
      <c r="AV130">
        <v>575853</v>
      </c>
      <c r="AW130">
        <v>29941</v>
      </c>
      <c r="AX130">
        <v>178564</v>
      </c>
      <c r="AY130">
        <v>41730</v>
      </c>
      <c r="AZ130">
        <v>391065</v>
      </c>
      <c r="BA130">
        <v>72372</v>
      </c>
      <c r="BB130">
        <v>1720405</v>
      </c>
      <c r="BC130">
        <v>661093</v>
      </c>
      <c r="BD130">
        <v>107824</v>
      </c>
      <c r="BE130">
        <v>75271</v>
      </c>
      <c r="BF130">
        <v>-133176</v>
      </c>
      <c r="BG130">
        <v>127834</v>
      </c>
      <c r="BH130">
        <v>29215</v>
      </c>
      <c r="BI130">
        <v>124565</v>
      </c>
      <c r="BJ130">
        <v>32975</v>
      </c>
      <c r="BK130">
        <v>-40996226</v>
      </c>
      <c r="BL130">
        <v>17571</v>
      </c>
      <c r="BM130">
        <v>98761</v>
      </c>
      <c r="BN130">
        <v>700624</v>
      </c>
      <c r="BO130">
        <v>145386</v>
      </c>
      <c r="BP130">
        <v>3384771</v>
      </c>
      <c r="BQ130">
        <v>29380</v>
      </c>
      <c r="BR130">
        <v>385972</v>
      </c>
      <c r="BS130">
        <v>246676</v>
      </c>
      <c r="BT130">
        <v>30251</v>
      </c>
      <c r="BU130">
        <v>111756</v>
      </c>
      <c r="BV130">
        <v>164086</v>
      </c>
      <c r="BW130">
        <v>25259</v>
      </c>
      <c r="BX130">
        <v>106792</v>
      </c>
      <c r="BY130">
        <v>2065556</v>
      </c>
      <c r="BZ130">
        <v>46351</v>
      </c>
      <c r="CA130">
        <v>223952</v>
      </c>
      <c r="CB130">
        <v>67920</v>
      </c>
      <c r="CC130">
        <v>172942</v>
      </c>
      <c r="CD130">
        <v>-673532</v>
      </c>
      <c r="CE130">
        <v>-822615</v>
      </c>
      <c r="CF130">
        <v>74815</v>
      </c>
      <c r="CG130">
        <v>64744</v>
      </c>
      <c r="CH130">
        <v>67596</v>
      </c>
      <c r="CI130">
        <v>89925</v>
      </c>
      <c r="CJ130">
        <v>70563</v>
      </c>
      <c r="CK130">
        <v>214317</v>
      </c>
      <c r="CL130">
        <v>145919</v>
      </c>
      <c r="CM130">
        <v>129560</v>
      </c>
      <c r="CN130">
        <v>6056</v>
      </c>
      <c r="CO130">
        <v>-1797080</v>
      </c>
      <c r="CP130">
        <v>26859</v>
      </c>
      <c r="CQ130">
        <v>-11861531</v>
      </c>
      <c r="CR130">
        <v>113826</v>
      </c>
      <c r="CS130">
        <v>39229</v>
      </c>
      <c r="CT130">
        <v>121718</v>
      </c>
      <c r="CU130">
        <v>152134</v>
      </c>
      <c r="CV130">
        <v>30077</v>
      </c>
      <c r="CW130">
        <v>129052</v>
      </c>
      <c r="CX130">
        <v>38772</v>
      </c>
      <c r="CY130">
        <v>12357</v>
      </c>
    </row>
    <row r="131" spans="1:103" x14ac:dyDescent="0.3">
      <c r="A131">
        <v>598</v>
      </c>
      <c r="B131" t="s">
        <v>292</v>
      </c>
      <c r="D131">
        <v>235172</v>
      </c>
      <c r="E131">
        <v>72350</v>
      </c>
      <c r="F131">
        <v>15289</v>
      </c>
      <c r="G131">
        <v>5254</v>
      </c>
      <c r="H131">
        <v>40489</v>
      </c>
      <c r="I131">
        <v>16160</v>
      </c>
      <c r="J131">
        <v>66122</v>
      </c>
      <c r="K131">
        <v>14476</v>
      </c>
      <c r="L131">
        <v>160295</v>
      </c>
      <c r="M131">
        <v>197239</v>
      </c>
      <c r="N131">
        <v>568535</v>
      </c>
      <c r="O131">
        <v>159116</v>
      </c>
      <c r="P131">
        <v>535809</v>
      </c>
      <c r="Q131">
        <v>125389</v>
      </c>
      <c r="R131">
        <v>20621</v>
      </c>
      <c r="S131">
        <v>28941</v>
      </c>
      <c r="T131">
        <v>108186</v>
      </c>
      <c r="U131">
        <v>181910</v>
      </c>
      <c r="V131">
        <v>117838</v>
      </c>
      <c r="W131">
        <v>3530</v>
      </c>
      <c r="X131">
        <v>53437</v>
      </c>
      <c r="Y131">
        <v>0</v>
      </c>
      <c r="Z131">
        <v>237225</v>
      </c>
      <c r="AA131">
        <v>64858</v>
      </c>
      <c r="AB131">
        <v>129414</v>
      </c>
      <c r="AC131">
        <v>463975</v>
      </c>
      <c r="AD131">
        <v>173072</v>
      </c>
      <c r="AE131">
        <v>189772</v>
      </c>
      <c r="AF131">
        <v>162848</v>
      </c>
      <c r="AG131">
        <v>113418</v>
      </c>
      <c r="AH131">
        <v>292874</v>
      </c>
      <c r="AI131">
        <v>589688</v>
      </c>
      <c r="AJ131">
        <v>104157</v>
      </c>
      <c r="AK131">
        <v>723094</v>
      </c>
      <c r="AL131">
        <v>67462</v>
      </c>
      <c r="AM131">
        <v>914771</v>
      </c>
      <c r="AN131">
        <v>26371</v>
      </c>
      <c r="AO131">
        <v>0</v>
      </c>
      <c r="AP131">
        <v>94516</v>
      </c>
      <c r="AQ131">
        <v>17367</v>
      </c>
      <c r="AR131">
        <v>0</v>
      </c>
      <c r="AS131">
        <v>191085</v>
      </c>
      <c r="AT131">
        <v>169345</v>
      </c>
      <c r="AU131">
        <v>70493</v>
      </c>
      <c r="AV131">
        <v>353460</v>
      </c>
      <c r="AW131">
        <v>51710</v>
      </c>
      <c r="AX131">
        <v>15883</v>
      </c>
      <c r="AY131">
        <v>0</v>
      </c>
      <c r="AZ131">
        <v>410275</v>
      </c>
      <c r="BA131">
        <v>151188</v>
      </c>
      <c r="BB131">
        <v>236467</v>
      </c>
      <c r="BC131">
        <v>0</v>
      </c>
      <c r="BD131">
        <v>39449</v>
      </c>
      <c r="BE131">
        <v>169624</v>
      </c>
      <c r="BF131">
        <v>109642</v>
      </c>
      <c r="BG131">
        <v>26277</v>
      </c>
      <c r="BH131">
        <v>21201</v>
      </c>
      <c r="BI131">
        <v>28407</v>
      </c>
      <c r="BJ131">
        <v>87396</v>
      </c>
      <c r="BK131">
        <v>1971476</v>
      </c>
      <c r="BL131">
        <v>0</v>
      </c>
      <c r="BM131">
        <v>55318</v>
      </c>
      <c r="BN131">
        <v>223965</v>
      </c>
      <c r="BO131">
        <v>147389</v>
      </c>
      <c r="BP131">
        <v>503886</v>
      </c>
      <c r="BQ131">
        <v>7816</v>
      </c>
      <c r="BR131">
        <v>256803</v>
      </c>
      <c r="BS131">
        <v>255679</v>
      </c>
      <c r="BT131">
        <v>10568</v>
      </c>
      <c r="BU131">
        <v>107686</v>
      </c>
      <c r="BV131">
        <v>45480</v>
      </c>
      <c r="BW131">
        <v>18138</v>
      </c>
      <c r="BX131">
        <v>86861</v>
      </c>
      <c r="BY131">
        <v>258187</v>
      </c>
      <c r="BZ131">
        <v>0</v>
      </c>
      <c r="CA131">
        <v>195832</v>
      </c>
      <c r="CB131">
        <v>82245</v>
      </c>
      <c r="CC131">
        <v>224178</v>
      </c>
      <c r="CD131">
        <v>137880</v>
      </c>
      <c r="CE131">
        <v>286569</v>
      </c>
      <c r="CF131">
        <v>200658</v>
      </c>
      <c r="CG131">
        <v>39322</v>
      </c>
      <c r="CH131">
        <v>73964</v>
      </c>
      <c r="CI131">
        <v>41985</v>
      </c>
      <c r="CJ131">
        <v>106941</v>
      </c>
      <c r="CK131">
        <v>151832</v>
      </c>
      <c r="CL131">
        <v>0</v>
      </c>
      <c r="CM131">
        <v>169979</v>
      </c>
      <c r="CN131">
        <v>14710</v>
      </c>
      <c r="CO131">
        <v>1258193</v>
      </c>
      <c r="CP131">
        <v>18970</v>
      </c>
      <c r="CQ131">
        <v>1286395</v>
      </c>
      <c r="CR131">
        <v>0</v>
      </c>
      <c r="CS131">
        <v>11482</v>
      </c>
      <c r="CT131">
        <v>129790</v>
      </c>
      <c r="CU131">
        <v>191025</v>
      </c>
      <c r="CV131">
        <v>189345</v>
      </c>
      <c r="CW131">
        <v>167077</v>
      </c>
      <c r="CX131">
        <v>24812</v>
      </c>
      <c r="CY131">
        <v>0</v>
      </c>
    </row>
    <row r="132" spans="1:103" x14ac:dyDescent="0.3">
      <c r="A132">
        <v>599</v>
      </c>
      <c r="B132" t="s">
        <v>291</v>
      </c>
      <c r="D132">
        <v>6305351</v>
      </c>
      <c r="E132">
        <v>1275155</v>
      </c>
      <c r="F132">
        <v>645972</v>
      </c>
      <c r="G132">
        <v>0</v>
      </c>
      <c r="H132">
        <v>812651</v>
      </c>
      <c r="I132">
        <v>640662</v>
      </c>
      <c r="J132">
        <v>2246511</v>
      </c>
      <c r="K132">
        <v>640734</v>
      </c>
      <c r="L132">
        <v>1679213</v>
      </c>
      <c r="M132">
        <v>8871510</v>
      </c>
      <c r="N132">
        <v>11115331</v>
      </c>
      <c r="O132">
        <v>3438828</v>
      </c>
      <c r="P132">
        <v>13462604</v>
      </c>
      <c r="Q132">
        <v>2973670</v>
      </c>
      <c r="R132">
        <v>642295</v>
      </c>
      <c r="S132">
        <v>2138853</v>
      </c>
      <c r="T132">
        <v>1444246</v>
      </c>
      <c r="U132">
        <v>6637702</v>
      </c>
      <c r="V132">
        <v>3423021</v>
      </c>
      <c r="W132">
        <v>771531</v>
      </c>
      <c r="X132">
        <v>861714</v>
      </c>
      <c r="Y132">
        <v>298341</v>
      </c>
      <c r="Z132">
        <v>4617362</v>
      </c>
      <c r="AA132">
        <v>2208816</v>
      </c>
      <c r="AB132">
        <v>2282144</v>
      </c>
      <c r="AC132">
        <v>13260556</v>
      </c>
      <c r="AD132">
        <v>3845861</v>
      </c>
      <c r="AE132">
        <v>0</v>
      </c>
      <c r="AF132">
        <v>5637591</v>
      </c>
      <c r="AG132">
        <v>2049513</v>
      </c>
      <c r="AH132">
        <v>2481167</v>
      </c>
      <c r="AI132">
        <v>10123540</v>
      </c>
      <c r="AJ132">
        <v>2537819</v>
      </c>
      <c r="AK132">
        <v>12796693</v>
      </c>
      <c r="AL132">
        <v>2718193</v>
      </c>
      <c r="AM132">
        <v>18733761</v>
      </c>
      <c r="AN132">
        <v>171299</v>
      </c>
      <c r="AO132">
        <v>68012</v>
      </c>
      <c r="AP132">
        <v>2973895</v>
      </c>
      <c r="AQ132">
        <v>299510</v>
      </c>
      <c r="AR132">
        <v>0</v>
      </c>
      <c r="AS132">
        <v>2486941</v>
      </c>
      <c r="AT132">
        <v>4779151</v>
      </c>
      <c r="AU132">
        <v>2394793</v>
      </c>
      <c r="AV132">
        <v>8017278</v>
      </c>
      <c r="AW132">
        <v>942924</v>
      </c>
      <c r="AX132">
        <v>1305685</v>
      </c>
      <c r="AY132">
        <v>375060</v>
      </c>
      <c r="AZ132">
        <v>8251611</v>
      </c>
      <c r="BA132">
        <v>2810783</v>
      </c>
      <c r="BB132">
        <v>6409934</v>
      </c>
      <c r="BC132">
        <v>302228</v>
      </c>
      <c r="BD132">
        <v>2356514</v>
      </c>
      <c r="BE132">
        <v>2433428</v>
      </c>
      <c r="BF132">
        <v>4254620</v>
      </c>
      <c r="BG132">
        <v>1913012</v>
      </c>
      <c r="BH132">
        <v>492282</v>
      </c>
      <c r="BI132">
        <v>1816112</v>
      </c>
      <c r="BJ132">
        <v>1421640</v>
      </c>
      <c r="BK132">
        <v>27865147</v>
      </c>
      <c r="BL132">
        <v>555166</v>
      </c>
      <c r="BM132">
        <v>696390</v>
      </c>
      <c r="BN132">
        <v>4314923</v>
      </c>
      <c r="BO132">
        <v>4622023</v>
      </c>
      <c r="BP132">
        <v>20021043</v>
      </c>
      <c r="BQ132">
        <v>927367</v>
      </c>
      <c r="BR132">
        <v>5342353</v>
      </c>
      <c r="BS132">
        <v>6941163</v>
      </c>
      <c r="BT132">
        <v>482744</v>
      </c>
      <c r="BU132">
        <v>2035857</v>
      </c>
      <c r="BV132">
        <v>2635853</v>
      </c>
      <c r="BW132">
        <v>509868</v>
      </c>
      <c r="BX132">
        <v>2785062</v>
      </c>
      <c r="BY132">
        <v>8396104</v>
      </c>
      <c r="BZ132">
        <v>794626</v>
      </c>
      <c r="CA132">
        <v>6198716</v>
      </c>
      <c r="CB132">
        <v>3103719</v>
      </c>
      <c r="CC132">
        <v>5908611</v>
      </c>
      <c r="CD132">
        <v>4510088</v>
      </c>
      <c r="CE132">
        <v>5746791</v>
      </c>
      <c r="CF132">
        <v>3344901</v>
      </c>
      <c r="CG132">
        <v>3256682</v>
      </c>
      <c r="CH132">
        <v>923708</v>
      </c>
      <c r="CI132">
        <v>1732619</v>
      </c>
      <c r="CJ132">
        <v>1497994</v>
      </c>
      <c r="CK132">
        <v>3290599</v>
      </c>
      <c r="CL132">
        <v>631303</v>
      </c>
      <c r="CM132">
        <v>2457496</v>
      </c>
      <c r="CN132">
        <v>160257</v>
      </c>
      <c r="CO132">
        <v>21133997</v>
      </c>
      <c r="CP132">
        <v>1326589</v>
      </c>
      <c r="CQ132">
        <v>30449158</v>
      </c>
      <c r="CR132">
        <v>649500</v>
      </c>
      <c r="CS132">
        <v>330627</v>
      </c>
      <c r="CT132">
        <v>1285177</v>
      </c>
      <c r="CU132">
        <v>4590851</v>
      </c>
      <c r="CV132">
        <v>3179391</v>
      </c>
      <c r="CW132">
        <v>4494816</v>
      </c>
      <c r="CX132">
        <v>956678</v>
      </c>
      <c r="CY132">
        <v>1098186</v>
      </c>
    </row>
    <row r="133" spans="1:103" x14ac:dyDescent="0.3">
      <c r="A133">
        <v>602</v>
      </c>
      <c r="B133" t="s">
        <v>293</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500341</v>
      </c>
      <c r="AE133">
        <v>200019</v>
      </c>
      <c r="AF133">
        <v>0</v>
      </c>
      <c r="AG133">
        <v>0</v>
      </c>
      <c r="AH133">
        <v>0</v>
      </c>
      <c r="AI133">
        <v>0</v>
      </c>
      <c r="AJ133">
        <v>0</v>
      </c>
      <c r="AK133">
        <v>0</v>
      </c>
      <c r="AL133">
        <v>0</v>
      </c>
      <c r="AM133">
        <v>0</v>
      </c>
      <c r="AN133">
        <v>0</v>
      </c>
      <c r="AO133">
        <v>0</v>
      </c>
      <c r="AP133">
        <v>0</v>
      </c>
      <c r="AQ133">
        <v>0</v>
      </c>
      <c r="AR133">
        <v>0</v>
      </c>
      <c r="AS133">
        <v>0</v>
      </c>
      <c r="AT133">
        <v>370417</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4510454</v>
      </c>
      <c r="CP133">
        <v>0</v>
      </c>
      <c r="CQ133">
        <v>0</v>
      </c>
      <c r="CR133">
        <v>0</v>
      </c>
      <c r="CS133">
        <v>0</v>
      </c>
      <c r="CT133">
        <v>750688</v>
      </c>
      <c r="CU133">
        <v>0</v>
      </c>
      <c r="CV133">
        <v>0</v>
      </c>
      <c r="CW133">
        <v>0</v>
      </c>
      <c r="CX133">
        <v>0</v>
      </c>
      <c r="CY133">
        <v>0</v>
      </c>
    </row>
    <row r="134" spans="1:103" x14ac:dyDescent="0.3">
      <c r="A134">
        <v>606</v>
      </c>
      <c r="B134" t="s">
        <v>623</v>
      </c>
      <c r="D134">
        <v>1</v>
      </c>
      <c r="E134">
        <v>2</v>
      </c>
      <c r="F134">
        <v>1</v>
      </c>
      <c r="G134">
        <v>1</v>
      </c>
      <c r="H134">
        <v>1</v>
      </c>
      <c r="I134">
        <v>1</v>
      </c>
      <c r="J134">
        <v>1</v>
      </c>
      <c r="K134">
        <v>1</v>
      </c>
      <c r="L134">
        <v>1</v>
      </c>
      <c r="M134">
        <v>1</v>
      </c>
      <c r="N134">
        <v>1</v>
      </c>
      <c r="O134">
        <v>1</v>
      </c>
      <c r="P134">
        <v>1</v>
      </c>
      <c r="Q134">
        <v>1</v>
      </c>
      <c r="R134">
        <v>1</v>
      </c>
      <c r="S134">
        <v>1</v>
      </c>
      <c r="T134">
        <v>1</v>
      </c>
      <c r="U134">
        <v>1</v>
      </c>
      <c r="V134">
        <v>1</v>
      </c>
      <c r="W134">
        <v>1</v>
      </c>
      <c r="X134">
        <v>1</v>
      </c>
      <c r="Y134">
        <v>1</v>
      </c>
      <c r="Z134">
        <v>1</v>
      </c>
      <c r="AA134">
        <v>1</v>
      </c>
      <c r="AB134">
        <v>1</v>
      </c>
      <c r="AC134">
        <v>1</v>
      </c>
      <c r="AD134">
        <v>1</v>
      </c>
      <c r="AE134">
        <v>1</v>
      </c>
      <c r="AF134">
        <v>1</v>
      </c>
      <c r="AG134">
        <v>1</v>
      </c>
      <c r="AH134">
        <v>1</v>
      </c>
      <c r="AI134">
        <v>1</v>
      </c>
      <c r="AJ134">
        <v>1</v>
      </c>
      <c r="AK134">
        <v>1</v>
      </c>
      <c r="AL134">
        <v>1</v>
      </c>
      <c r="AM134">
        <v>1</v>
      </c>
      <c r="AN134">
        <v>1</v>
      </c>
      <c r="AO134">
        <v>1</v>
      </c>
      <c r="AP134">
        <v>1</v>
      </c>
      <c r="AQ134">
        <v>1</v>
      </c>
      <c r="AR134">
        <v>1</v>
      </c>
      <c r="AS134">
        <v>1</v>
      </c>
      <c r="AT134">
        <v>1</v>
      </c>
      <c r="AU134">
        <v>1</v>
      </c>
      <c r="AV134">
        <v>1</v>
      </c>
      <c r="AW134">
        <v>1</v>
      </c>
      <c r="AX134">
        <v>1</v>
      </c>
      <c r="AY134">
        <v>1</v>
      </c>
      <c r="AZ134">
        <v>1</v>
      </c>
      <c r="BA134">
        <v>1</v>
      </c>
      <c r="BB134">
        <v>1</v>
      </c>
      <c r="BC134">
        <v>1</v>
      </c>
      <c r="BD134">
        <v>1</v>
      </c>
      <c r="BE134">
        <v>1</v>
      </c>
      <c r="BF134">
        <v>1</v>
      </c>
      <c r="BG134">
        <v>1</v>
      </c>
      <c r="BH134">
        <v>1</v>
      </c>
      <c r="BI134">
        <v>1</v>
      </c>
      <c r="BJ134">
        <v>1</v>
      </c>
      <c r="BK134">
        <v>1</v>
      </c>
      <c r="BL134">
        <v>1</v>
      </c>
      <c r="BM134">
        <v>1</v>
      </c>
      <c r="BN134">
        <v>1</v>
      </c>
      <c r="BO134">
        <v>1</v>
      </c>
      <c r="BP134">
        <v>1</v>
      </c>
      <c r="BQ134">
        <v>1</v>
      </c>
      <c r="BR134">
        <v>1</v>
      </c>
      <c r="BS134">
        <v>1</v>
      </c>
      <c r="BT134">
        <v>1</v>
      </c>
      <c r="BU134">
        <v>1</v>
      </c>
      <c r="BV134">
        <v>1</v>
      </c>
      <c r="BW134">
        <v>1</v>
      </c>
      <c r="BX134">
        <v>1</v>
      </c>
      <c r="BY134">
        <v>1</v>
      </c>
      <c r="BZ134">
        <v>1</v>
      </c>
      <c r="CA134">
        <v>1</v>
      </c>
      <c r="CB134">
        <v>1</v>
      </c>
      <c r="CC134">
        <v>1</v>
      </c>
      <c r="CD134">
        <v>1</v>
      </c>
      <c r="CE134">
        <v>1</v>
      </c>
      <c r="CF134">
        <v>1</v>
      </c>
      <c r="CG134">
        <v>1</v>
      </c>
      <c r="CH134">
        <v>1</v>
      </c>
      <c r="CI134">
        <v>1</v>
      </c>
      <c r="CJ134">
        <v>1</v>
      </c>
      <c r="CK134">
        <v>1</v>
      </c>
      <c r="CL134">
        <v>1</v>
      </c>
      <c r="CM134">
        <v>1</v>
      </c>
      <c r="CN134">
        <v>1</v>
      </c>
      <c r="CO134">
        <v>1</v>
      </c>
      <c r="CP134">
        <v>1</v>
      </c>
      <c r="CQ134">
        <v>1</v>
      </c>
      <c r="CR134">
        <v>1</v>
      </c>
      <c r="CS134">
        <v>1</v>
      </c>
      <c r="CT134">
        <v>1</v>
      </c>
      <c r="CU134">
        <v>1</v>
      </c>
      <c r="CV134">
        <v>1</v>
      </c>
      <c r="CW134">
        <v>1</v>
      </c>
      <c r="CX134">
        <v>1</v>
      </c>
      <c r="CY134">
        <v>1</v>
      </c>
    </row>
    <row r="135" spans="1:103" x14ac:dyDescent="0.3">
      <c r="A135">
        <v>619</v>
      </c>
      <c r="B135" t="s">
        <v>624</v>
      </c>
      <c r="D135">
        <v>0</v>
      </c>
      <c r="E135">
        <v>0</v>
      </c>
      <c r="F135">
        <v>0</v>
      </c>
      <c r="G135">
        <v>0</v>
      </c>
      <c r="H135">
        <v>0</v>
      </c>
      <c r="I135">
        <v>0</v>
      </c>
      <c r="J135">
        <v>0</v>
      </c>
      <c r="K135">
        <v>0</v>
      </c>
      <c r="L135">
        <v>65.099999999999994</v>
      </c>
      <c r="M135">
        <v>0</v>
      </c>
      <c r="N135">
        <v>0</v>
      </c>
      <c r="O135">
        <v>0</v>
      </c>
      <c r="P135">
        <v>0</v>
      </c>
      <c r="Q135">
        <v>0</v>
      </c>
      <c r="R135">
        <v>0</v>
      </c>
      <c r="S135">
        <v>0</v>
      </c>
      <c r="T135">
        <v>0</v>
      </c>
      <c r="U135">
        <v>0</v>
      </c>
      <c r="V135">
        <v>0</v>
      </c>
      <c r="W135">
        <v>0</v>
      </c>
      <c r="X135">
        <v>0</v>
      </c>
      <c r="Y135">
        <v>0</v>
      </c>
      <c r="Z135">
        <v>0</v>
      </c>
      <c r="AA135">
        <v>0</v>
      </c>
      <c r="AB135">
        <v>0</v>
      </c>
      <c r="AC135">
        <v>0</v>
      </c>
      <c r="AD135">
        <v>13</v>
      </c>
      <c r="AE135">
        <v>0</v>
      </c>
      <c r="AF135">
        <v>0</v>
      </c>
      <c r="AG135">
        <v>0</v>
      </c>
      <c r="AH135">
        <v>0</v>
      </c>
      <c r="AI135">
        <v>0</v>
      </c>
      <c r="AJ135">
        <v>0</v>
      </c>
      <c r="AK135">
        <v>0</v>
      </c>
      <c r="AL135">
        <v>0</v>
      </c>
      <c r="AM135">
        <v>0</v>
      </c>
      <c r="AN135">
        <v>0</v>
      </c>
      <c r="AO135">
        <v>0</v>
      </c>
      <c r="AP135">
        <v>0</v>
      </c>
      <c r="AQ135">
        <v>0</v>
      </c>
      <c r="AR135">
        <v>0</v>
      </c>
      <c r="AS135">
        <v>0</v>
      </c>
      <c r="AT135">
        <v>7.8</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21.3</v>
      </c>
      <c r="CP135">
        <v>0</v>
      </c>
      <c r="CQ135">
        <v>0</v>
      </c>
      <c r="CR135">
        <v>0</v>
      </c>
      <c r="CS135">
        <v>0</v>
      </c>
      <c r="CT135">
        <v>58.4</v>
      </c>
      <c r="CU135">
        <v>0</v>
      </c>
      <c r="CV135">
        <v>0</v>
      </c>
      <c r="CW135">
        <v>0</v>
      </c>
      <c r="CX135">
        <v>0</v>
      </c>
      <c r="CY135">
        <v>0</v>
      </c>
    </row>
    <row r="136" spans="1:103" x14ac:dyDescent="0.3">
      <c r="A136">
        <v>620</v>
      </c>
      <c r="B136" t="s">
        <v>625</v>
      </c>
      <c r="D136">
        <v>2</v>
      </c>
      <c r="E136">
        <v>1</v>
      </c>
      <c r="F136">
        <v>2</v>
      </c>
      <c r="G136">
        <v>2</v>
      </c>
      <c r="H136">
        <v>2</v>
      </c>
      <c r="I136">
        <v>2</v>
      </c>
      <c r="J136">
        <v>2</v>
      </c>
      <c r="K136">
        <v>2</v>
      </c>
      <c r="L136">
        <v>2</v>
      </c>
      <c r="M136">
        <v>2</v>
      </c>
      <c r="N136">
        <v>1</v>
      </c>
      <c r="O136">
        <v>1</v>
      </c>
      <c r="P136">
        <v>2</v>
      </c>
      <c r="Q136">
        <v>2</v>
      </c>
      <c r="R136">
        <v>2</v>
      </c>
      <c r="S136">
        <v>2</v>
      </c>
      <c r="T136">
        <v>2</v>
      </c>
      <c r="U136">
        <v>1</v>
      </c>
      <c r="V136">
        <v>2</v>
      </c>
      <c r="W136">
        <v>2</v>
      </c>
      <c r="X136">
        <v>1</v>
      </c>
      <c r="Y136">
        <v>2</v>
      </c>
      <c r="Z136">
        <v>1</v>
      </c>
      <c r="AA136">
        <v>2</v>
      </c>
      <c r="AB136">
        <v>1</v>
      </c>
      <c r="AC136">
        <v>1</v>
      </c>
      <c r="AD136">
        <v>1</v>
      </c>
      <c r="AE136">
        <v>1</v>
      </c>
      <c r="AF136">
        <v>1</v>
      </c>
      <c r="AG136">
        <v>1</v>
      </c>
      <c r="AH136">
        <v>1</v>
      </c>
      <c r="AI136">
        <v>1</v>
      </c>
      <c r="AJ136">
        <v>1</v>
      </c>
      <c r="AK136">
        <v>1</v>
      </c>
      <c r="AL136">
        <v>1</v>
      </c>
      <c r="AM136">
        <v>1</v>
      </c>
      <c r="AN136">
        <v>2</v>
      </c>
      <c r="AO136">
        <v>1</v>
      </c>
      <c r="AP136">
        <v>2</v>
      </c>
      <c r="AQ136">
        <v>0</v>
      </c>
      <c r="AR136">
        <v>1</v>
      </c>
      <c r="AS136">
        <v>2</v>
      </c>
      <c r="AT136">
        <v>2</v>
      </c>
      <c r="AU136">
        <v>2</v>
      </c>
      <c r="AV136">
        <v>1</v>
      </c>
      <c r="AW136">
        <v>2</v>
      </c>
      <c r="AX136">
        <v>1</v>
      </c>
      <c r="AY136">
        <v>2</v>
      </c>
      <c r="AZ136">
        <v>1</v>
      </c>
      <c r="BA136">
        <v>2</v>
      </c>
      <c r="BB136">
        <v>1</v>
      </c>
      <c r="BC136">
        <v>1</v>
      </c>
      <c r="BD136">
        <v>1</v>
      </c>
      <c r="BE136">
        <v>2</v>
      </c>
      <c r="BF136">
        <v>1</v>
      </c>
      <c r="BG136">
        <v>1</v>
      </c>
      <c r="BH136">
        <v>2</v>
      </c>
      <c r="BI136">
        <v>2</v>
      </c>
      <c r="BJ136">
        <v>1</v>
      </c>
      <c r="BK136">
        <v>1</v>
      </c>
      <c r="BL136">
        <v>2</v>
      </c>
      <c r="BM136">
        <v>2</v>
      </c>
      <c r="BN136">
        <v>1</v>
      </c>
      <c r="BO136">
        <v>2</v>
      </c>
      <c r="BP136">
        <v>1</v>
      </c>
      <c r="BQ136">
        <v>2</v>
      </c>
      <c r="BR136">
        <v>1</v>
      </c>
      <c r="BS136">
        <v>1</v>
      </c>
      <c r="BT136">
        <v>2</v>
      </c>
      <c r="BU136">
        <v>2</v>
      </c>
      <c r="BV136">
        <v>1</v>
      </c>
      <c r="BW136">
        <v>2</v>
      </c>
      <c r="BX136">
        <v>1</v>
      </c>
      <c r="BY136">
        <v>1</v>
      </c>
      <c r="BZ136">
        <v>2</v>
      </c>
      <c r="CA136">
        <v>2</v>
      </c>
      <c r="CB136">
        <v>2</v>
      </c>
      <c r="CC136">
        <v>2</v>
      </c>
      <c r="CD136">
        <v>2</v>
      </c>
      <c r="CE136">
        <v>1</v>
      </c>
      <c r="CF136">
        <v>2</v>
      </c>
      <c r="CG136">
        <v>2</v>
      </c>
      <c r="CH136">
        <v>2</v>
      </c>
      <c r="CI136">
        <v>1</v>
      </c>
      <c r="CJ136">
        <v>2</v>
      </c>
      <c r="CK136">
        <v>2</v>
      </c>
      <c r="CL136">
        <v>2</v>
      </c>
      <c r="CM136">
        <v>1</v>
      </c>
      <c r="CN136">
        <v>2</v>
      </c>
      <c r="CO136">
        <v>1</v>
      </c>
      <c r="CP136">
        <v>1</v>
      </c>
      <c r="CQ136">
        <v>1</v>
      </c>
      <c r="CR136">
        <v>2</v>
      </c>
      <c r="CS136">
        <v>1</v>
      </c>
      <c r="CT136">
        <v>2</v>
      </c>
      <c r="CU136">
        <v>1</v>
      </c>
      <c r="CV136">
        <v>2</v>
      </c>
      <c r="CW136">
        <v>1</v>
      </c>
      <c r="CX136">
        <v>2</v>
      </c>
      <c r="CY136">
        <v>1</v>
      </c>
    </row>
    <row r="137" spans="1:103" x14ac:dyDescent="0.3">
      <c r="A137">
        <v>621</v>
      </c>
      <c r="B137" t="s">
        <v>626</v>
      </c>
      <c r="D137">
        <v>0</v>
      </c>
      <c r="E137">
        <v>0</v>
      </c>
      <c r="F137">
        <v>0</v>
      </c>
      <c r="G137">
        <v>0</v>
      </c>
      <c r="H137">
        <v>0</v>
      </c>
      <c r="I137">
        <v>0</v>
      </c>
      <c r="J137">
        <v>0</v>
      </c>
      <c r="K137">
        <v>0</v>
      </c>
      <c r="L137">
        <v>25554499</v>
      </c>
      <c r="M137">
        <v>0</v>
      </c>
      <c r="N137">
        <v>0</v>
      </c>
      <c r="O137">
        <v>0</v>
      </c>
      <c r="P137">
        <v>0</v>
      </c>
      <c r="Q137">
        <v>0</v>
      </c>
      <c r="R137">
        <v>0</v>
      </c>
      <c r="S137">
        <v>0</v>
      </c>
      <c r="T137">
        <v>0</v>
      </c>
      <c r="U137">
        <v>0</v>
      </c>
      <c r="V137">
        <v>0</v>
      </c>
      <c r="W137">
        <v>3458847</v>
      </c>
      <c r="X137">
        <v>0</v>
      </c>
      <c r="Y137">
        <v>0</v>
      </c>
      <c r="Z137">
        <v>0</v>
      </c>
      <c r="AA137">
        <v>0</v>
      </c>
      <c r="AB137">
        <v>0</v>
      </c>
      <c r="AC137">
        <v>0</v>
      </c>
      <c r="AD137">
        <v>32734842</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15987491</v>
      </c>
      <c r="BJ137">
        <v>0</v>
      </c>
      <c r="BK137">
        <v>0</v>
      </c>
      <c r="BL137">
        <v>0</v>
      </c>
      <c r="BM137">
        <v>0</v>
      </c>
      <c r="BN137">
        <v>0</v>
      </c>
      <c r="BO137">
        <v>0</v>
      </c>
      <c r="BP137">
        <v>0</v>
      </c>
      <c r="BQ137">
        <v>22713740</v>
      </c>
      <c r="BR137">
        <v>0</v>
      </c>
      <c r="BS137">
        <v>0</v>
      </c>
      <c r="BT137">
        <v>0</v>
      </c>
      <c r="BU137">
        <v>0</v>
      </c>
      <c r="BV137">
        <v>0</v>
      </c>
      <c r="BW137">
        <v>0</v>
      </c>
      <c r="BX137">
        <v>0</v>
      </c>
      <c r="BY137">
        <v>0</v>
      </c>
      <c r="BZ137">
        <v>0</v>
      </c>
      <c r="CA137">
        <v>0</v>
      </c>
      <c r="CB137">
        <v>0</v>
      </c>
      <c r="CC137">
        <v>0</v>
      </c>
      <c r="CD137">
        <v>0</v>
      </c>
      <c r="CE137">
        <v>0</v>
      </c>
      <c r="CF137">
        <v>33632629</v>
      </c>
      <c r="CG137">
        <v>0</v>
      </c>
      <c r="CH137">
        <v>0</v>
      </c>
      <c r="CI137">
        <v>0</v>
      </c>
      <c r="CJ137">
        <v>0</v>
      </c>
      <c r="CK137">
        <v>0</v>
      </c>
      <c r="CL137">
        <v>0</v>
      </c>
      <c r="CM137">
        <v>0</v>
      </c>
      <c r="CN137">
        <v>0</v>
      </c>
      <c r="CO137">
        <v>65537088</v>
      </c>
      <c r="CP137">
        <v>0</v>
      </c>
      <c r="CQ137">
        <v>0</v>
      </c>
      <c r="CR137">
        <v>0</v>
      </c>
      <c r="CS137">
        <v>9376916</v>
      </c>
      <c r="CT137">
        <v>0</v>
      </c>
      <c r="CU137">
        <v>0</v>
      </c>
      <c r="CV137">
        <v>0</v>
      </c>
      <c r="CW137">
        <v>0</v>
      </c>
      <c r="CX137">
        <v>0</v>
      </c>
      <c r="CY137">
        <v>0</v>
      </c>
    </row>
    <row r="138" spans="1:103" x14ac:dyDescent="0.3">
      <c r="A138">
        <v>622</v>
      </c>
      <c r="B138" t="s">
        <v>627</v>
      </c>
      <c r="D138">
        <v>9570099</v>
      </c>
      <c r="E138">
        <v>3021185</v>
      </c>
      <c r="F138">
        <v>986716</v>
      </c>
      <c r="G138">
        <v>2161297</v>
      </c>
      <c r="H138">
        <v>2262361</v>
      </c>
      <c r="I138">
        <v>1864086</v>
      </c>
      <c r="J138">
        <v>3893494</v>
      </c>
      <c r="K138">
        <v>1738024</v>
      </c>
      <c r="L138">
        <v>3192180</v>
      </c>
      <c r="M138">
        <v>13485215</v>
      </c>
      <c r="N138">
        <v>21171139</v>
      </c>
      <c r="O138">
        <v>5822450</v>
      </c>
      <c r="P138">
        <v>12793565</v>
      </c>
      <c r="Q138">
        <v>5649461</v>
      </c>
      <c r="R138">
        <v>739040</v>
      </c>
      <c r="S138">
        <v>4349125</v>
      </c>
      <c r="T138">
        <v>2044131</v>
      </c>
      <c r="U138">
        <v>11773877</v>
      </c>
      <c r="V138">
        <v>5654675</v>
      </c>
      <c r="W138">
        <v>2669531</v>
      </c>
      <c r="X138">
        <v>1079652</v>
      </c>
      <c r="Y138">
        <v>1465504</v>
      </c>
      <c r="Z138">
        <v>7798029</v>
      </c>
      <c r="AA138">
        <v>3940575</v>
      </c>
      <c r="AB138">
        <v>6033013</v>
      </c>
      <c r="AC138">
        <v>19757317</v>
      </c>
      <c r="AD138">
        <v>4480554</v>
      </c>
      <c r="AE138">
        <v>7823188</v>
      </c>
      <c r="AF138">
        <v>7989575</v>
      </c>
      <c r="AG138">
        <v>3435715</v>
      </c>
      <c r="AH138">
        <v>4373969</v>
      </c>
      <c r="AI138">
        <v>23697279</v>
      </c>
      <c r="AJ138">
        <v>3332044</v>
      </c>
      <c r="AK138">
        <v>21122678</v>
      </c>
      <c r="AL138">
        <v>5380622</v>
      </c>
      <c r="AM138">
        <v>17475940</v>
      </c>
      <c r="AN138">
        <v>628314</v>
      </c>
      <c r="AO138">
        <v>972453</v>
      </c>
      <c r="AP138">
        <v>2900643</v>
      </c>
      <c r="AQ138">
        <v>1628986</v>
      </c>
      <c r="AR138">
        <v>0</v>
      </c>
      <c r="AS138">
        <v>4452184</v>
      </c>
      <c r="AT138">
        <v>8960342</v>
      </c>
      <c r="AU138">
        <v>5057646</v>
      </c>
      <c r="AV138">
        <v>8914027</v>
      </c>
      <c r="AW138">
        <v>1479920</v>
      </c>
      <c r="AX138">
        <v>3680170</v>
      </c>
      <c r="AY138">
        <v>962945</v>
      </c>
      <c r="AZ138">
        <v>11032996</v>
      </c>
      <c r="BA138">
        <v>0</v>
      </c>
      <c r="BB138">
        <v>13328498</v>
      </c>
      <c r="BC138">
        <v>979508</v>
      </c>
      <c r="BD138">
        <v>3418232</v>
      </c>
      <c r="BE138">
        <v>3860061</v>
      </c>
      <c r="BF138">
        <v>7967951</v>
      </c>
      <c r="BG138">
        <v>3450898</v>
      </c>
      <c r="BH138">
        <v>1823907</v>
      </c>
      <c r="BI138">
        <v>1362140</v>
      </c>
      <c r="BJ138">
        <v>3082375</v>
      </c>
      <c r="BK138">
        <v>69705619</v>
      </c>
      <c r="BL138">
        <v>555166</v>
      </c>
      <c r="BM138">
        <v>1594633</v>
      </c>
      <c r="BN138">
        <v>7281514</v>
      </c>
      <c r="BO138">
        <v>6254618</v>
      </c>
      <c r="BP138">
        <v>21906192</v>
      </c>
      <c r="BQ138">
        <v>2334747</v>
      </c>
      <c r="BR138">
        <v>11994408</v>
      </c>
      <c r="BS138">
        <v>11317480</v>
      </c>
      <c r="BT138">
        <v>1258929</v>
      </c>
      <c r="BU138">
        <v>2968121</v>
      </c>
      <c r="BV138">
        <v>4531623</v>
      </c>
      <c r="BW138">
        <v>848079</v>
      </c>
      <c r="BX138">
        <v>3701027</v>
      </c>
      <c r="BY138">
        <v>10958770</v>
      </c>
      <c r="BZ138">
        <v>1944293</v>
      </c>
      <c r="CA138">
        <v>8196641</v>
      </c>
      <c r="CB138">
        <v>3766358</v>
      </c>
      <c r="CC138">
        <v>9469649</v>
      </c>
      <c r="CD138">
        <v>5729668</v>
      </c>
      <c r="CE138">
        <v>8594426</v>
      </c>
      <c r="CF138">
        <v>4169386</v>
      </c>
      <c r="CG138">
        <v>4630233</v>
      </c>
      <c r="CH138">
        <v>2906318</v>
      </c>
      <c r="CI138">
        <v>4443288</v>
      </c>
      <c r="CJ138">
        <v>3244782</v>
      </c>
      <c r="CK138">
        <v>5373260</v>
      </c>
      <c r="CL138">
        <v>1618557</v>
      </c>
      <c r="CM138">
        <v>3693973</v>
      </c>
      <c r="CN138">
        <v>423426</v>
      </c>
      <c r="CO138">
        <v>14644922</v>
      </c>
      <c r="CP138">
        <v>2804794</v>
      </c>
      <c r="CQ138">
        <v>56939046</v>
      </c>
      <c r="CR138">
        <v>2213592</v>
      </c>
      <c r="CS138">
        <v>1131947</v>
      </c>
      <c r="CT138">
        <v>2553131</v>
      </c>
      <c r="CU138">
        <v>7795575</v>
      </c>
      <c r="CV138">
        <v>4649556</v>
      </c>
      <c r="CW138">
        <v>7148244</v>
      </c>
      <c r="CX138">
        <v>2261901</v>
      </c>
      <c r="CY138">
        <v>1631133</v>
      </c>
    </row>
    <row r="139" spans="1:103" x14ac:dyDescent="0.3">
      <c r="A139">
        <v>626</v>
      </c>
      <c r="B139" t="s">
        <v>628</v>
      </c>
      <c r="D139">
        <v>61645492</v>
      </c>
      <c r="E139">
        <v>7372396</v>
      </c>
      <c r="F139">
        <v>3990063</v>
      </c>
      <c r="G139">
        <v>4491546</v>
      </c>
      <c r="H139">
        <v>8229153</v>
      </c>
      <c r="I139">
        <v>1869713</v>
      </c>
      <c r="J139">
        <v>9000814</v>
      </c>
      <c r="K139">
        <v>3132357</v>
      </c>
      <c r="L139">
        <v>6281084</v>
      </c>
      <c r="M139">
        <v>42250638</v>
      </c>
      <c r="N139">
        <v>138844291</v>
      </c>
      <c r="O139">
        <v>22495158</v>
      </c>
      <c r="P139">
        <v>131890308</v>
      </c>
      <c r="Q139">
        <v>37891892</v>
      </c>
      <c r="R139">
        <v>2226288</v>
      </c>
      <c r="S139">
        <v>18941645</v>
      </c>
      <c r="T139">
        <v>8029123</v>
      </c>
      <c r="U139">
        <v>46685927</v>
      </c>
      <c r="V139">
        <v>39102035</v>
      </c>
      <c r="W139">
        <v>10479476</v>
      </c>
      <c r="X139">
        <v>2603930</v>
      </c>
      <c r="Y139">
        <v>5917953</v>
      </c>
      <c r="Z139">
        <v>73152286</v>
      </c>
      <c r="AA139">
        <v>22014871</v>
      </c>
      <c r="AB139">
        <v>37980000</v>
      </c>
      <c r="AC139">
        <v>108920568</v>
      </c>
      <c r="AD139">
        <v>9771620</v>
      </c>
      <c r="AE139">
        <v>50191142</v>
      </c>
      <c r="AF139">
        <v>36944794</v>
      </c>
      <c r="AG139">
        <v>17931069</v>
      </c>
      <c r="AH139">
        <v>28946234</v>
      </c>
      <c r="AI139">
        <v>121093977</v>
      </c>
      <c r="AJ139">
        <v>9035873</v>
      </c>
      <c r="AK139">
        <v>191767480</v>
      </c>
      <c r="AL139">
        <v>27194253</v>
      </c>
      <c r="AM139">
        <v>98622268</v>
      </c>
      <c r="AN139">
        <v>2633410</v>
      </c>
      <c r="AO139">
        <v>8196997</v>
      </c>
      <c r="AP139">
        <v>17839176</v>
      </c>
      <c r="AQ139">
        <v>1933865</v>
      </c>
      <c r="AR139">
        <v>219428951</v>
      </c>
      <c r="AS139">
        <v>15857322</v>
      </c>
      <c r="AT139">
        <v>59058467</v>
      </c>
      <c r="AU139">
        <v>24211616</v>
      </c>
      <c r="AV139">
        <v>53424590</v>
      </c>
      <c r="AW139">
        <v>4106332</v>
      </c>
      <c r="AX139">
        <v>29242404</v>
      </c>
      <c r="AY139">
        <v>2929163</v>
      </c>
      <c r="AZ139">
        <v>70867009</v>
      </c>
      <c r="BA139">
        <v>19605874</v>
      </c>
      <c r="BB139">
        <v>86163465</v>
      </c>
      <c r="BC139">
        <v>2720820</v>
      </c>
      <c r="BD139">
        <v>25865309</v>
      </c>
      <c r="BE139">
        <v>21004531</v>
      </c>
      <c r="BF139">
        <v>35241777</v>
      </c>
      <c r="BG139">
        <v>10328504</v>
      </c>
      <c r="BH139">
        <v>3797619</v>
      </c>
      <c r="BI139">
        <v>7055766</v>
      </c>
      <c r="BJ139">
        <v>14083777</v>
      </c>
      <c r="BK139">
        <v>602546704</v>
      </c>
      <c r="BL139">
        <v>1825931</v>
      </c>
      <c r="BM139">
        <v>7762953</v>
      </c>
      <c r="BN139">
        <v>41867381</v>
      </c>
      <c r="BO139">
        <v>27727239</v>
      </c>
      <c r="BP139">
        <v>119640170</v>
      </c>
      <c r="BQ139">
        <v>17066103</v>
      </c>
      <c r="BR139">
        <v>74475913</v>
      </c>
      <c r="BS139">
        <v>73859022</v>
      </c>
      <c r="BT139">
        <v>4365787</v>
      </c>
      <c r="BU139">
        <v>10871436</v>
      </c>
      <c r="BV139">
        <v>20413694</v>
      </c>
      <c r="BW139">
        <v>1497835</v>
      </c>
      <c r="BX139">
        <v>25996210</v>
      </c>
      <c r="BY139">
        <v>43746819</v>
      </c>
      <c r="BZ139">
        <v>11760188</v>
      </c>
      <c r="CA139">
        <v>56389521</v>
      </c>
      <c r="CB139">
        <v>7353040</v>
      </c>
      <c r="CC139">
        <v>6711999</v>
      </c>
      <c r="CD139">
        <v>20651770</v>
      </c>
      <c r="CE139">
        <v>44166175</v>
      </c>
      <c r="CF139">
        <v>16607881</v>
      </c>
      <c r="CG139">
        <v>14856198</v>
      </c>
      <c r="CH139">
        <v>11414278</v>
      </c>
      <c r="CI139">
        <v>21040758</v>
      </c>
      <c r="CJ139">
        <v>30130281</v>
      </c>
      <c r="CK139">
        <v>33203731</v>
      </c>
      <c r="CL139">
        <v>8290314</v>
      </c>
      <c r="CM139">
        <v>7424910</v>
      </c>
      <c r="CN139">
        <v>710675</v>
      </c>
      <c r="CO139">
        <v>119592472</v>
      </c>
      <c r="CP139">
        <v>12744864</v>
      </c>
      <c r="CQ139">
        <v>594507323</v>
      </c>
      <c r="CR139">
        <v>4810091</v>
      </c>
      <c r="CS139">
        <v>1414232</v>
      </c>
      <c r="CT139">
        <v>17087026</v>
      </c>
      <c r="CU139">
        <v>53819610</v>
      </c>
      <c r="CV139">
        <v>15628775</v>
      </c>
      <c r="CW139">
        <v>14158476</v>
      </c>
      <c r="CX139">
        <v>6871083</v>
      </c>
      <c r="CY139">
        <v>11761169</v>
      </c>
    </row>
    <row r="140" spans="1:103" x14ac:dyDescent="0.3">
      <c r="A140">
        <v>627</v>
      </c>
      <c r="B140" t="s">
        <v>629</v>
      </c>
      <c r="D140">
        <v>0</v>
      </c>
      <c r="E140">
        <v>0</v>
      </c>
      <c r="F140">
        <v>0</v>
      </c>
      <c r="G140">
        <v>0</v>
      </c>
      <c r="H140">
        <v>0</v>
      </c>
      <c r="I140">
        <v>0</v>
      </c>
      <c r="J140">
        <v>0</v>
      </c>
      <c r="K140">
        <v>0</v>
      </c>
      <c r="L140">
        <v>101580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42581010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v>
      </c>
      <c r="CR140">
        <v>0</v>
      </c>
      <c r="CS140">
        <v>0</v>
      </c>
      <c r="CT140">
        <v>0</v>
      </c>
      <c r="CU140">
        <v>0</v>
      </c>
      <c r="CV140">
        <v>0</v>
      </c>
      <c r="CW140">
        <v>0</v>
      </c>
      <c r="CX140">
        <v>0</v>
      </c>
      <c r="CY140">
        <v>0</v>
      </c>
    </row>
    <row r="141" spans="1:103" x14ac:dyDescent="0.3">
      <c r="A141">
        <v>628</v>
      </c>
      <c r="B141" t="s">
        <v>630</v>
      </c>
      <c r="D141">
        <v>1899396</v>
      </c>
      <c r="E141">
        <v>885000</v>
      </c>
      <c r="F141">
        <v>266090</v>
      </c>
      <c r="G141">
        <v>0</v>
      </c>
      <c r="H141">
        <v>0</v>
      </c>
      <c r="I141">
        <v>0</v>
      </c>
      <c r="J141">
        <v>412410</v>
      </c>
      <c r="K141">
        <v>344166</v>
      </c>
      <c r="L141">
        <v>399281</v>
      </c>
      <c r="M141">
        <v>275000</v>
      </c>
      <c r="N141">
        <v>7480959</v>
      </c>
      <c r="O141">
        <v>1775354</v>
      </c>
      <c r="P141">
        <v>4337502</v>
      </c>
      <c r="Q141">
        <v>2920719</v>
      </c>
      <c r="R141">
        <v>210000</v>
      </c>
      <c r="S141">
        <v>1384530</v>
      </c>
      <c r="T141">
        <v>124622</v>
      </c>
      <c r="U141">
        <v>3772975</v>
      </c>
      <c r="V141">
        <v>2052026</v>
      </c>
      <c r="W141">
        <v>580000</v>
      </c>
      <c r="X141">
        <v>267585</v>
      </c>
      <c r="Y141">
        <v>0</v>
      </c>
      <c r="Z141">
        <v>448813</v>
      </c>
      <c r="AA141">
        <v>267652</v>
      </c>
      <c r="AB141">
        <v>1731583</v>
      </c>
      <c r="AC141">
        <v>6249200</v>
      </c>
      <c r="AD141">
        <v>615363</v>
      </c>
      <c r="AE141">
        <v>965000</v>
      </c>
      <c r="AF141">
        <v>2100000</v>
      </c>
      <c r="AG141">
        <v>837000</v>
      </c>
      <c r="AH141">
        <v>281846</v>
      </c>
      <c r="AI141">
        <v>6002749</v>
      </c>
      <c r="AJ141">
        <v>0</v>
      </c>
      <c r="AK141">
        <v>6412547</v>
      </c>
      <c r="AL141">
        <v>486366</v>
      </c>
      <c r="AM141">
        <v>2660240</v>
      </c>
      <c r="AN141">
        <v>120318</v>
      </c>
      <c r="AO141">
        <v>400000</v>
      </c>
      <c r="AP141">
        <v>394468</v>
      </c>
      <c r="AQ141">
        <v>0</v>
      </c>
      <c r="AR141">
        <v>4258235</v>
      </c>
      <c r="AS141">
        <v>783066</v>
      </c>
      <c r="AT141">
        <v>2396354</v>
      </c>
      <c r="AU141">
        <v>2205249</v>
      </c>
      <c r="AV141">
        <v>414185</v>
      </c>
      <c r="AW141">
        <v>150813</v>
      </c>
      <c r="AX141">
        <v>658649</v>
      </c>
      <c r="AY141">
        <v>0</v>
      </c>
      <c r="AZ141">
        <v>2861727</v>
      </c>
      <c r="BA141">
        <v>487256</v>
      </c>
      <c r="BB141">
        <v>2195923</v>
      </c>
      <c r="BC141">
        <v>150000</v>
      </c>
      <c r="BD141">
        <v>2000000</v>
      </c>
      <c r="BE141">
        <v>500000</v>
      </c>
      <c r="BF141">
        <v>1268731</v>
      </c>
      <c r="BG141">
        <v>124237</v>
      </c>
      <c r="BH141">
        <v>889646</v>
      </c>
      <c r="BI141">
        <v>200000</v>
      </c>
      <c r="BJ141">
        <v>0</v>
      </c>
      <c r="BK141">
        <v>33486637</v>
      </c>
      <c r="BL141">
        <v>0</v>
      </c>
      <c r="BM141">
        <v>141307</v>
      </c>
      <c r="BN141">
        <v>900000</v>
      </c>
      <c r="BO141">
        <v>151502</v>
      </c>
      <c r="BP141">
        <v>5810731</v>
      </c>
      <c r="BQ141">
        <v>0</v>
      </c>
      <c r="BR141">
        <v>1100959</v>
      </c>
      <c r="BS141">
        <v>2475436</v>
      </c>
      <c r="BT141">
        <v>150000</v>
      </c>
      <c r="BU141">
        <v>610000</v>
      </c>
      <c r="BV141">
        <v>629139</v>
      </c>
      <c r="BW141">
        <v>160000</v>
      </c>
      <c r="BX141">
        <v>314653</v>
      </c>
      <c r="BY141">
        <v>1548000</v>
      </c>
      <c r="BZ141">
        <v>336000</v>
      </c>
      <c r="CA141">
        <v>3596067</v>
      </c>
      <c r="CB141">
        <v>0</v>
      </c>
      <c r="CC141">
        <v>498083</v>
      </c>
      <c r="CD141">
        <v>1577832</v>
      </c>
      <c r="CE141">
        <v>1133341</v>
      </c>
      <c r="CF141">
        <v>1319630</v>
      </c>
      <c r="CG141">
        <v>476400</v>
      </c>
      <c r="CH141">
        <v>0</v>
      </c>
      <c r="CI141">
        <v>1055792</v>
      </c>
      <c r="CJ141">
        <v>1341180</v>
      </c>
      <c r="CK141">
        <v>2001782</v>
      </c>
      <c r="CL141">
        <v>440000</v>
      </c>
      <c r="CM141">
        <v>1261556</v>
      </c>
      <c r="CN141">
        <v>0</v>
      </c>
      <c r="CO141">
        <v>6297864</v>
      </c>
      <c r="CP141">
        <v>0</v>
      </c>
      <c r="CQ141">
        <v>15075000</v>
      </c>
      <c r="CR141">
        <v>208639</v>
      </c>
      <c r="CS141">
        <v>0</v>
      </c>
      <c r="CT141">
        <v>133954</v>
      </c>
      <c r="CU141">
        <v>2334743</v>
      </c>
      <c r="CV141">
        <v>1752606</v>
      </c>
      <c r="CW141">
        <v>2365500</v>
      </c>
      <c r="CX141">
        <v>241456</v>
      </c>
      <c r="CY141">
        <v>449343</v>
      </c>
    </row>
    <row r="142" spans="1:103" x14ac:dyDescent="0.3">
      <c r="A142">
        <v>629</v>
      </c>
      <c r="B142" t="s">
        <v>631</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c r="CP142">
        <v>0</v>
      </c>
      <c r="CQ142">
        <v>0</v>
      </c>
      <c r="CR142">
        <v>0</v>
      </c>
      <c r="CS142">
        <v>0</v>
      </c>
      <c r="CT142">
        <v>0</v>
      </c>
      <c r="CU142">
        <v>0</v>
      </c>
      <c r="CV142">
        <v>0</v>
      </c>
      <c r="CW142">
        <v>0</v>
      </c>
      <c r="CX142">
        <v>0</v>
      </c>
      <c r="CY142">
        <v>0</v>
      </c>
    </row>
    <row r="143" spans="1:103" x14ac:dyDescent="0.3">
      <c r="A143">
        <v>630</v>
      </c>
      <c r="B143" t="s">
        <v>632</v>
      </c>
      <c r="D143">
        <v>37296977</v>
      </c>
      <c r="E143">
        <v>26823</v>
      </c>
      <c r="F143">
        <v>0</v>
      </c>
      <c r="G143">
        <v>0</v>
      </c>
      <c r="H143">
        <v>4902974</v>
      </c>
      <c r="I143">
        <v>0</v>
      </c>
      <c r="J143">
        <v>0</v>
      </c>
      <c r="K143">
        <v>0</v>
      </c>
      <c r="L143">
        <v>0</v>
      </c>
      <c r="M143">
        <v>0</v>
      </c>
      <c r="N143">
        <v>2241330</v>
      </c>
      <c r="O143">
        <v>0</v>
      </c>
      <c r="P143">
        <v>0</v>
      </c>
      <c r="Q143">
        <v>26809568</v>
      </c>
      <c r="R143">
        <v>0</v>
      </c>
      <c r="S143">
        <v>0</v>
      </c>
      <c r="T143">
        <v>0</v>
      </c>
      <c r="U143">
        <v>0</v>
      </c>
      <c r="V143">
        <v>1001841</v>
      </c>
      <c r="W143">
        <v>0</v>
      </c>
      <c r="X143">
        <v>0</v>
      </c>
      <c r="Y143">
        <v>0</v>
      </c>
      <c r="Z143">
        <v>0</v>
      </c>
      <c r="AA143">
        <v>0</v>
      </c>
      <c r="AB143">
        <v>0</v>
      </c>
      <c r="AC143">
        <v>64095952</v>
      </c>
      <c r="AD143">
        <v>0</v>
      </c>
      <c r="AE143">
        <v>131911</v>
      </c>
      <c r="AF143">
        <v>17790152</v>
      </c>
      <c r="AG143">
        <v>6566584</v>
      </c>
      <c r="AH143">
        <v>0</v>
      </c>
      <c r="AI143">
        <v>0</v>
      </c>
      <c r="AJ143">
        <v>0</v>
      </c>
      <c r="AK143">
        <v>0</v>
      </c>
      <c r="AL143">
        <v>13825523</v>
      </c>
      <c r="AM143">
        <v>155000</v>
      </c>
      <c r="AN143">
        <v>0</v>
      </c>
      <c r="AO143">
        <v>6000</v>
      </c>
      <c r="AP143">
        <v>6016180</v>
      </c>
      <c r="AQ143">
        <v>0</v>
      </c>
      <c r="AR143">
        <v>0</v>
      </c>
      <c r="AS143">
        <v>77907</v>
      </c>
      <c r="AT143">
        <v>0</v>
      </c>
      <c r="AU143">
        <v>10799979</v>
      </c>
      <c r="AV143">
        <v>23070995</v>
      </c>
      <c r="AW143">
        <v>25000</v>
      </c>
      <c r="AX143">
        <v>16286</v>
      </c>
      <c r="AY143">
        <v>1448191</v>
      </c>
      <c r="AZ143">
        <v>50956</v>
      </c>
      <c r="BA143">
        <v>0</v>
      </c>
      <c r="BB143">
        <v>41761152</v>
      </c>
      <c r="BC143">
        <v>0</v>
      </c>
      <c r="BD143">
        <v>865884</v>
      </c>
      <c r="BE143">
        <v>0</v>
      </c>
      <c r="BF143">
        <v>10989895</v>
      </c>
      <c r="BG143">
        <v>2105253</v>
      </c>
      <c r="BH143">
        <v>0</v>
      </c>
      <c r="BI143">
        <v>0</v>
      </c>
      <c r="BJ143">
        <v>12197397</v>
      </c>
      <c r="BK143">
        <v>0</v>
      </c>
      <c r="BL143">
        <v>0</v>
      </c>
      <c r="BM143">
        <v>0</v>
      </c>
      <c r="BN143">
        <v>6020089</v>
      </c>
      <c r="BO143">
        <v>14784220</v>
      </c>
      <c r="BP143">
        <v>0</v>
      </c>
      <c r="BQ143">
        <v>0</v>
      </c>
      <c r="BR143">
        <v>441662</v>
      </c>
      <c r="BS143">
        <v>0</v>
      </c>
      <c r="BT143">
        <v>0</v>
      </c>
      <c r="BU143">
        <v>0</v>
      </c>
      <c r="BV143">
        <v>0</v>
      </c>
      <c r="BW143">
        <v>0</v>
      </c>
      <c r="BX143">
        <v>0</v>
      </c>
      <c r="BY143">
        <v>0</v>
      </c>
      <c r="BZ143">
        <v>65851</v>
      </c>
      <c r="CA143">
        <v>5143813</v>
      </c>
      <c r="CB143">
        <v>0</v>
      </c>
      <c r="CC143">
        <v>0</v>
      </c>
      <c r="CD143">
        <v>0</v>
      </c>
      <c r="CE143">
        <v>146335</v>
      </c>
      <c r="CF143">
        <v>4913951</v>
      </c>
      <c r="CG143">
        <v>0</v>
      </c>
      <c r="CH143">
        <v>6576479</v>
      </c>
      <c r="CI143">
        <v>0</v>
      </c>
      <c r="CJ143">
        <v>50733</v>
      </c>
      <c r="CK143">
        <v>16012396</v>
      </c>
      <c r="CL143">
        <v>0</v>
      </c>
      <c r="CM143">
        <v>0</v>
      </c>
      <c r="CN143">
        <v>259638</v>
      </c>
      <c r="CO143">
        <v>572452</v>
      </c>
      <c r="CP143">
        <v>0</v>
      </c>
      <c r="CQ143">
        <v>204808662</v>
      </c>
      <c r="CR143">
        <v>68704</v>
      </c>
      <c r="CS143">
        <v>0</v>
      </c>
      <c r="CT143">
        <v>173743</v>
      </c>
      <c r="CU143">
        <v>0</v>
      </c>
      <c r="CV143">
        <v>0</v>
      </c>
      <c r="CW143">
        <v>0</v>
      </c>
      <c r="CX143">
        <v>0</v>
      </c>
      <c r="CY143">
        <v>8612710</v>
      </c>
    </row>
    <row r="144" spans="1:103" x14ac:dyDescent="0.3">
      <c r="A144">
        <v>631</v>
      </c>
      <c r="B144" t="s">
        <v>633</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c r="CN144">
        <v>0</v>
      </c>
      <c r="CO144">
        <v>0</v>
      </c>
      <c r="CP144">
        <v>0</v>
      </c>
      <c r="CQ144">
        <v>0</v>
      </c>
      <c r="CR144">
        <v>0</v>
      </c>
      <c r="CS144">
        <v>0</v>
      </c>
      <c r="CT144">
        <v>0</v>
      </c>
      <c r="CU144">
        <v>0</v>
      </c>
      <c r="CV144">
        <v>0</v>
      </c>
      <c r="CW144">
        <v>0</v>
      </c>
      <c r="CX144">
        <v>0</v>
      </c>
      <c r="CY144">
        <v>0</v>
      </c>
    </row>
    <row r="145" spans="1:103" x14ac:dyDescent="0.3">
      <c r="A145">
        <v>632</v>
      </c>
      <c r="B145" t="s">
        <v>634</v>
      </c>
      <c r="D145">
        <v>0</v>
      </c>
      <c r="E145">
        <v>0</v>
      </c>
      <c r="F145">
        <v>0</v>
      </c>
      <c r="G145">
        <v>0</v>
      </c>
      <c r="H145">
        <v>0</v>
      </c>
      <c r="I145">
        <v>0</v>
      </c>
      <c r="J145">
        <v>0</v>
      </c>
      <c r="K145">
        <v>0</v>
      </c>
      <c r="L145">
        <v>0</v>
      </c>
      <c r="M145">
        <v>121697</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66127</v>
      </c>
      <c r="BO145">
        <v>0</v>
      </c>
      <c r="BP145">
        <v>0</v>
      </c>
      <c r="BQ145">
        <v>0</v>
      </c>
      <c r="BR145">
        <v>0</v>
      </c>
      <c r="BS145">
        <v>0</v>
      </c>
      <c r="BT145">
        <v>0</v>
      </c>
      <c r="BU145">
        <v>0</v>
      </c>
      <c r="BV145">
        <v>0</v>
      </c>
      <c r="BW145">
        <v>0</v>
      </c>
      <c r="BX145">
        <v>0</v>
      </c>
      <c r="BY145">
        <v>0</v>
      </c>
      <c r="BZ145">
        <v>0</v>
      </c>
      <c r="CA145">
        <v>57168</v>
      </c>
      <c r="CB145">
        <v>0</v>
      </c>
      <c r="CC145">
        <v>0</v>
      </c>
      <c r="CD145">
        <v>0</v>
      </c>
      <c r="CE145">
        <v>0</v>
      </c>
      <c r="CF145">
        <v>0</v>
      </c>
      <c r="CG145">
        <v>0</v>
      </c>
      <c r="CH145">
        <v>0</v>
      </c>
      <c r="CI145">
        <v>0</v>
      </c>
      <c r="CJ145">
        <v>0</v>
      </c>
      <c r="CK145">
        <v>0</v>
      </c>
      <c r="CL145">
        <v>0</v>
      </c>
      <c r="CM145">
        <v>0</v>
      </c>
      <c r="CN145">
        <v>0</v>
      </c>
      <c r="CO145">
        <v>0</v>
      </c>
      <c r="CP145">
        <v>0</v>
      </c>
      <c r="CQ145">
        <v>0</v>
      </c>
      <c r="CR145">
        <v>0</v>
      </c>
      <c r="CS145">
        <v>0</v>
      </c>
      <c r="CT145">
        <v>121745</v>
      </c>
      <c r="CU145">
        <v>0</v>
      </c>
      <c r="CV145">
        <v>0</v>
      </c>
      <c r="CW145">
        <v>0</v>
      </c>
      <c r="CX145">
        <v>0</v>
      </c>
      <c r="CY145">
        <v>62639</v>
      </c>
    </row>
    <row r="146" spans="1:103" x14ac:dyDescent="0.3">
      <c r="A146">
        <v>633</v>
      </c>
      <c r="B146" t="s">
        <v>321</v>
      </c>
      <c r="D146">
        <v>0</v>
      </c>
      <c r="E146">
        <v>896524</v>
      </c>
      <c r="F146">
        <v>0</v>
      </c>
      <c r="G146">
        <v>1273659</v>
      </c>
      <c r="H146">
        <v>0</v>
      </c>
      <c r="I146">
        <v>0</v>
      </c>
      <c r="J146">
        <v>3006123</v>
      </c>
      <c r="K146">
        <v>836725</v>
      </c>
      <c r="L146">
        <v>796466</v>
      </c>
      <c r="M146">
        <v>31142816</v>
      </c>
      <c r="N146">
        <v>0</v>
      </c>
      <c r="O146">
        <v>328892</v>
      </c>
      <c r="P146">
        <v>0</v>
      </c>
      <c r="Q146">
        <v>295229</v>
      </c>
      <c r="R146">
        <v>268483</v>
      </c>
      <c r="S146">
        <v>867667</v>
      </c>
      <c r="T146">
        <v>0</v>
      </c>
      <c r="U146">
        <v>0</v>
      </c>
      <c r="V146">
        <v>2377654</v>
      </c>
      <c r="W146">
        <v>0</v>
      </c>
      <c r="X146">
        <v>98481</v>
      </c>
      <c r="Y146">
        <v>231946</v>
      </c>
      <c r="Z146">
        <v>0</v>
      </c>
      <c r="AA146">
        <v>1154593</v>
      </c>
      <c r="AB146">
        <v>1510717</v>
      </c>
      <c r="AC146">
        <v>127240</v>
      </c>
      <c r="AD146">
        <v>2556197</v>
      </c>
      <c r="AE146">
        <v>4563429</v>
      </c>
      <c r="AF146">
        <v>729941</v>
      </c>
      <c r="AG146">
        <v>1678672</v>
      </c>
      <c r="AH146">
        <v>1331038</v>
      </c>
      <c r="AI146">
        <v>2630325</v>
      </c>
      <c r="AJ146">
        <v>1035102</v>
      </c>
      <c r="AK146">
        <v>0</v>
      </c>
      <c r="AL146">
        <v>3976305</v>
      </c>
      <c r="AM146">
        <v>0</v>
      </c>
      <c r="AN146">
        <v>146371</v>
      </c>
      <c r="AO146">
        <v>0</v>
      </c>
      <c r="AP146">
        <v>0</v>
      </c>
      <c r="AQ146">
        <v>1177784</v>
      </c>
      <c r="AR146">
        <v>0</v>
      </c>
      <c r="AS146">
        <v>1935216</v>
      </c>
      <c r="AT146">
        <v>8193124</v>
      </c>
      <c r="AU146">
        <v>0</v>
      </c>
      <c r="AV146">
        <v>2160</v>
      </c>
      <c r="AW146">
        <v>2008435</v>
      </c>
      <c r="AX146">
        <v>3237836</v>
      </c>
      <c r="AY146">
        <v>215631</v>
      </c>
      <c r="AZ146">
        <v>0</v>
      </c>
      <c r="BA146">
        <v>0</v>
      </c>
      <c r="BB146">
        <v>19277671</v>
      </c>
      <c r="BC146">
        <v>538691</v>
      </c>
      <c r="BD146">
        <v>0</v>
      </c>
      <c r="BE146">
        <v>0</v>
      </c>
      <c r="BF146">
        <v>7145982</v>
      </c>
      <c r="BG146">
        <v>0</v>
      </c>
      <c r="BH146">
        <v>0</v>
      </c>
      <c r="BI146">
        <v>2039024</v>
      </c>
      <c r="BJ146">
        <v>34250</v>
      </c>
      <c r="BK146">
        <v>0</v>
      </c>
      <c r="BL146">
        <v>0</v>
      </c>
      <c r="BM146">
        <v>1223459</v>
      </c>
      <c r="BN146">
        <v>4465063</v>
      </c>
      <c r="BO146">
        <v>2592773</v>
      </c>
      <c r="BP146">
        <v>0</v>
      </c>
      <c r="BQ146">
        <v>1105079</v>
      </c>
      <c r="BR146">
        <v>0</v>
      </c>
      <c r="BS146">
        <v>0</v>
      </c>
      <c r="BT146">
        <v>540848</v>
      </c>
      <c r="BU146">
        <v>1296115</v>
      </c>
      <c r="BV146">
        <v>4584674</v>
      </c>
      <c r="BW146">
        <v>267648</v>
      </c>
      <c r="BX146">
        <v>0</v>
      </c>
      <c r="BY146">
        <v>0</v>
      </c>
      <c r="BZ146">
        <v>217189</v>
      </c>
      <c r="CA146">
        <v>0</v>
      </c>
      <c r="CB146">
        <v>693417</v>
      </c>
      <c r="CC146">
        <v>2676198</v>
      </c>
      <c r="CD146">
        <v>2336036</v>
      </c>
      <c r="CE146">
        <v>48075</v>
      </c>
      <c r="CF146">
        <v>0</v>
      </c>
      <c r="CG146">
        <v>1382668</v>
      </c>
      <c r="CH146">
        <v>843261</v>
      </c>
      <c r="CI146">
        <v>2483913</v>
      </c>
      <c r="CJ146">
        <v>6688</v>
      </c>
      <c r="CK146">
        <v>821072</v>
      </c>
      <c r="CL146">
        <v>0</v>
      </c>
      <c r="CM146">
        <v>0</v>
      </c>
      <c r="CN146">
        <v>148592</v>
      </c>
      <c r="CO146">
        <v>54399643</v>
      </c>
      <c r="CP146">
        <v>343994</v>
      </c>
      <c r="CQ146">
        <v>0</v>
      </c>
      <c r="CR146">
        <v>1228602</v>
      </c>
      <c r="CS146">
        <v>1086326</v>
      </c>
      <c r="CT146">
        <v>0</v>
      </c>
      <c r="CU146">
        <v>589463</v>
      </c>
      <c r="CV146">
        <v>0</v>
      </c>
      <c r="CW146">
        <v>417515</v>
      </c>
      <c r="CX146">
        <v>224173</v>
      </c>
      <c r="CY146">
        <v>417605</v>
      </c>
    </row>
    <row r="147" spans="1:103" x14ac:dyDescent="0.3">
      <c r="A147">
        <v>634</v>
      </c>
      <c r="B147" t="s">
        <v>322</v>
      </c>
      <c r="D147">
        <v>0</v>
      </c>
      <c r="E147">
        <v>0</v>
      </c>
      <c r="F147">
        <v>0</v>
      </c>
      <c r="G147">
        <v>0</v>
      </c>
      <c r="H147">
        <v>0</v>
      </c>
      <c r="I147">
        <v>0</v>
      </c>
      <c r="J147">
        <v>0</v>
      </c>
      <c r="K147">
        <v>0</v>
      </c>
      <c r="L147">
        <v>667214</v>
      </c>
      <c r="M147">
        <v>0</v>
      </c>
      <c r="N147">
        <v>0</v>
      </c>
      <c r="O147">
        <v>0</v>
      </c>
      <c r="P147">
        <v>0</v>
      </c>
      <c r="Q147">
        <v>0</v>
      </c>
      <c r="R147">
        <v>0</v>
      </c>
      <c r="S147">
        <v>0</v>
      </c>
      <c r="T147">
        <v>0</v>
      </c>
      <c r="U147">
        <v>0</v>
      </c>
      <c r="V147">
        <v>1141507</v>
      </c>
      <c r="W147">
        <v>0</v>
      </c>
      <c r="X147">
        <v>0</v>
      </c>
      <c r="Y147">
        <v>0</v>
      </c>
      <c r="Z147">
        <v>0</v>
      </c>
      <c r="AA147">
        <v>0</v>
      </c>
      <c r="AB147">
        <v>0</v>
      </c>
      <c r="AC147">
        <v>0</v>
      </c>
      <c r="AD147">
        <v>0</v>
      </c>
      <c r="AE147">
        <v>0</v>
      </c>
      <c r="AF147">
        <v>0</v>
      </c>
      <c r="AG147">
        <v>0</v>
      </c>
      <c r="AH147">
        <v>0</v>
      </c>
      <c r="AI147">
        <v>1523033</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144833</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0</v>
      </c>
      <c r="CN147">
        <v>0</v>
      </c>
      <c r="CO147">
        <v>0</v>
      </c>
      <c r="CP147">
        <v>0</v>
      </c>
      <c r="CQ147">
        <v>0</v>
      </c>
      <c r="CR147">
        <v>0</v>
      </c>
      <c r="CS147">
        <v>0</v>
      </c>
      <c r="CT147">
        <v>0</v>
      </c>
      <c r="CU147">
        <v>90000</v>
      </c>
      <c r="CV147">
        <v>0</v>
      </c>
      <c r="CW147">
        <v>0</v>
      </c>
      <c r="CX147">
        <v>0</v>
      </c>
      <c r="CY147">
        <v>38162</v>
      </c>
    </row>
    <row r="148" spans="1:103" x14ac:dyDescent="0.3">
      <c r="A148">
        <v>635</v>
      </c>
      <c r="B148" t="s">
        <v>323</v>
      </c>
      <c r="D148">
        <v>0</v>
      </c>
      <c r="E148">
        <v>0</v>
      </c>
      <c r="F148">
        <v>0</v>
      </c>
      <c r="G148">
        <v>0</v>
      </c>
      <c r="H148">
        <v>0</v>
      </c>
      <c r="I148">
        <v>0</v>
      </c>
      <c r="J148">
        <v>29509</v>
      </c>
      <c r="K148">
        <v>22364</v>
      </c>
      <c r="L148">
        <v>5847</v>
      </c>
      <c r="M148">
        <v>32000</v>
      </c>
      <c r="N148">
        <v>0</v>
      </c>
      <c r="O148">
        <v>0</v>
      </c>
      <c r="P148">
        <v>0</v>
      </c>
      <c r="Q148">
        <v>73415</v>
      </c>
      <c r="R148">
        <v>28228</v>
      </c>
      <c r="S148">
        <v>1133</v>
      </c>
      <c r="T148">
        <v>0</v>
      </c>
      <c r="U148">
        <v>0</v>
      </c>
      <c r="V148">
        <v>85019</v>
      </c>
      <c r="W148">
        <v>0</v>
      </c>
      <c r="X148">
        <v>5000</v>
      </c>
      <c r="Y148">
        <v>0</v>
      </c>
      <c r="Z148">
        <v>0</v>
      </c>
      <c r="AA148">
        <v>10881</v>
      </c>
      <c r="AB148">
        <v>37914</v>
      </c>
      <c r="AC148">
        <v>0</v>
      </c>
      <c r="AD148">
        <v>54401</v>
      </c>
      <c r="AE148">
        <v>91000</v>
      </c>
      <c r="AF148">
        <v>412</v>
      </c>
      <c r="AG148">
        <v>77000</v>
      </c>
      <c r="AH148">
        <v>9198</v>
      </c>
      <c r="AI148">
        <v>73308</v>
      </c>
      <c r="AJ148">
        <v>0</v>
      </c>
      <c r="AK148">
        <v>0</v>
      </c>
      <c r="AL148">
        <v>43420</v>
      </c>
      <c r="AM148">
        <v>0</v>
      </c>
      <c r="AN148">
        <v>7490</v>
      </c>
      <c r="AO148">
        <v>0</v>
      </c>
      <c r="AP148">
        <v>0</v>
      </c>
      <c r="AQ148">
        <v>26200</v>
      </c>
      <c r="AR148">
        <v>0</v>
      </c>
      <c r="AS148">
        <v>21767</v>
      </c>
      <c r="AT148">
        <v>604530</v>
      </c>
      <c r="AU148">
        <v>0</v>
      </c>
      <c r="AV148">
        <v>0</v>
      </c>
      <c r="AW148">
        <v>8125</v>
      </c>
      <c r="AX148">
        <v>47783</v>
      </c>
      <c r="AY148">
        <v>0</v>
      </c>
      <c r="AZ148">
        <v>0</v>
      </c>
      <c r="BA148">
        <v>0</v>
      </c>
      <c r="BB148">
        <v>185020</v>
      </c>
      <c r="BC148">
        <v>20000</v>
      </c>
      <c r="BD148">
        <v>0</v>
      </c>
      <c r="BE148">
        <v>0</v>
      </c>
      <c r="BF148">
        <v>93975</v>
      </c>
      <c r="BG148">
        <v>0</v>
      </c>
      <c r="BH148">
        <v>0</v>
      </c>
      <c r="BI148">
        <v>3000</v>
      </c>
      <c r="BJ148">
        <v>0</v>
      </c>
      <c r="BK148">
        <v>0</v>
      </c>
      <c r="BL148">
        <v>0</v>
      </c>
      <c r="BM148">
        <v>7838</v>
      </c>
      <c r="BN148">
        <v>60000</v>
      </c>
      <c r="BO148">
        <v>2917</v>
      </c>
      <c r="BP148">
        <v>0</v>
      </c>
      <c r="BQ148">
        <v>0</v>
      </c>
      <c r="BR148">
        <v>0</v>
      </c>
      <c r="BS148">
        <v>0</v>
      </c>
      <c r="BT148">
        <v>12000</v>
      </c>
      <c r="BU148">
        <v>34680</v>
      </c>
      <c r="BV148">
        <v>41308</v>
      </c>
      <c r="BW148">
        <v>22224</v>
      </c>
      <c r="BX148">
        <v>0</v>
      </c>
      <c r="BY148">
        <v>0</v>
      </c>
      <c r="BZ148">
        <v>0</v>
      </c>
      <c r="CA148">
        <v>0</v>
      </c>
      <c r="CB148">
        <v>0</v>
      </c>
      <c r="CC148">
        <v>32247</v>
      </c>
      <c r="CD148">
        <v>550</v>
      </c>
      <c r="CE148">
        <v>0</v>
      </c>
      <c r="CF148">
        <v>0</v>
      </c>
      <c r="CG148">
        <v>13700</v>
      </c>
      <c r="CH148">
        <v>0</v>
      </c>
      <c r="CI148">
        <v>20637</v>
      </c>
      <c r="CJ148">
        <v>0</v>
      </c>
      <c r="CK148">
        <v>0</v>
      </c>
      <c r="CL148">
        <v>0</v>
      </c>
      <c r="CM148">
        <v>0</v>
      </c>
      <c r="CN148">
        <v>0</v>
      </c>
      <c r="CO148">
        <v>833813</v>
      </c>
      <c r="CP148">
        <v>0</v>
      </c>
      <c r="CQ148">
        <v>0</v>
      </c>
      <c r="CR148">
        <v>0</v>
      </c>
      <c r="CS148">
        <v>0</v>
      </c>
      <c r="CT148">
        <v>0</v>
      </c>
      <c r="CU148">
        <v>0</v>
      </c>
      <c r="CV148">
        <v>0</v>
      </c>
      <c r="CW148">
        <v>23568</v>
      </c>
      <c r="CX148">
        <v>396</v>
      </c>
      <c r="CY148">
        <v>0</v>
      </c>
    </row>
    <row r="149" spans="1:103" x14ac:dyDescent="0.3">
      <c r="A149">
        <v>636</v>
      </c>
      <c r="B149" t="s">
        <v>1348</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0</v>
      </c>
      <c r="CJ149">
        <v>0</v>
      </c>
      <c r="CK149">
        <v>0</v>
      </c>
      <c r="CL149">
        <v>0</v>
      </c>
      <c r="CM149">
        <v>0</v>
      </c>
      <c r="CN149">
        <v>0</v>
      </c>
      <c r="CO149">
        <v>0</v>
      </c>
      <c r="CP149">
        <v>0</v>
      </c>
      <c r="CQ149">
        <v>0</v>
      </c>
      <c r="CR149">
        <v>0</v>
      </c>
      <c r="CS149">
        <v>0</v>
      </c>
      <c r="CT149">
        <v>0</v>
      </c>
      <c r="CU149">
        <v>0</v>
      </c>
      <c r="CV149">
        <v>0</v>
      </c>
      <c r="CW149">
        <v>0</v>
      </c>
      <c r="CX149">
        <v>0</v>
      </c>
      <c r="CY149">
        <v>0</v>
      </c>
    </row>
    <row r="150" spans="1:103" x14ac:dyDescent="0.3">
      <c r="A150">
        <v>637</v>
      </c>
      <c r="B150" t="s">
        <v>1349</v>
      </c>
      <c r="D150">
        <v>0</v>
      </c>
      <c r="E150">
        <v>0</v>
      </c>
      <c r="F150">
        <v>0</v>
      </c>
      <c r="G150">
        <v>0</v>
      </c>
      <c r="H150">
        <v>0</v>
      </c>
      <c r="I150">
        <v>0</v>
      </c>
      <c r="J150">
        <v>242600</v>
      </c>
      <c r="K150">
        <v>0</v>
      </c>
      <c r="L150">
        <v>0</v>
      </c>
      <c r="M150">
        <v>2356385</v>
      </c>
      <c r="N150">
        <v>0</v>
      </c>
      <c r="O150">
        <v>134096</v>
      </c>
      <c r="P150">
        <v>0</v>
      </c>
      <c r="Q150">
        <v>98800</v>
      </c>
      <c r="R150">
        <v>0</v>
      </c>
      <c r="S150">
        <v>0</v>
      </c>
      <c r="T150">
        <v>0</v>
      </c>
      <c r="U150">
        <v>0</v>
      </c>
      <c r="V150">
        <v>487779</v>
      </c>
      <c r="W150">
        <v>0</v>
      </c>
      <c r="X150">
        <v>0</v>
      </c>
      <c r="Y150">
        <v>120913</v>
      </c>
      <c r="Z150">
        <v>0</v>
      </c>
      <c r="AA150">
        <v>0</v>
      </c>
      <c r="AB150">
        <v>325760</v>
      </c>
      <c r="AC150">
        <v>0</v>
      </c>
      <c r="AD150">
        <v>115574</v>
      </c>
      <c r="AE150">
        <v>2089822</v>
      </c>
      <c r="AF150">
        <v>0</v>
      </c>
      <c r="AG150">
        <v>311392</v>
      </c>
      <c r="AH150">
        <v>0</v>
      </c>
      <c r="AI150">
        <v>0</v>
      </c>
      <c r="AJ150">
        <v>227682</v>
      </c>
      <c r="AK150">
        <v>0</v>
      </c>
      <c r="AL150">
        <v>0</v>
      </c>
      <c r="AM150">
        <v>0</v>
      </c>
      <c r="AN150">
        <v>0</v>
      </c>
      <c r="AO150">
        <v>0</v>
      </c>
      <c r="AP150">
        <v>0</v>
      </c>
      <c r="AQ150">
        <v>0</v>
      </c>
      <c r="AR150">
        <v>0</v>
      </c>
      <c r="AS150">
        <v>0</v>
      </c>
      <c r="AT150">
        <v>0</v>
      </c>
      <c r="AU150">
        <v>0</v>
      </c>
      <c r="AV150">
        <v>0</v>
      </c>
      <c r="AW150">
        <v>109680</v>
      </c>
      <c r="AX150">
        <v>1560559</v>
      </c>
      <c r="AY150">
        <v>0</v>
      </c>
      <c r="AZ150">
        <v>0</v>
      </c>
      <c r="BA150">
        <v>0</v>
      </c>
      <c r="BB150">
        <v>2755502</v>
      </c>
      <c r="BC150">
        <v>0</v>
      </c>
      <c r="BD150">
        <v>0</v>
      </c>
      <c r="BE150">
        <v>0</v>
      </c>
      <c r="BF150">
        <v>3418487</v>
      </c>
      <c r="BG150">
        <v>0</v>
      </c>
      <c r="BH150">
        <v>0</v>
      </c>
      <c r="BI150">
        <v>0</v>
      </c>
      <c r="BJ150">
        <v>27225</v>
      </c>
      <c r="BK150">
        <v>0</v>
      </c>
      <c r="BL150">
        <v>0</v>
      </c>
      <c r="BM150">
        <v>0</v>
      </c>
      <c r="BN150">
        <v>1033910</v>
      </c>
      <c r="BO150">
        <v>128458</v>
      </c>
      <c r="BP150">
        <v>0</v>
      </c>
      <c r="BQ150">
        <v>280118</v>
      </c>
      <c r="BR150">
        <v>0</v>
      </c>
      <c r="BS150">
        <v>0</v>
      </c>
      <c r="BT150">
        <v>62575</v>
      </c>
      <c r="BU150">
        <v>124035</v>
      </c>
      <c r="BV150">
        <v>172875</v>
      </c>
      <c r="BW150">
        <v>0</v>
      </c>
      <c r="BX150">
        <v>0</v>
      </c>
      <c r="BY150">
        <v>0</v>
      </c>
      <c r="BZ150">
        <v>0</v>
      </c>
      <c r="CA150">
        <v>0</v>
      </c>
      <c r="CB150">
        <v>0</v>
      </c>
      <c r="CC150">
        <v>0</v>
      </c>
      <c r="CD150">
        <v>0</v>
      </c>
      <c r="CE150">
        <v>0</v>
      </c>
      <c r="CF150">
        <v>0</v>
      </c>
      <c r="CG150">
        <v>0</v>
      </c>
      <c r="CH150">
        <v>0</v>
      </c>
      <c r="CI150">
        <v>235097</v>
      </c>
      <c r="CJ150">
        <v>0</v>
      </c>
      <c r="CK150">
        <v>0</v>
      </c>
      <c r="CL150">
        <v>0</v>
      </c>
      <c r="CM150">
        <v>0</v>
      </c>
      <c r="CN150">
        <v>0</v>
      </c>
      <c r="CO150">
        <v>1253628</v>
      </c>
      <c r="CP150">
        <v>0</v>
      </c>
      <c r="CQ150">
        <v>0</v>
      </c>
      <c r="CR150">
        <v>0</v>
      </c>
      <c r="CS150">
        <v>0</v>
      </c>
      <c r="CT150">
        <v>0</v>
      </c>
      <c r="CU150">
        <v>0</v>
      </c>
      <c r="CV150">
        <v>0</v>
      </c>
      <c r="CW150">
        <v>0</v>
      </c>
      <c r="CX150">
        <v>0</v>
      </c>
      <c r="CY150">
        <v>0</v>
      </c>
    </row>
    <row r="151" spans="1:103" x14ac:dyDescent="0.3">
      <c r="A151">
        <v>638</v>
      </c>
      <c r="B151" t="s">
        <v>1350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0</v>
      </c>
      <c r="CP151">
        <v>0</v>
      </c>
      <c r="CQ151">
        <v>0</v>
      </c>
      <c r="CR151">
        <v>0</v>
      </c>
      <c r="CS151">
        <v>0</v>
      </c>
      <c r="CT151">
        <v>0</v>
      </c>
      <c r="CU151">
        <v>0</v>
      </c>
      <c r="CV151">
        <v>0</v>
      </c>
      <c r="CW151">
        <v>0</v>
      </c>
      <c r="CX151">
        <v>0</v>
      </c>
      <c r="CY151">
        <v>0</v>
      </c>
    </row>
    <row r="152" spans="1:103" x14ac:dyDescent="0.3">
      <c r="A152">
        <v>645</v>
      </c>
      <c r="B152" t="s">
        <v>328</v>
      </c>
      <c r="D152">
        <v>6470426</v>
      </c>
      <c r="E152">
        <v>6061120</v>
      </c>
      <c r="F152">
        <v>45239</v>
      </c>
      <c r="G152">
        <v>0</v>
      </c>
      <c r="H152">
        <v>3834848</v>
      </c>
      <c r="I152">
        <v>0</v>
      </c>
      <c r="J152">
        <v>0</v>
      </c>
      <c r="K152">
        <v>0</v>
      </c>
      <c r="L152">
        <v>10347676</v>
      </c>
      <c r="M152">
        <v>16046124</v>
      </c>
      <c r="N152">
        <v>15947652</v>
      </c>
      <c r="O152">
        <v>3076935</v>
      </c>
      <c r="P152">
        <v>6258482</v>
      </c>
      <c r="Q152">
        <v>4856352</v>
      </c>
      <c r="R152">
        <v>0</v>
      </c>
      <c r="S152">
        <v>3440000</v>
      </c>
      <c r="T152">
        <v>1235126</v>
      </c>
      <c r="U152">
        <v>20730642</v>
      </c>
      <c r="V152">
        <v>8937201</v>
      </c>
      <c r="W152">
        <v>2172617</v>
      </c>
      <c r="X152">
        <v>0</v>
      </c>
      <c r="Y152">
        <v>0</v>
      </c>
      <c r="Z152">
        <v>8238027</v>
      </c>
      <c r="AA152">
        <v>0</v>
      </c>
      <c r="AB152">
        <v>3731</v>
      </c>
      <c r="AC152">
        <v>10071721</v>
      </c>
      <c r="AD152">
        <v>2603667</v>
      </c>
      <c r="AE152">
        <v>3745155</v>
      </c>
      <c r="AF152">
        <v>5533382</v>
      </c>
      <c r="AG152">
        <v>4493521</v>
      </c>
      <c r="AH152">
        <v>2753796</v>
      </c>
      <c r="AI152">
        <v>28509242</v>
      </c>
      <c r="AJ152">
        <v>5569357</v>
      </c>
      <c r="AK152">
        <v>36097735</v>
      </c>
      <c r="AL152">
        <v>9352628</v>
      </c>
      <c r="AM152">
        <v>32628830</v>
      </c>
      <c r="AN152">
        <v>18805</v>
      </c>
      <c r="AO152">
        <v>1201383</v>
      </c>
      <c r="AP152">
        <v>10766276</v>
      </c>
      <c r="AQ152">
        <v>100000</v>
      </c>
      <c r="AR152">
        <v>31385839</v>
      </c>
      <c r="AS152">
        <v>4800905</v>
      </c>
      <c r="AT152">
        <v>24949812</v>
      </c>
      <c r="AU152">
        <v>5695639</v>
      </c>
      <c r="AV152">
        <v>19894557</v>
      </c>
      <c r="AW152">
        <v>1927401</v>
      </c>
      <c r="AX152">
        <v>300000</v>
      </c>
      <c r="AY152">
        <v>412000</v>
      </c>
      <c r="AZ152">
        <v>11351407</v>
      </c>
      <c r="BA152">
        <v>203573</v>
      </c>
      <c r="BB152">
        <v>2806215</v>
      </c>
      <c r="BC152">
        <v>912458</v>
      </c>
      <c r="BD152">
        <v>4253206</v>
      </c>
      <c r="BE152">
        <v>14044055</v>
      </c>
      <c r="BF152">
        <v>13144325</v>
      </c>
      <c r="BG152">
        <v>0</v>
      </c>
      <c r="BH152">
        <v>1787504</v>
      </c>
      <c r="BI152">
        <v>1423881</v>
      </c>
      <c r="BJ152">
        <v>1885720</v>
      </c>
      <c r="BK152">
        <v>0</v>
      </c>
      <c r="BL152">
        <v>1953820</v>
      </c>
      <c r="BM152">
        <v>4105652</v>
      </c>
      <c r="BN152">
        <v>13854291</v>
      </c>
      <c r="BO152">
        <v>6473966</v>
      </c>
      <c r="BP152">
        <v>34845787</v>
      </c>
      <c r="BQ152">
        <v>2160660</v>
      </c>
      <c r="BR152">
        <v>10774208</v>
      </c>
      <c r="BS152">
        <v>14608880</v>
      </c>
      <c r="BT152">
        <v>2099815</v>
      </c>
      <c r="BU152">
        <v>806800</v>
      </c>
      <c r="BV152">
        <v>40139</v>
      </c>
      <c r="BW152">
        <v>0</v>
      </c>
      <c r="BX152">
        <v>2168060</v>
      </c>
      <c r="BY152">
        <v>4903179</v>
      </c>
      <c r="BZ152">
        <v>835293</v>
      </c>
      <c r="CA152">
        <v>4530586</v>
      </c>
      <c r="CB152">
        <v>0</v>
      </c>
      <c r="CC152">
        <v>0</v>
      </c>
      <c r="CD152">
        <v>13330428</v>
      </c>
      <c r="CE152">
        <v>22600286</v>
      </c>
      <c r="CF152">
        <v>5269510</v>
      </c>
      <c r="CG152">
        <v>4711780</v>
      </c>
      <c r="CH152">
        <v>2149291</v>
      </c>
      <c r="CI152">
        <v>4313322</v>
      </c>
      <c r="CJ152">
        <v>3636186</v>
      </c>
      <c r="CK152">
        <v>10931636</v>
      </c>
      <c r="CL152">
        <v>1000000</v>
      </c>
      <c r="CM152">
        <v>16896465</v>
      </c>
      <c r="CN152">
        <v>976256</v>
      </c>
      <c r="CO152">
        <v>8270719</v>
      </c>
      <c r="CP152">
        <v>1655897</v>
      </c>
      <c r="CQ152">
        <v>0</v>
      </c>
      <c r="CR152">
        <v>2843272</v>
      </c>
      <c r="CS152">
        <v>4355001</v>
      </c>
      <c r="CT152">
        <v>0</v>
      </c>
      <c r="CU152">
        <v>2137032</v>
      </c>
      <c r="CV152">
        <v>6118080</v>
      </c>
      <c r="CW152">
        <v>13487519</v>
      </c>
      <c r="CX152">
        <v>2948406</v>
      </c>
      <c r="CY152">
        <v>0</v>
      </c>
    </row>
    <row r="153" spans="1:103" x14ac:dyDescent="0.3">
      <c r="A153">
        <v>646</v>
      </c>
      <c r="B153" t="s">
        <v>308</v>
      </c>
      <c r="D153">
        <v>41819209</v>
      </c>
      <c r="E153">
        <v>13521793</v>
      </c>
      <c r="F153">
        <v>7683226</v>
      </c>
      <c r="G153">
        <v>14184452</v>
      </c>
      <c r="H153">
        <v>9420443</v>
      </c>
      <c r="I153">
        <v>25840929</v>
      </c>
      <c r="J153">
        <v>28729788</v>
      </c>
      <c r="K153">
        <v>1731319</v>
      </c>
      <c r="L153">
        <v>19598758</v>
      </c>
      <c r="M153">
        <v>103370576</v>
      </c>
      <c r="N153">
        <v>74109359</v>
      </c>
      <c r="O153">
        <v>30305835</v>
      </c>
      <c r="P153">
        <v>72602770</v>
      </c>
      <c r="Q153">
        <v>12892593</v>
      </c>
      <c r="R153">
        <v>7762728</v>
      </c>
      <c r="S153">
        <v>38975108</v>
      </c>
      <c r="T153">
        <v>7150570</v>
      </c>
      <c r="U153">
        <v>65591057</v>
      </c>
      <c r="V153">
        <v>34214417</v>
      </c>
      <c r="W153">
        <v>8260034</v>
      </c>
      <c r="X153">
        <v>9096438</v>
      </c>
      <c r="Y153">
        <v>7366498</v>
      </c>
      <c r="Z153">
        <v>27600715</v>
      </c>
      <c r="AA153">
        <v>5843671</v>
      </c>
      <c r="AB153">
        <v>44004435</v>
      </c>
      <c r="AC153">
        <v>75747920</v>
      </c>
      <c r="AD153">
        <v>20998499</v>
      </c>
      <c r="AE153">
        <v>41087401</v>
      </c>
      <c r="AF153">
        <v>71833870</v>
      </c>
      <c r="AG153">
        <v>3901124</v>
      </c>
      <c r="AH153">
        <v>22596232</v>
      </c>
      <c r="AI153">
        <v>119311952</v>
      </c>
      <c r="AJ153">
        <v>17039508</v>
      </c>
      <c r="AK153">
        <v>74559812</v>
      </c>
      <c r="AL153">
        <v>30193754</v>
      </c>
      <c r="AM153">
        <v>38240600</v>
      </c>
      <c r="AN153">
        <v>4472777</v>
      </c>
      <c r="AO153">
        <v>6854764</v>
      </c>
      <c r="AP153">
        <v>27206114</v>
      </c>
      <c r="AQ153">
        <v>11312014</v>
      </c>
      <c r="AR153">
        <v>96232936</v>
      </c>
      <c r="AS153">
        <v>21348353</v>
      </c>
      <c r="AT153">
        <v>41662778</v>
      </c>
      <c r="AU153">
        <v>15834253</v>
      </c>
      <c r="AV153">
        <v>43938388</v>
      </c>
      <c r="AW153">
        <v>4043569</v>
      </c>
      <c r="AX153">
        <v>34215797</v>
      </c>
      <c r="AY153">
        <v>1269857</v>
      </c>
      <c r="AZ153">
        <v>80345690</v>
      </c>
      <c r="BA153">
        <v>29008905</v>
      </c>
      <c r="BB153">
        <v>163514947</v>
      </c>
      <c r="BC153">
        <v>4311458</v>
      </c>
      <c r="BD153">
        <v>18517804</v>
      </c>
      <c r="BE153">
        <v>20057856</v>
      </c>
      <c r="BF153">
        <v>25889504</v>
      </c>
      <c r="BG153">
        <v>37844632</v>
      </c>
      <c r="BH153">
        <v>8795837</v>
      </c>
      <c r="BI153">
        <v>10830572</v>
      </c>
      <c r="BJ153">
        <v>0</v>
      </c>
      <c r="BK153">
        <v>319088450</v>
      </c>
      <c r="BL153">
        <v>6590366</v>
      </c>
      <c r="BM153">
        <v>24486313</v>
      </c>
      <c r="BN153">
        <v>24867473</v>
      </c>
      <c r="BO153">
        <v>28211873</v>
      </c>
      <c r="BP153">
        <v>72051419</v>
      </c>
      <c r="BQ153">
        <v>19784381</v>
      </c>
      <c r="BR153">
        <v>52400374</v>
      </c>
      <c r="BS153">
        <v>38870823</v>
      </c>
      <c r="BT153">
        <v>8034393</v>
      </c>
      <c r="BU153">
        <v>19329689</v>
      </c>
      <c r="BV153">
        <v>54619972</v>
      </c>
      <c r="BW153">
        <v>6876997</v>
      </c>
      <c r="BX153">
        <v>21108169</v>
      </c>
      <c r="BY153">
        <v>52707795</v>
      </c>
      <c r="BZ153">
        <v>10797102</v>
      </c>
      <c r="CA153">
        <v>37635723</v>
      </c>
      <c r="CB153">
        <v>9789457</v>
      </c>
      <c r="CC153">
        <v>54372767</v>
      </c>
      <c r="CD153">
        <v>37291771</v>
      </c>
      <c r="CE153">
        <v>40937115</v>
      </c>
      <c r="CF153">
        <v>33340010</v>
      </c>
      <c r="CG153">
        <v>19702582</v>
      </c>
      <c r="CH153">
        <v>9698317</v>
      </c>
      <c r="CI153">
        <v>33205325</v>
      </c>
      <c r="CJ153">
        <v>9761733</v>
      </c>
      <c r="CK153">
        <v>17850288</v>
      </c>
      <c r="CL153">
        <v>5664501</v>
      </c>
      <c r="CM153">
        <v>5145493</v>
      </c>
      <c r="CN153">
        <v>243373</v>
      </c>
      <c r="CO153">
        <v>26263676</v>
      </c>
      <c r="CP153">
        <v>20114428</v>
      </c>
      <c r="CQ153">
        <v>0</v>
      </c>
      <c r="CR153">
        <v>12453102</v>
      </c>
      <c r="CS153">
        <v>6240780</v>
      </c>
      <c r="CT153">
        <v>40373975</v>
      </c>
      <c r="CU153">
        <v>30309845</v>
      </c>
      <c r="CV153">
        <v>30562541</v>
      </c>
      <c r="CW153">
        <v>21625099</v>
      </c>
      <c r="CX153">
        <v>17464706</v>
      </c>
      <c r="CY153">
        <v>9171603</v>
      </c>
    </row>
    <row r="154" spans="1:103" x14ac:dyDescent="0.3">
      <c r="A154">
        <v>647</v>
      </c>
      <c r="B154" t="s">
        <v>635</v>
      </c>
      <c r="D154">
        <v>0</v>
      </c>
      <c r="E154">
        <v>0</v>
      </c>
      <c r="F154">
        <v>0</v>
      </c>
      <c r="G154">
        <v>0</v>
      </c>
      <c r="H154">
        <v>0</v>
      </c>
      <c r="I154">
        <v>0</v>
      </c>
      <c r="J154">
        <v>0</v>
      </c>
      <c r="K154">
        <v>0</v>
      </c>
      <c r="L154">
        <v>0</v>
      </c>
      <c r="M154">
        <v>0</v>
      </c>
      <c r="N154">
        <v>0</v>
      </c>
      <c r="O154">
        <v>0</v>
      </c>
      <c r="P154">
        <v>0</v>
      </c>
      <c r="Q154">
        <v>0</v>
      </c>
      <c r="R154">
        <v>0</v>
      </c>
      <c r="S154">
        <v>8939494</v>
      </c>
      <c r="T154">
        <v>0</v>
      </c>
      <c r="U154">
        <v>0</v>
      </c>
      <c r="V154">
        <v>0</v>
      </c>
      <c r="W154">
        <v>0</v>
      </c>
      <c r="X154">
        <v>582264</v>
      </c>
      <c r="Y154">
        <v>0</v>
      </c>
      <c r="Z154">
        <v>4300000</v>
      </c>
      <c r="AA154">
        <v>10963873</v>
      </c>
      <c r="AB154">
        <v>7476093</v>
      </c>
      <c r="AC154">
        <v>0</v>
      </c>
      <c r="AD154">
        <v>0</v>
      </c>
      <c r="AE154">
        <v>0</v>
      </c>
      <c r="AF154">
        <v>0</v>
      </c>
      <c r="AG154">
        <v>0</v>
      </c>
      <c r="AH154">
        <v>639072</v>
      </c>
      <c r="AI154">
        <v>35629482</v>
      </c>
      <c r="AJ154">
        <v>419881</v>
      </c>
      <c r="AK154">
        <v>0</v>
      </c>
      <c r="AL154">
        <v>0</v>
      </c>
      <c r="AM154">
        <v>1102885</v>
      </c>
      <c r="AN154">
        <v>0</v>
      </c>
      <c r="AO154">
        <v>0</v>
      </c>
      <c r="AP154">
        <v>0</v>
      </c>
      <c r="AQ154">
        <v>1243690</v>
      </c>
      <c r="AR154">
        <v>14699187</v>
      </c>
      <c r="AS154">
        <v>0</v>
      </c>
      <c r="AT154">
        <v>0</v>
      </c>
      <c r="AU154">
        <v>0</v>
      </c>
      <c r="AV154">
        <v>4518616</v>
      </c>
      <c r="AW154">
        <v>0</v>
      </c>
      <c r="AX154">
        <v>0</v>
      </c>
      <c r="AY154">
        <v>0</v>
      </c>
      <c r="AZ154">
        <v>0</v>
      </c>
      <c r="BA154">
        <v>0</v>
      </c>
      <c r="BB154">
        <v>0</v>
      </c>
      <c r="BC154">
        <v>0</v>
      </c>
      <c r="BD154">
        <v>0</v>
      </c>
      <c r="BE154">
        <v>0</v>
      </c>
      <c r="BF154">
        <v>0</v>
      </c>
      <c r="BG154">
        <v>3753212</v>
      </c>
      <c r="BH154">
        <v>0</v>
      </c>
      <c r="BI154">
        <v>10317870</v>
      </c>
      <c r="BJ154">
        <v>9</v>
      </c>
      <c r="BK154">
        <v>271411424</v>
      </c>
      <c r="BL154">
        <v>0</v>
      </c>
      <c r="BM154">
        <v>0</v>
      </c>
      <c r="BN154">
        <v>0</v>
      </c>
      <c r="BO154">
        <v>0</v>
      </c>
      <c r="BP154">
        <v>7083939</v>
      </c>
      <c r="BQ154">
        <v>-333691</v>
      </c>
      <c r="BR154">
        <v>0</v>
      </c>
      <c r="BS154">
        <v>0</v>
      </c>
      <c r="BT154">
        <v>0</v>
      </c>
      <c r="BU154">
        <v>0</v>
      </c>
      <c r="BV154">
        <v>0</v>
      </c>
      <c r="BW154">
        <v>0</v>
      </c>
      <c r="BX154">
        <v>0</v>
      </c>
      <c r="BY154">
        <v>1278490</v>
      </c>
      <c r="BZ154">
        <v>7252</v>
      </c>
      <c r="CA154">
        <v>0</v>
      </c>
      <c r="CB154">
        <v>0</v>
      </c>
      <c r="CC154">
        <v>0</v>
      </c>
      <c r="CD154">
        <v>437166</v>
      </c>
      <c r="CE154">
        <v>0</v>
      </c>
      <c r="CF154">
        <v>8605554</v>
      </c>
      <c r="CG154">
        <v>0</v>
      </c>
      <c r="CH154">
        <v>0</v>
      </c>
      <c r="CI154">
        <v>0</v>
      </c>
      <c r="CJ154">
        <v>0</v>
      </c>
      <c r="CK154">
        <v>0</v>
      </c>
      <c r="CL154">
        <v>0</v>
      </c>
      <c r="CM154">
        <v>0</v>
      </c>
      <c r="CN154">
        <v>0</v>
      </c>
      <c r="CO154">
        <v>0</v>
      </c>
      <c r="CP154">
        <v>0</v>
      </c>
      <c r="CQ154">
        <v>141938890</v>
      </c>
      <c r="CR154">
        <v>0</v>
      </c>
      <c r="CS154">
        <v>0</v>
      </c>
      <c r="CT154">
        <v>0</v>
      </c>
      <c r="CU154">
        <v>0</v>
      </c>
      <c r="CV154">
        <v>0</v>
      </c>
      <c r="CW154">
        <v>0</v>
      </c>
      <c r="CX154">
        <v>0</v>
      </c>
      <c r="CY154">
        <v>0</v>
      </c>
    </row>
    <row r="155" spans="1:103" x14ac:dyDescent="0.3">
      <c r="A155">
        <v>654</v>
      </c>
      <c r="B155" t="s">
        <v>345</v>
      </c>
      <c r="D155">
        <v>0</v>
      </c>
      <c r="E155">
        <v>8558536</v>
      </c>
      <c r="F155">
        <v>0</v>
      </c>
      <c r="G155">
        <v>10070355</v>
      </c>
      <c r="H155">
        <v>0</v>
      </c>
      <c r="I155">
        <v>0</v>
      </c>
      <c r="J155">
        <v>13096684</v>
      </c>
      <c r="K155">
        <v>1989696</v>
      </c>
      <c r="L155">
        <v>3167392</v>
      </c>
      <c r="M155">
        <v>191788639</v>
      </c>
      <c r="N155">
        <v>0</v>
      </c>
      <c r="O155">
        <v>1111714</v>
      </c>
      <c r="P155">
        <v>0</v>
      </c>
      <c r="Q155">
        <v>9583299</v>
      </c>
      <c r="R155">
        <v>3236502</v>
      </c>
      <c r="S155">
        <v>2716779</v>
      </c>
      <c r="T155">
        <v>0</v>
      </c>
      <c r="U155">
        <v>0</v>
      </c>
      <c r="V155">
        <v>32858756</v>
      </c>
      <c r="W155">
        <v>0</v>
      </c>
      <c r="X155">
        <v>3648697</v>
      </c>
      <c r="Y155">
        <v>599140</v>
      </c>
      <c r="Z155">
        <v>0</v>
      </c>
      <c r="AA155">
        <v>6290972</v>
      </c>
      <c r="AB155">
        <v>14331452</v>
      </c>
      <c r="AC155">
        <v>1419949</v>
      </c>
      <c r="AD155">
        <v>25889028</v>
      </c>
      <c r="AE155">
        <v>29874703</v>
      </c>
      <c r="AF155">
        <v>1693061</v>
      </c>
      <c r="AG155">
        <v>15373353</v>
      </c>
      <c r="AH155">
        <v>11885788</v>
      </c>
      <c r="AI155">
        <v>48071906</v>
      </c>
      <c r="AJ155">
        <v>2468899</v>
      </c>
      <c r="AK155">
        <v>0</v>
      </c>
      <c r="AL155">
        <v>26336201</v>
      </c>
      <c r="AM155">
        <v>0</v>
      </c>
      <c r="AN155">
        <v>2891324</v>
      </c>
      <c r="AO155">
        <v>0</v>
      </c>
      <c r="AP155">
        <v>0</v>
      </c>
      <c r="AQ155">
        <v>2781575</v>
      </c>
      <c r="AR155">
        <v>0</v>
      </c>
      <c r="AS155">
        <v>5805595</v>
      </c>
      <c r="AT155">
        <v>89734995</v>
      </c>
      <c r="AU155">
        <v>0</v>
      </c>
      <c r="AV155">
        <v>728474</v>
      </c>
      <c r="AW155">
        <v>5488623</v>
      </c>
      <c r="AX155">
        <v>11616259</v>
      </c>
      <c r="AY155">
        <v>954029</v>
      </c>
      <c r="AZ155">
        <v>0</v>
      </c>
      <c r="BA155">
        <v>0</v>
      </c>
      <c r="BB155">
        <v>139631790</v>
      </c>
      <c r="BC155">
        <v>5154928</v>
      </c>
      <c r="BD155">
        <v>0</v>
      </c>
      <c r="BE155">
        <v>0</v>
      </c>
      <c r="BF155">
        <v>41351355</v>
      </c>
      <c r="BG155">
        <v>0</v>
      </c>
      <c r="BH155">
        <v>0</v>
      </c>
      <c r="BI155">
        <v>311574</v>
      </c>
      <c r="BJ155">
        <v>206942</v>
      </c>
      <c r="BK155">
        <v>0</v>
      </c>
      <c r="BL155">
        <v>0</v>
      </c>
      <c r="BM155">
        <v>10177769</v>
      </c>
      <c r="BN155">
        <v>29988468</v>
      </c>
      <c r="BO155">
        <v>4618441</v>
      </c>
      <c r="BP155">
        <v>0</v>
      </c>
      <c r="BQ155">
        <v>2199475</v>
      </c>
      <c r="BR155">
        <v>0</v>
      </c>
      <c r="BS155">
        <v>0</v>
      </c>
      <c r="BT155">
        <v>3786858</v>
      </c>
      <c r="BU155">
        <v>10909973</v>
      </c>
      <c r="BV155">
        <v>20531660</v>
      </c>
      <c r="BW155">
        <v>1692102</v>
      </c>
      <c r="BX155">
        <v>0</v>
      </c>
      <c r="BY155">
        <v>0</v>
      </c>
      <c r="BZ155">
        <v>413860</v>
      </c>
      <c r="CA155">
        <v>0</v>
      </c>
      <c r="CB155">
        <v>13119020</v>
      </c>
      <c r="CC155">
        <v>14168249</v>
      </c>
      <c r="CD155">
        <v>3880855</v>
      </c>
      <c r="CE155">
        <v>1370169</v>
      </c>
      <c r="CF155">
        <v>0</v>
      </c>
      <c r="CG155">
        <v>10259616</v>
      </c>
      <c r="CH155">
        <v>2983571</v>
      </c>
      <c r="CI155">
        <v>5259757</v>
      </c>
      <c r="CJ155">
        <v>527651</v>
      </c>
      <c r="CK155">
        <v>1354426</v>
      </c>
      <c r="CL155">
        <v>0</v>
      </c>
      <c r="CM155">
        <v>0</v>
      </c>
      <c r="CN155">
        <v>2039422</v>
      </c>
      <c r="CO155">
        <v>306341766</v>
      </c>
      <c r="CP155">
        <v>1336194</v>
      </c>
      <c r="CQ155">
        <v>0</v>
      </c>
      <c r="CR155">
        <v>8546259</v>
      </c>
      <c r="CS155">
        <v>2449648</v>
      </c>
      <c r="CT155">
        <v>0</v>
      </c>
      <c r="CU155">
        <v>771603</v>
      </c>
      <c r="CV155">
        <v>0</v>
      </c>
      <c r="CW155">
        <v>5683581</v>
      </c>
      <c r="CX155">
        <v>629982</v>
      </c>
      <c r="CY155">
        <v>248844</v>
      </c>
    </row>
    <row r="156" spans="1:103" x14ac:dyDescent="0.3">
      <c r="A156">
        <v>655</v>
      </c>
      <c r="B156" t="s">
        <v>636</v>
      </c>
      <c r="D156">
        <v>0</v>
      </c>
      <c r="E156">
        <v>0</v>
      </c>
      <c r="F156">
        <v>0</v>
      </c>
      <c r="G156">
        <v>0</v>
      </c>
      <c r="H156">
        <v>0</v>
      </c>
      <c r="I156">
        <v>0</v>
      </c>
      <c r="J156">
        <v>0</v>
      </c>
      <c r="K156">
        <v>0</v>
      </c>
      <c r="L156">
        <v>0</v>
      </c>
      <c r="M156">
        <v>87219705</v>
      </c>
      <c r="N156">
        <v>0</v>
      </c>
      <c r="O156">
        <v>134096</v>
      </c>
      <c r="P156">
        <v>0</v>
      </c>
      <c r="Q156">
        <v>98800</v>
      </c>
      <c r="R156">
        <v>0</v>
      </c>
      <c r="S156">
        <v>43932</v>
      </c>
      <c r="T156">
        <v>0</v>
      </c>
      <c r="U156">
        <v>0</v>
      </c>
      <c r="V156">
        <v>4102759</v>
      </c>
      <c r="W156">
        <v>0</v>
      </c>
      <c r="X156">
        <v>32250</v>
      </c>
      <c r="Y156">
        <v>120913</v>
      </c>
      <c r="Z156">
        <v>0</v>
      </c>
      <c r="AA156">
        <v>0</v>
      </c>
      <c r="AB156">
        <v>0</v>
      </c>
      <c r="AC156">
        <v>0</v>
      </c>
      <c r="AD156">
        <v>2770627</v>
      </c>
      <c r="AE156">
        <v>19523882</v>
      </c>
      <c r="AF156">
        <v>0</v>
      </c>
      <c r="AG156">
        <v>311392</v>
      </c>
      <c r="AH156">
        <v>0</v>
      </c>
      <c r="AI156">
        <v>7265351</v>
      </c>
      <c r="AJ156">
        <v>0</v>
      </c>
      <c r="AK156">
        <v>0</v>
      </c>
      <c r="AL156">
        <v>0</v>
      </c>
      <c r="AM156">
        <v>0</v>
      </c>
      <c r="AN156">
        <v>0</v>
      </c>
      <c r="AO156">
        <v>0</v>
      </c>
      <c r="AP156">
        <v>0</v>
      </c>
      <c r="AQ156">
        <v>0</v>
      </c>
      <c r="AR156">
        <v>0</v>
      </c>
      <c r="AS156">
        <v>99127</v>
      </c>
      <c r="AT156">
        <v>2042795</v>
      </c>
      <c r="AU156">
        <v>0</v>
      </c>
      <c r="AV156">
        <v>0</v>
      </c>
      <c r="AW156">
        <v>113386</v>
      </c>
      <c r="AX156">
        <v>0</v>
      </c>
      <c r="AY156">
        <v>257116</v>
      </c>
      <c r="AZ156">
        <v>0</v>
      </c>
      <c r="BA156">
        <v>0</v>
      </c>
      <c r="BB156">
        <v>52634530</v>
      </c>
      <c r="BC156">
        <v>224733</v>
      </c>
      <c r="BD156">
        <v>0</v>
      </c>
      <c r="BE156">
        <v>0</v>
      </c>
      <c r="BF156">
        <v>15046709</v>
      </c>
      <c r="BG156">
        <v>0</v>
      </c>
      <c r="BH156">
        <v>0</v>
      </c>
      <c r="BI156">
        <v>0</v>
      </c>
      <c r="BJ156">
        <v>0</v>
      </c>
      <c r="BK156">
        <v>0</v>
      </c>
      <c r="BL156">
        <v>0</v>
      </c>
      <c r="BM156">
        <v>0</v>
      </c>
      <c r="BN156">
        <v>1759389</v>
      </c>
      <c r="BO156">
        <v>128458</v>
      </c>
      <c r="BP156">
        <v>0</v>
      </c>
      <c r="BQ156">
        <v>280118</v>
      </c>
      <c r="BR156">
        <v>0</v>
      </c>
      <c r="BS156">
        <v>0</v>
      </c>
      <c r="BT156">
        <v>62575</v>
      </c>
      <c r="BU156">
        <v>395498</v>
      </c>
      <c r="BV156">
        <v>1957158</v>
      </c>
      <c r="BW156">
        <v>66336</v>
      </c>
      <c r="BX156">
        <v>0</v>
      </c>
      <c r="BY156">
        <v>0</v>
      </c>
      <c r="BZ156">
        <v>0</v>
      </c>
      <c r="CA156">
        <v>0</v>
      </c>
      <c r="CB156">
        <v>0</v>
      </c>
      <c r="CC156">
        <v>0</v>
      </c>
      <c r="CD156">
        <v>956523</v>
      </c>
      <c r="CE156">
        <v>0</v>
      </c>
      <c r="CF156">
        <v>0</v>
      </c>
      <c r="CG156">
        <v>0</v>
      </c>
      <c r="CH156">
        <v>0</v>
      </c>
      <c r="CI156">
        <v>235097</v>
      </c>
      <c r="CJ156">
        <v>0</v>
      </c>
      <c r="CK156">
        <v>0</v>
      </c>
      <c r="CL156">
        <v>0</v>
      </c>
      <c r="CM156">
        <v>0</v>
      </c>
      <c r="CN156">
        <v>0</v>
      </c>
      <c r="CO156">
        <v>152973762</v>
      </c>
      <c r="CP156">
        <v>0</v>
      </c>
      <c r="CQ156">
        <v>0</v>
      </c>
      <c r="CR156">
        <v>7587</v>
      </c>
      <c r="CS156">
        <v>168400</v>
      </c>
      <c r="CT156">
        <v>0</v>
      </c>
      <c r="CU156">
        <v>0</v>
      </c>
      <c r="CV156">
        <v>0</v>
      </c>
      <c r="CW156">
        <v>330698</v>
      </c>
      <c r="CX156">
        <v>0</v>
      </c>
      <c r="CY156">
        <v>0</v>
      </c>
    </row>
    <row r="157" spans="1:103" x14ac:dyDescent="0.3">
      <c r="A157">
        <v>656</v>
      </c>
      <c r="B157" t="s">
        <v>350</v>
      </c>
      <c r="D157">
        <v>2</v>
      </c>
      <c r="E157">
        <v>2</v>
      </c>
      <c r="F157">
        <v>2</v>
      </c>
      <c r="G157">
        <v>2</v>
      </c>
      <c r="H157">
        <v>0</v>
      </c>
      <c r="I157">
        <v>2</v>
      </c>
      <c r="J157">
        <v>2</v>
      </c>
      <c r="K157">
        <v>2</v>
      </c>
      <c r="L157">
        <v>2</v>
      </c>
      <c r="M157">
        <v>2</v>
      </c>
      <c r="N157">
        <v>2</v>
      </c>
      <c r="O157">
        <v>2</v>
      </c>
      <c r="P157">
        <v>2</v>
      </c>
      <c r="Q157">
        <v>2</v>
      </c>
      <c r="R157">
        <v>2</v>
      </c>
      <c r="S157">
        <v>2</v>
      </c>
      <c r="T157">
        <v>2</v>
      </c>
      <c r="U157">
        <v>2</v>
      </c>
      <c r="V157">
        <v>2</v>
      </c>
      <c r="W157">
        <v>2</v>
      </c>
      <c r="X157">
        <v>2</v>
      </c>
      <c r="Y157">
        <v>2</v>
      </c>
      <c r="Z157">
        <v>0</v>
      </c>
      <c r="AA157">
        <v>2</v>
      </c>
      <c r="AB157">
        <v>1</v>
      </c>
      <c r="AC157">
        <v>1</v>
      </c>
      <c r="AD157">
        <v>2</v>
      </c>
      <c r="AE157">
        <v>2</v>
      </c>
      <c r="AF157">
        <v>2</v>
      </c>
      <c r="AG157">
        <v>2</v>
      </c>
      <c r="AH157">
        <v>2</v>
      </c>
      <c r="AI157">
        <v>2</v>
      </c>
      <c r="AJ157">
        <v>2</v>
      </c>
      <c r="AK157">
        <v>2</v>
      </c>
      <c r="AL157">
        <v>2</v>
      </c>
      <c r="AM157">
        <v>2</v>
      </c>
      <c r="AN157">
        <v>2</v>
      </c>
      <c r="AO157">
        <v>2</v>
      </c>
      <c r="AP157">
        <v>0</v>
      </c>
      <c r="AQ157">
        <v>2</v>
      </c>
      <c r="AR157">
        <v>2</v>
      </c>
      <c r="AS157">
        <v>2</v>
      </c>
      <c r="AT157">
        <v>2</v>
      </c>
      <c r="AU157">
        <v>2</v>
      </c>
      <c r="AV157">
        <v>2</v>
      </c>
      <c r="AW157">
        <v>2</v>
      </c>
      <c r="AX157">
        <v>2</v>
      </c>
      <c r="AY157">
        <v>2</v>
      </c>
      <c r="AZ157">
        <v>2</v>
      </c>
      <c r="BA157">
        <v>2</v>
      </c>
      <c r="BB157">
        <v>2</v>
      </c>
      <c r="BC157">
        <v>2</v>
      </c>
      <c r="BD157">
        <v>2</v>
      </c>
      <c r="BE157">
        <v>2</v>
      </c>
      <c r="BF157">
        <v>2</v>
      </c>
      <c r="BG157">
        <v>2</v>
      </c>
      <c r="BH157">
        <v>2</v>
      </c>
      <c r="BI157">
        <v>2</v>
      </c>
      <c r="BJ157">
        <v>2</v>
      </c>
      <c r="BK157">
        <v>2</v>
      </c>
      <c r="BL157">
        <v>0</v>
      </c>
      <c r="BM157">
        <v>2</v>
      </c>
      <c r="BN157">
        <v>2</v>
      </c>
      <c r="BO157">
        <v>2</v>
      </c>
      <c r="BP157">
        <v>2</v>
      </c>
      <c r="BQ157">
        <v>2</v>
      </c>
      <c r="BR157">
        <v>2</v>
      </c>
      <c r="BS157">
        <v>2</v>
      </c>
      <c r="BT157">
        <v>2</v>
      </c>
      <c r="BU157">
        <v>2</v>
      </c>
      <c r="BV157">
        <v>2</v>
      </c>
      <c r="BW157">
        <v>2</v>
      </c>
      <c r="BX157">
        <v>2</v>
      </c>
      <c r="BY157">
        <v>2</v>
      </c>
      <c r="BZ157">
        <v>2</v>
      </c>
      <c r="CA157">
        <v>2</v>
      </c>
      <c r="CB157">
        <v>0</v>
      </c>
      <c r="CC157">
        <v>2</v>
      </c>
      <c r="CD157">
        <v>2</v>
      </c>
      <c r="CE157">
        <v>2</v>
      </c>
      <c r="CF157">
        <v>2</v>
      </c>
      <c r="CG157">
        <v>2</v>
      </c>
      <c r="CH157">
        <v>1</v>
      </c>
      <c r="CI157">
        <v>2</v>
      </c>
      <c r="CJ157">
        <v>2</v>
      </c>
      <c r="CK157">
        <v>2</v>
      </c>
      <c r="CL157">
        <v>2</v>
      </c>
      <c r="CM157">
        <v>2</v>
      </c>
      <c r="CN157">
        <v>2</v>
      </c>
      <c r="CO157">
        <v>2</v>
      </c>
      <c r="CP157">
        <v>2</v>
      </c>
      <c r="CQ157">
        <v>2</v>
      </c>
      <c r="CR157">
        <v>2</v>
      </c>
      <c r="CS157">
        <v>2</v>
      </c>
      <c r="CT157">
        <v>2</v>
      </c>
      <c r="CU157">
        <v>2</v>
      </c>
      <c r="CV157">
        <v>2</v>
      </c>
      <c r="CW157">
        <v>2</v>
      </c>
      <c r="CX157">
        <v>2</v>
      </c>
      <c r="CY157">
        <v>2</v>
      </c>
    </row>
    <row r="158" spans="1:103" x14ac:dyDescent="0.3">
      <c r="A158">
        <v>659</v>
      </c>
      <c r="B158" t="s">
        <v>637</v>
      </c>
      <c r="D158">
        <v>99956008</v>
      </c>
      <c r="E158">
        <v>27569399</v>
      </c>
      <c r="F158">
        <v>12421753</v>
      </c>
      <c r="G158">
        <v>8358049</v>
      </c>
      <c r="H158">
        <v>10442167</v>
      </c>
      <c r="I158">
        <v>5574981</v>
      </c>
      <c r="J158">
        <v>4636294</v>
      </c>
      <c r="K158">
        <v>16307679</v>
      </c>
      <c r="L158">
        <v>0</v>
      </c>
      <c r="M158">
        <v>186539667</v>
      </c>
      <c r="N158">
        <v>135947883</v>
      </c>
      <c r="O158">
        <v>18522425</v>
      </c>
      <c r="P158">
        <v>41077664</v>
      </c>
      <c r="Q158">
        <v>3062073</v>
      </c>
      <c r="R158">
        <v>1296776</v>
      </c>
      <c r="S158">
        <v>10416059</v>
      </c>
      <c r="T158">
        <v>4136057</v>
      </c>
      <c r="U158">
        <v>33526956</v>
      </c>
      <c r="V158">
        <v>13758481</v>
      </c>
      <c r="W158">
        <v>3458847</v>
      </c>
      <c r="X158">
        <v>9944978</v>
      </c>
      <c r="Y158">
        <v>2834524</v>
      </c>
      <c r="Z158">
        <v>24136254</v>
      </c>
      <c r="AA158">
        <v>49143139</v>
      </c>
      <c r="AB158">
        <v>23143266</v>
      </c>
      <c r="AC158">
        <v>165462186</v>
      </c>
      <c r="AD158">
        <v>33235854</v>
      </c>
      <c r="AE158">
        <v>124618214</v>
      </c>
      <c r="AF158">
        <v>18879317</v>
      </c>
      <c r="AG158">
        <v>8274373</v>
      </c>
      <c r="AH158">
        <v>33251400</v>
      </c>
      <c r="AI158">
        <v>205440549</v>
      </c>
      <c r="AJ158">
        <v>9461738</v>
      </c>
      <c r="AK158">
        <v>70951191</v>
      </c>
      <c r="AL158">
        <v>58359622</v>
      </c>
      <c r="AM158">
        <v>73214403</v>
      </c>
      <c r="AN158">
        <v>4392724</v>
      </c>
      <c r="AO158">
        <v>0</v>
      </c>
      <c r="AP158">
        <v>23358511</v>
      </c>
      <c r="AQ158">
        <v>84639</v>
      </c>
      <c r="AR158">
        <v>254564349</v>
      </c>
      <c r="AS158">
        <v>14601517</v>
      </c>
      <c r="AT158">
        <v>47072624</v>
      </c>
      <c r="AU158">
        <v>59586922</v>
      </c>
      <c r="AV158">
        <v>42727861</v>
      </c>
      <c r="AW158">
        <v>15313472</v>
      </c>
      <c r="AX158">
        <v>8255240</v>
      </c>
      <c r="AY158">
        <v>983214</v>
      </c>
      <c r="AZ158">
        <v>27067144</v>
      </c>
      <c r="BA158">
        <v>63134416</v>
      </c>
      <c r="BB158">
        <v>235318865</v>
      </c>
      <c r="BC158">
        <v>0</v>
      </c>
      <c r="BD158">
        <v>35468051</v>
      </c>
      <c r="BE158">
        <v>10664737</v>
      </c>
      <c r="BF158">
        <v>66094964</v>
      </c>
      <c r="BG158">
        <v>39007081</v>
      </c>
      <c r="BH158">
        <v>0</v>
      </c>
      <c r="BI158">
        <v>17178828</v>
      </c>
      <c r="BJ158">
        <v>7997553</v>
      </c>
      <c r="BK158">
        <v>639825123</v>
      </c>
      <c r="BL158">
        <v>10030182</v>
      </c>
      <c r="BM158">
        <v>4657260</v>
      </c>
      <c r="BN158">
        <v>51006001</v>
      </c>
      <c r="BO158">
        <v>74544759</v>
      </c>
      <c r="BP158">
        <v>383103721</v>
      </c>
      <c r="BQ158">
        <v>0</v>
      </c>
      <c r="BR158">
        <v>20720525</v>
      </c>
      <c r="BS158">
        <v>132737808</v>
      </c>
      <c r="BT158">
        <v>967178</v>
      </c>
      <c r="BU158">
        <v>23318053</v>
      </c>
      <c r="BV158">
        <v>22041675</v>
      </c>
      <c r="BW158">
        <v>2739916</v>
      </c>
      <c r="BX158">
        <v>12280647</v>
      </c>
      <c r="BY158">
        <v>107306962</v>
      </c>
      <c r="BZ158">
        <v>0</v>
      </c>
      <c r="CA158">
        <v>24881057</v>
      </c>
      <c r="CB158">
        <v>8704402</v>
      </c>
      <c r="CC158">
        <v>80570870</v>
      </c>
      <c r="CD158">
        <v>83021886</v>
      </c>
      <c r="CE158">
        <v>13161926</v>
      </c>
      <c r="CF158">
        <v>0</v>
      </c>
      <c r="CG158">
        <v>13013000</v>
      </c>
      <c r="CH158">
        <v>27201623</v>
      </c>
      <c r="CI158">
        <v>9722831</v>
      </c>
      <c r="CJ158">
        <v>7882490</v>
      </c>
      <c r="CK158">
        <v>15163010</v>
      </c>
      <c r="CL158">
        <v>2749788</v>
      </c>
      <c r="CM158">
        <v>2929428</v>
      </c>
      <c r="CN158">
        <v>4630672</v>
      </c>
      <c r="CO158">
        <v>121151045</v>
      </c>
      <c r="CP158">
        <v>0</v>
      </c>
      <c r="CQ158">
        <v>582455375</v>
      </c>
      <c r="CR158">
        <v>255881</v>
      </c>
      <c r="CS158">
        <v>0</v>
      </c>
      <c r="CT158">
        <v>5174614</v>
      </c>
      <c r="CU158">
        <v>46680471</v>
      </c>
      <c r="CV158">
        <v>44633635</v>
      </c>
      <c r="CW158">
        <v>78386724</v>
      </c>
      <c r="CX158">
        <v>9069949</v>
      </c>
      <c r="CY158">
        <v>5017798</v>
      </c>
    </row>
    <row r="159" spans="1:103" x14ac:dyDescent="0.3">
      <c r="A159">
        <v>660</v>
      </c>
      <c r="B159" t="s">
        <v>638</v>
      </c>
      <c r="D159">
        <v>0</v>
      </c>
      <c r="E159">
        <v>0</v>
      </c>
      <c r="F159">
        <v>0</v>
      </c>
      <c r="G159">
        <v>0</v>
      </c>
      <c r="H159">
        <v>0</v>
      </c>
      <c r="I159">
        <v>0</v>
      </c>
      <c r="J159">
        <v>0</v>
      </c>
      <c r="K159">
        <v>0</v>
      </c>
      <c r="L159">
        <v>0</v>
      </c>
      <c r="M159">
        <v>0</v>
      </c>
      <c r="N159">
        <v>36144530</v>
      </c>
      <c r="O159">
        <v>0</v>
      </c>
      <c r="P159">
        <v>2002678</v>
      </c>
      <c r="Q159">
        <v>0</v>
      </c>
      <c r="R159">
        <v>0</v>
      </c>
      <c r="S159">
        <v>0</v>
      </c>
      <c r="T159">
        <v>0</v>
      </c>
      <c r="U159">
        <v>0</v>
      </c>
      <c r="V159">
        <v>0</v>
      </c>
      <c r="W159">
        <v>0</v>
      </c>
      <c r="X159">
        <v>0</v>
      </c>
      <c r="Y159">
        <v>0</v>
      </c>
      <c r="Z159">
        <v>0</v>
      </c>
      <c r="AA159">
        <v>0</v>
      </c>
      <c r="AB159">
        <v>0</v>
      </c>
      <c r="AC159">
        <v>3014295</v>
      </c>
      <c r="AD159">
        <v>501012</v>
      </c>
      <c r="AE159">
        <v>2937502</v>
      </c>
      <c r="AF159">
        <v>0</v>
      </c>
      <c r="AG159">
        <v>0</v>
      </c>
      <c r="AH159">
        <v>0</v>
      </c>
      <c r="AI159">
        <v>0</v>
      </c>
      <c r="AJ159">
        <v>0</v>
      </c>
      <c r="AK159">
        <v>36960213</v>
      </c>
      <c r="AL159">
        <v>0</v>
      </c>
      <c r="AM159">
        <v>0</v>
      </c>
      <c r="AN159">
        <v>0</v>
      </c>
      <c r="AO159">
        <v>0</v>
      </c>
      <c r="AP159">
        <v>0</v>
      </c>
      <c r="AQ159">
        <v>0</v>
      </c>
      <c r="AR159">
        <v>17450046</v>
      </c>
      <c r="AS159">
        <v>0</v>
      </c>
      <c r="AT159">
        <v>933244</v>
      </c>
      <c r="AU159">
        <v>0</v>
      </c>
      <c r="AV159">
        <v>0</v>
      </c>
      <c r="AW159">
        <v>0</v>
      </c>
      <c r="AX159">
        <v>0</v>
      </c>
      <c r="AY159">
        <v>0</v>
      </c>
      <c r="AZ159">
        <v>0</v>
      </c>
      <c r="BA159">
        <v>0</v>
      </c>
      <c r="BB159">
        <v>0</v>
      </c>
      <c r="BC159">
        <v>0</v>
      </c>
      <c r="BD159">
        <v>0</v>
      </c>
      <c r="BE159">
        <v>0</v>
      </c>
      <c r="BF159">
        <v>0</v>
      </c>
      <c r="BG159">
        <v>0</v>
      </c>
      <c r="BH159">
        <v>0</v>
      </c>
      <c r="BI159">
        <v>1191337</v>
      </c>
      <c r="BJ159">
        <v>0</v>
      </c>
      <c r="BK159">
        <v>194219643</v>
      </c>
      <c r="BL159">
        <v>0</v>
      </c>
      <c r="BM159">
        <v>0</v>
      </c>
      <c r="BN159">
        <v>0</v>
      </c>
      <c r="BO159">
        <v>0</v>
      </c>
      <c r="BP159">
        <v>0</v>
      </c>
      <c r="BQ159">
        <v>0</v>
      </c>
      <c r="BR159">
        <v>0</v>
      </c>
      <c r="BS159">
        <v>363033</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55613957</v>
      </c>
      <c r="CP159">
        <v>0</v>
      </c>
      <c r="CQ159">
        <v>0</v>
      </c>
      <c r="CR159">
        <v>0</v>
      </c>
      <c r="CS159">
        <v>0</v>
      </c>
      <c r="CT159">
        <v>2219361</v>
      </c>
      <c r="CU159">
        <v>0</v>
      </c>
      <c r="CV159">
        <v>0</v>
      </c>
      <c r="CW159">
        <v>0</v>
      </c>
      <c r="CX159">
        <v>0</v>
      </c>
      <c r="CY159">
        <v>0</v>
      </c>
    </row>
    <row r="160" spans="1:103" x14ac:dyDescent="0.3">
      <c r="A160">
        <v>661</v>
      </c>
      <c r="B160" t="s">
        <v>349</v>
      </c>
      <c r="D160">
        <v>0</v>
      </c>
      <c r="E160">
        <v>0</v>
      </c>
      <c r="F160">
        <v>0</v>
      </c>
      <c r="G160">
        <v>0</v>
      </c>
      <c r="H160">
        <v>0</v>
      </c>
      <c r="I160">
        <v>0</v>
      </c>
      <c r="J160">
        <v>0</v>
      </c>
      <c r="K160">
        <v>0</v>
      </c>
      <c r="L160">
        <v>0</v>
      </c>
      <c r="M160">
        <v>0</v>
      </c>
      <c r="N160">
        <v>26.6</v>
      </c>
      <c r="O160">
        <v>0</v>
      </c>
      <c r="P160">
        <v>4.9000000000000004</v>
      </c>
      <c r="Q160">
        <v>0</v>
      </c>
      <c r="R160">
        <v>0</v>
      </c>
      <c r="S160">
        <v>0</v>
      </c>
      <c r="T160">
        <v>0</v>
      </c>
      <c r="U160">
        <v>0</v>
      </c>
      <c r="V160">
        <v>0</v>
      </c>
      <c r="W160">
        <v>0</v>
      </c>
      <c r="X160">
        <v>0</v>
      </c>
      <c r="Y160">
        <v>0</v>
      </c>
      <c r="Z160">
        <v>0</v>
      </c>
      <c r="AA160">
        <v>0</v>
      </c>
      <c r="AB160">
        <v>0</v>
      </c>
      <c r="AC160">
        <v>1.8</v>
      </c>
      <c r="AD160">
        <v>1.5</v>
      </c>
      <c r="AE160">
        <v>2.4</v>
      </c>
      <c r="AF160">
        <v>0</v>
      </c>
      <c r="AG160">
        <v>0</v>
      </c>
      <c r="AH160">
        <v>0</v>
      </c>
      <c r="AI160">
        <v>0</v>
      </c>
      <c r="AJ160">
        <v>0</v>
      </c>
      <c r="AK160">
        <v>52.1</v>
      </c>
      <c r="AL160">
        <v>0</v>
      </c>
      <c r="AM160">
        <v>0</v>
      </c>
      <c r="AN160">
        <v>0</v>
      </c>
      <c r="AO160">
        <v>0</v>
      </c>
      <c r="AP160">
        <v>0</v>
      </c>
      <c r="AQ160">
        <v>0</v>
      </c>
      <c r="AR160">
        <v>6.9</v>
      </c>
      <c r="AS160">
        <v>0</v>
      </c>
      <c r="AT160">
        <v>2</v>
      </c>
      <c r="AU160">
        <v>0</v>
      </c>
      <c r="AV160">
        <v>0</v>
      </c>
      <c r="AW160">
        <v>0</v>
      </c>
      <c r="AX160">
        <v>0</v>
      </c>
      <c r="AY160">
        <v>0</v>
      </c>
      <c r="AZ160">
        <v>0</v>
      </c>
      <c r="BA160">
        <v>0</v>
      </c>
      <c r="BB160">
        <v>0</v>
      </c>
      <c r="BC160">
        <v>0</v>
      </c>
      <c r="BD160">
        <v>0</v>
      </c>
      <c r="BE160">
        <v>0</v>
      </c>
      <c r="BF160">
        <v>0</v>
      </c>
      <c r="BG160">
        <v>0</v>
      </c>
      <c r="BH160">
        <v>0</v>
      </c>
      <c r="BI160">
        <v>6.9</v>
      </c>
      <c r="BJ160">
        <v>0</v>
      </c>
      <c r="BK160">
        <v>30.4</v>
      </c>
      <c r="BL160">
        <v>0</v>
      </c>
      <c r="BM160">
        <v>0</v>
      </c>
      <c r="BN160">
        <v>0</v>
      </c>
      <c r="BO160">
        <v>0</v>
      </c>
      <c r="BP160">
        <v>0</v>
      </c>
      <c r="BQ160">
        <v>0</v>
      </c>
      <c r="BR160">
        <v>0</v>
      </c>
      <c r="BS160">
        <v>0.3</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45.9</v>
      </c>
      <c r="CP160">
        <v>0</v>
      </c>
      <c r="CQ160">
        <v>0</v>
      </c>
      <c r="CR160">
        <v>0</v>
      </c>
      <c r="CS160">
        <v>0</v>
      </c>
      <c r="CT160">
        <v>42.9</v>
      </c>
      <c r="CU160">
        <v>0</v>
      </c>
      <c r="CV160">
        <v>0</v>
      </c>
      <c r="CW160">
        <v>0</v>
      </c>
      <c r="CX160">
        <v>0</v>
      </c>
      <c r="CY160">
        <v>0</v>
      </c>
    </row>
    <row r="161" spans="1:103" x14ac:dyDescent="0.3">
      <c r="A161">
        <v>662</v>
      </c>
      <c r="B161" t="s">
        <v>370</v>
      </c>
      <c r="D161">
        <v>2125</v>
      </c>
      <c r="E161">
        <v>0</v>
      </c>
      <c r="F161">
        <v>0</v>
      </c>
      <c r="G161">
        <v>0</v>
      </c>
      <c r="H161">
        <v>0</v>
      </c>
      <c r="I161">
        <v>0</v>
      </c>
      <c r="J161">
        <v>0</v>
      </c>
      <c r="K161">
        <v>0</v>
      </c>
      <c r="L161">
        <v>45092</v>
      </c>
      <c r="M161">
        <v>0</v>
      </c>
      <c r="N161">
        <v>49314</v>
      </c>
      <c r="O161">
        <v>0</v>
      </c>
      <c r="P161">
        <v>0</v>
      </c>
      <c r="Q161">
        <v>10842</v>
      </c>
      <c r="R161">
        <v>117950</v>
      </c>
      <c r="S161">
        <v>0</v>
      </c>
      <c r="T161">
        <v>0</v>
      </c>
      <c r="U161">
        <v>99592</v>
      </c>
      <c r="V161">
        <v>0</v>
      </c>
      <c r="W161">
        <v>0</v>
      </c>
      <c r="X161">
        <v>0</v>
      </c>
      <c r="Y161">
        <v>0</v>
      </c>
      <c r="Z161">
        <v>0</v>
      </c>
      <c r="AA161">
        <v>0</v>
      </c>
      <c r="AB161">
        <v>0</v>
      </c>
      <c r="AC161">
        <v>81898</v>
      </c>
      <c r="AD161">
        <v>0</v>
      </c>
      <c r="AE161">
        <v>0</v>
      </c>
      <c r="AF161">
        <v>268</v>
      </c>
      <c r="AG161">
        <v>90204</v>
      </c>
      <c r="AH161">
        <v>0</v>
      </c>
      <c r="AI161">
        <v>0</v>
      </c>
      <c r="AJ161">
        <v>0</v>
      </c>
      <c r="AK161">
        <v>0</v>
      </c>
      <c r="AL161">
        <v>0</v>
      </c>
      <c r="AM161">
        <v>36080</v>
      </c>
      <c r="AN161">
        <v>0</v>
      </c>
      <c r="AO161">
        <v>15820</v>
      </c>
      <c r="AP161">
        <v>0</v>
      </c>
      <c r="AQ161">
        <v>0</v>
      </c>
      <c r="AR161">
        <v>304137</v>
      </c>
      <c r="AS161">
        <v>0</v>
      </c>
      <c r="AT161">
        <v>0</v>
      </c>
      <c r="AU161">
        <v>0</v>
      </c>
      <c r="AV161">
        <v>0</v>
      </c>
      <c r="AW161">
        <v>0</v>
      </c>
      <c r="AX161">
        <v>0</v>
      </c>
      <c r="AY161">
        <v>0</v>
      </c>
      <c r="AZ161">
        <v>1680136</v>
      </c>
      <c r="BA161">
        <v>0</v>
      </c>
      <c r="BB161">
        <v>0</v>
      </c>
      <c r="BC161">
        <v>0</v>
      </c>
      <c r="BD161">
        <v>0</v>
      </c>
      <c r="BE161">
        <v>0</v>
      </c>
      <c r="BF161">
        <v>0</v>
      </c>
      <c r="BG161">
        <v>0</v>
      </c>
      <c r="BH161">
        <v>6685</v>
      </c>
      <c r="BI161">
        <v>8922</v>
      </c>
      <c r="BJ161">
        <v>0</v>
      </c>
      <c r="BK161">
        <v>1266312</v>
      </c>
      <c r="BL161">
        <v>0</v>
      </c>
      <c r="BM161">
        <v>0</v>
      </c>
      <c r="BN161">
        <v>29692</v>
      </c>
      <c r="BO161">
        <v>36336</v>
      </c>
      <c r="BP161">
        <v>0</v>
      </c>
      <c r="BQ161">
        <v>0</v>
      </c>
      <c r="BR161">
        <v>247379</v>
      </c>
      <c r="BS161">
        <v>3336007</v>
      </c>
      <c r="BT161">
        <v>0</v>
      </c>
      <c r="BU161">
        <v>0</v>
      </c>
      <c r="BV161">
        <v>0</v>
      </c>
      <c r="BW161">
        <v>0</v>
      </c>
      <c r="BX161">
        <v>0</v>
      </c>
      <c r="BY161">
        <v>0</v>
      </c>
      <c r="BZ161">
        <v>0</v>
      </c>
      <c r="CA161">
        <v>0</v>
      </c>
      <c r="CB161">
        <v>0</v>
      </c>
      <c r="CC161">
        <v>223846</v>
      </c>
      <c r="CD161">
        <v>0</v>
      </c>
      <c r="CE161">
        <v>0</v>
      </c>
      <c r="CF161">
        <v>0</v>
      </c>
      <c r="CG161">
        <v>223736</v>
      </c>
      <c r="CH161">
        <v>0</v>
      </c>
      <c r="CI161">
        <v>0</v>
      </c>
      <c r="CJ161">
        <v>0</v>
      </c>
      <c r="CK161">
        <v>0</v>
      </c>
      <c r="CL161">
        <v>0</v>
      </c>
      <c r="CM161">
        <v>0</v>
      </c>
      <c r="CN161">
        <v>0</v>
      </c>
      <c r="CO161">
        <v>161491</v>
      </c>
      <c r="CP161">
        <v>0</v>
      </c>
      <c r="CQ161">
        <v>6280611</v>
      </c>
      <c r="CR161">
        <v>0</v>
      </c>
      <c r="CS161">
        <v>420</v>
      </c>
      <c r="CT161">
        <v>0</v>
      </c>
      <c r="CU161">
        <v>0</v>
      </c>
      <c r="CV161">
        <v>0</v>
      </c>
      <c r="CW161">
        <v>0</v>
      </c>
      <c r="CX161">
        <v>0</v>
      </c>
      <c r="CY161">
        <v>0</v>
      </c>
    </row>
    <row r="162" spans="1:103" x14ac:dyDescent="0.3">
      <c r="A162">
        <v>663</v>
      </c>
      <c r="B162" t="s">
        <v>639</v>
      </c>
      <c r="D162">
        <v>1808294</v>
      </c>
      <c r="E162">
        <v>343771</v>
      </c>
      <c r="F162">
        <v>162675</v>
      </c>
      <c r="G162">
        <v>639274</v>
      </c>
      <c r="H162">
        <v>0</v>
      </c>
      <c r="I162">
        <v>82377</v>
      </c>
      <c r="J162">
        <v>529006</v>
      </c>
      <c r="K162">
        <v>274727</v>
      </c>
      <c r="L162">
        <v>482481</v>
      </c>
      <c r="M162">
        <v>1907334</v>
      </c>
      <c r="N162">
        <v>4028128</v>
      </c>
      <c r="O162">
        <v>127362</v>
      </c>
      <c r="P162">
        <v>10931073</v>
      </c>
      <c r="Q162">
        <v>800802</v>
      </c>
      <c r="R162">
        <v>47408</v>
      </c>
      <c r="S162">
        <v>1605748</v>
      </c>
      <c r="T162">
        <v>475544</v>
      </c>
      <c r="U162">
        <v>1534969</v>
      </c>
      <c r="V162">
        <v>38682</v>
      </c>
      <c r="W162">
        <v>396027</v>
      </c>
      <c r="X162">
        <v>53778</v>
      </c>
      <c r="Y162">
        <v>315566</v>
      </c>
      <c r="Z162">
        <v>1172113</v>
      </c>
      <c r="AA162">
        <v>269386</v>
      </c>
      <c r="AB162">
        <v>5241402</v>
      </c>
      <c r="AC162">
        <v>8378927</v>
      </c>
      <c r="AD162">
        <v>0</v>
      </c>
      <c r="AE162">
        <v>515564</v>
      </c>
      <c r="AF162">
        <v>4945774</v>
      </c>
      <c r="AG162">
        <v>308328</v>
      </c>
      <c r="AH162">
        <v>23666797</v>
      </c>
      <c r="AI162">
        <v>23666797</v>
      </c>
      <c r="AJ162">
        <v>825466</v>
      </c>
      <c r="AK162">
        <v>30502946</v>
      </c>
      <c r="AL162">
        <v>54634</v>
      </c>
      <c r="AM162">
        <v>16996530</v>
      </c>
      <c r="AN162">
        <v>116340</v>
      </c>
      <c r="AO162">
        <v>391861</v>
      </c>
      <c r="AP162">
        <v>604205</v>
      </c>
      <c r="AQ162">
        <v>59091</v>
      </c>
      <c r="AR162">
        <v>41906496</v>
      </c>
      <c r="AS162">
        <v>1001829</v>
      </c>
      <c r="AT162">
        <v>821986</v>
      </c>
      <c r="AU162">
        <v>498697</v>
      </c>
      <c r="AV162">
        <v>2063238</v>
      </c>
      <c r="AW162">
        <v>294615</v>
      </c>
      <c r="AX162">
        <v>781287</v>
      </c>
      <c r="AY162">
        <v>58072</v>
      </c>
      <c r="AZ162">
        <v>711328</v>
      </c>
      <c r="BA162">
        <v>429333</v>
      </c>
      <c r="BB162">
        <v>11683984</v>
      </c>
      <c r="BC162">
        <v>203464</v>
      </c>
      <c r="BD162">
        <v>636478</v>
      </c>
      <c r="BE162">
        <v>267851</v>
      </c>
      <c r="BF162">
        <v>920584</v>
      </c>
      <c r="BG162">
        <v>189222</v>
      </c>
      <c r="BH162">
        <v>1413636</v>
      </c>
      <c r="BI162">
        <v>191777</v>
      </c>
      <c r="BJ162">
        <v>435499</v>
      </c>
      <c r="BK162">
        <v>63519207</v>
      </c>
      <c r="BL162">
        <v>551875</v>
      </c>
      <c r="BM162">
        <v>259681</v>
      </c>
      <c r="BN162">
        <v>323577</v>
      </c>
      <c r="BO162">
        <v>1145634</v>
      </c>
      <c r="BP162">
        <v>15352240</v>
      </c>
      <c r="BQ162">
        <v>323884</v>
      </c>
      <c r="BR162">
        <v>8270891</v>
      </c>
      <c r="BS162">
        <v>1262322</v>
      </c>
      <c r="BT162">
        <v>161884</v>
      </c>
      <c r="BU162">
        <v>0</v>
      </c>
      <c r="BV162">
        <v>444970</v>
      </c>
      <c r="BW162">
        <v>98991</v>
      </c>
      <c r="BX162">
        <v>221477</v>
      </c>
      <c r="BY162">
        <v>393453</v>
      </c>
      <c r="BZ162">
        <v>46801</v>
      </c>
      <c r="CA162">
        <v>1243267</v>
      </c>
      <c r="CB162">
        <v>898760</v>
      </c>
      <c r="CC162">
        <v>1908761</v>
      </c>
      <c r="CD162">
        <v>95785</v>
      </c>
      <c r="CE162">
        <v>2187243</v>
      </c>
      <c r="CF162">
        <v>1096124</v>
      </c>
      <c r="CG162">
        <v>513427</v>
      </c>
      <c r="CH162">
        <v>544306</v>
      </c>
      <c r="CI162">
        <v>365925</v>
      </c>
      <c r="CJ162">
        <v>388829</v>
      </c>
      <c r="CK162">
        <v>213238</v>
      </c>
      <c r="CL162">
        <v>74020</v>
      </c>
      <c r="CM162">
        <v>458264</v>
      </c>
      <c r="CN162">
        <v>199164</v>
      </c>
      <c r="CO162">
        <v>7794406</v>
      </c>
      <c r="CP162">
        <v>459932</v>
      </c>
      <c r="CQ162">
        <v>107657138</v>
      </c>
      <c r="CR162">
        <v>97988</v>
      </c>
      <c r="CS162">
        <v>217346</v>
      </c>
      <c r="CT162">
        <v>321546</v>
      </c>
      <c r="CU162">
        <v>2013336</v>
      </c>
      <c r="CV162">
        <v>624623</v>
      </c>
      <c r="CW162">
        <v>1317936</v>
      </c>
      <c r="CX162">
        <v>238552</v>
      </c>
      <c r="CY162">
        <v>383440</v>
      </c>
    </row>
    <row r="163" spans="1:103" x14ac:dyDescent="0.3">
      <c r="A163">
        <v>906</v>
      </c>
      <c r="B163" t="s">
        <v>640</v>
      </c>
      <c r="D163">
        <v>1</v>
      </c>
      <c r="E163">
        <v>1</v>
      </c>
      <c r="F163">
        <v>1</v>
      </c>
      <c r="G163">
        <v>1</v>
      </c>
      <c r="H163">
        <v>1</v>
      </c>
      <c r="I163">
        <v>1</v>
      </c>
      <c r="J163">
        <v>1</v>
      </c>
      <c r="K163">
        <v>1</v>
      </c>
      <c r="L163">
        <v>1</v>
      </c>
      <c r="M163">
        <v>1</v>
      </c>
      <c r="N163">
        <v>1</v>
      </c>
      <c r="O163">
        <v>1</v>
      </c>
      <c r="P163">
        <v>1</v>
      </c>
      <c r="Q163">
        <v>1</v>
      </c>
      <c r="R163">
        <v>1</v>
      </c>
      <c r="S163">
        <v>1</v>
      </c>
      <c r="T163">
        <v>1</v>
      </c>
      <c r="U163">
        <v>1</v>
      </c>
      <c r="V163">
        <v>1</v>
      </c>
      <c r="W163">
        <v>1</v>
      </c>
      <c r="X163">
        <v>1</v>
      </c>
      <c r="Y163">
        <v>1</v>
      </c>
      <c r="Z163">
        <v>1</v>
      </c>
      <c r="AA163">
        <v>1</v>
      </c>
      <c r="AB163">
        <v>1</v>
      </c>
      <c r="AC163">
        <v>1</v>
      </c>
      <c r="AD163">
        <v>1</v>
      </c>
      <c r="AE163">
        <v>1</v>
      </c>
      <c r="AF163">
        <v>1</v>
      </c>
      <c r="AG163">
        <v>1</v>
      </c>
      <c r="AH163">
        <v>1</v>
      </c>
      <c r="AI163">
        <v>1</v>
      </c>
      <c r="AJ163">
        <v>1</v>
      </c>
      <c r="AK163">
        <v>1</v>
      </c>
      <c r="AL163">
        <v>1</v>
      </c>
      <c r="AM163">
        <v>1</v>
      </c>
      <c r="AN163">
        <v>1</v>
      </c>
      <c r="AO163">
        <v>1</v>
      </c>
      <c r="AP163">
        <v>1</v>
      </c>
      <c r="AQ163">
        <v>1</v>
      </c>
      <c r="AR163">
        <v>1</v>
      </c>
      <c r="AS163">
        <v>1</v>
      </c>
      <c r="AT163">
        <v>1</v>
      </c>
      <c r="AU163">
        <v>1</v>
      </c>
      <c r="AV163">
        <v>1</v>
      </c>
      <c r="AW163">
        <v>1</v>
      </c>
      <c r="AX163">
        <v>1</v>
      </c>
      <c r="AY163">
        <v>1</v>
      </c>
      <c r="AZ163">
        <v>1</v>
      </c>
      <c r="BA163">
        <v>1</v>
      </c>
      <c r="BB163">
        <v>1</v>
      </c>
      <c r="BC163">
        <v>1</v>
      </c>
      <c r="BD163">
        <v>1</v>
      </c>
      <c r="BE163">
        <v>1</v>
      </c>
      <c r="BF163">
        <v>1</v>
      </c>
      <c r="BG163">
        <v>1</v>
      </c>
      <c r="BH163">
        <v>1</v>
      </c>
      <c r="BI163">
        <v>1</v>
      </c>
      <c r="BJ163">
        <v>1</v>
      </c>
      <c r="BK163">
        <v>1</v>
      </c>
      <c r="BL163">
        <v>1</v>
      </c>
      <c r="BM163">
        <v>1</v>
      </c>
      <c r="BN163">
        <v>1</v>
      </c>
      <c r="BO163">
        <v>1</v>
      </c>
      <c r="BP163">
        <v>1</v>
      </c>
      <c r="BQ163">
        <v>1</v>
      </c>
      <c r="BR163">
        <v>1</v>
      </c>
      <c r="BS163">
        <v>1</v>
      </c>
      <c r="BT163">
        <v>1</v>
      </c>
      <c r="BU163">
        <v>1</v>
      </c>
      <c r="BV163">
        <v>1</v>
      </c>
      <c r="BW163">
        <v>1</v>
      </c>
      <c r="BX163">
        <v>1</v>
      </c>
      <c r="BY163">
        <v>1</v>
      </c>
      <c r="BZ163">
        <v>1</v>
      </c>
      <c r="CA163">
        <v>1</v>
      </c>
      <c r="CB163">
        <v>1</v>
      </c>
      <c r="CC163">
        <v>1</v>
      </c>
      <c r="CD163">
        <v>1</v>
      </c>
      <c r="CE163">
        <v>1</v>
      </c>
      <c r="CF163">
        <v>1</v>
      </c>
      <c r="CG163">
        <v>1</v>
      </c>
      <c r="CH163">
        <v>1</v>
      </c>
      <c r="CI163">
        <v>1</v>
      </c>
      <c r="CJ163">
        <v>1</v>
      </c>
      <c r="CK163">
        <v>1</v>
      </c>
      <c r="CL163">
        <v>1</v>
      </c>
      <c r="CM163">
        <v>1</v>
      </c>
      <c r="CN163">
        <v>1</v>
      </c>
      <c r="CO163">
        <v>1</v>
      </c>
      <c r="CP163">
        <v>1</v>
      </c>
      <c r="CQ163">
        <v>1</v>
      </c>
      <c r="CR163">
        <v>1</v>
      </c>
      <c r="CS163">
        <v>1</v>
      </c>
      <c r="CT163">
        <v>1</v>
      </c>
      <c r="CU163">
        <v>1</v>
      </c>
      <c r="CV163">
        <v>1</v>
      </c>
      <c r="CW163">
        <v>1</v>
      </c>
      <c r="CX163">
        <v>1</v>
      </c>
      <c r="CY163">
        <v>1</v>
      </c>
    </row>
    <row r="164" spans="1:103" x14ac:dyDescent="0.3">
      <c r="A164">
        <v>907</v>
      </c>
      <c r="B164" t="s">
        <v>641</v>
      </c>
      <c r="D164">
        <v>2</v>
      </c>
      <c r="E164">
        <v>2</v>
      </c>
      <c r="F164">
        <v>1</v>
      </c>
      <c r="G164">
        <v>2</v>
      </c>
      <c r="H164">
        <v>2</v>
      </c>
      <c r="I164">
        <v>2</v>
      </c>
      <c r="J164">
        <v>2</v>
      </c>
      <c r="K164">
        <v>2</v>
      </c>
      <c r="L164">
        <v>2</v>
      </c>
      <c r="M164">
        <v>2</v>
      </c>
      <c r="N164">
        <v>2</v>
      </c>
      <c r="O164">
        <v>2</v>
      </c>
      <c r="P164">
        <v>2</v>
      </c>
      <c r="Q164">
        <v>2</v>
      </c>
      <c r="R164">
        <v>2</v>
      </c>
      <c r="S164">
        <v>2</v>
      </c>
      <c r="T164">
        <v>2</v>
      </c>
      <c r="U164">
        <v>2</v>
      </c>
      <c r="V164">
        <v>2</v>
      </c>
      <c r="W164">
        <v>2</v>
      </c>
      <c r="X164">
        <v>2</v>
      </c>
      <c r="Y164">
        <v>2</v>
      </c>
      <c r="Z164">
        <v>2</v>
      </c>
      <c r="AA164">
        <v>2</v>
      </c>
      <c r="AB164">
        <v>2</v>
      </c>
      <c r="AC164">
        <v>2</v>
      </c>
      <c r="AD164">
        <v>2</v>
      </c>
      <c r="AE164">
        <v>2</v>
      </c>
      <c r="AF164">
        <v>2</v>
      </c>
      <c r="AG164">
        <v>2</v>
      </c>
      <c r="AH164">
        <v>2</v>
      </c>
      <c r="AI164">
        <v>2</v>
      </c>
      <c r="AJ164">
        <v>2</v>
      </c>
      <c r="AK164">
        <v>2</v>
      </c>
      <c r="AL164">
        <v>2</v>
      </c>
      <c r="AM164">
        <v>2</v>
      </c>
      <c r="AN164">
        <v>2</v>
      </c>
      <c r="AO164">
        <v>2</v>
      </c>
      <c r="AP164">
        <v>2</v>
      </c>
      <c r="AQ164">
        <v>2</v>
      </c>
      <c r="AR164">
        <v>2</v>
      </c>
      <c r="AS164">
        <v>2</v>
      </c>
      <c r="AT164">
        <v>2</v>
      </c>
      <c r="AU164">
        <v>2</v>
      </c>
      <c r="AV164">
        <v>2</v>
      </c>
      <c r="AW164">
        <v>2</v>
      </c>
      <c r="AX164">
        <v>2</v>
      </c>
      <c r="AY164">
        <v>1</v>
      </c>
      <c r="AZ164">
        <v>2</v>
      </c>
      <c r="BA164">
        <v>2</v>
      </c>
      <c r="BB164">
        <v>2</v>
      </c>
      <c r="BC164">
        <v>2</v>
      </c>
      <c r="BD164">
        <v>2</v>
      </c>
      <c r="BE164">
        <v>2</v>
      </c>
      <c r="BF164">
        <v>2</v>
      </c>
      <c r="BG164">
        <v>2</v>
      </c>
      <c r="BH164">
        <v>1</v>
      </c>
      <c r="BI164">
        <v>2</v>
      </c>
      <c r="BJ164">
        <v>2</v>
      </c>
      <c r="BK164">
        <v>2</v>
      </c>
      <c r="BL164">
        <v>2</v>
      </c>
      <c r="BM164">
        <v>2</v>
      </c>
      <c r="BN164">
        <v>2</v>
      </c>
      <c r="BO164">
        <v>2</v>
      </c>
      <c r="BP164">
        <v>2</v>
      </c>
      <c r="BQ164">
        <v>2</v>
      </c>
      <c r="BR164">
        <v>2</v>
      </c>
      <c r="BS164">
        <v>2</v>
      </c>
      <c r="BT164">
        <v>2</v>
      </c>
      <c r="BU164">
        <v>2</v>
      </c>
      <c r="BV164">
        <v>2</v>
      </c>
      <c r="BW164">
        <v>2</v>
      </c>
      <c r="BX164">
        <v>2</v>
      </c>
      <c r="BY164">
        <v>2</v>
      </c>
      <c r="BZ164">
        <v>2</v>
      </c>
      <c r="CA164">
        <v>2</v>
      </c>
      <c r="CB164">
        <v>2</v>
      </c>
      <c r="CC164">
        <v>2</v>
      </c>
      <c r="CD164">
        <v>2</v>
      </c>
      <c r="CE164">
        <v>2</v>
      </c>
      <c r="CF164">
        <v>2</v>
      </c>
      <c r="CG164">
        <v>2</v>
      </c>
      <c r="CH164">
        <v>2</v>
      </c>
      <c r="CI164">
        <v>2</v>
      </c>
      <c r="CJ164">
        <v>2</v>
      </c>
      <c r="CK164">
        <v>2</v>
      </c>
      <c r="CL164">
        <v>2</v>
      </c>
      <c r="CM164">
        <v>2</v>
      </c>
      <c r="CN164">
        <v>2</v>
      </c>
      <c r="CO164">
        <v>2</v>
      </c>
      <c r="CP164">
        <v>2</v>
      </c>
      <c r="CQ164">
        <v>2</v>
      </c>
      <c r="CR164">
        <v>2</v>
      </c>
      <c r="CS164">
        <v>2</v>
      </c>
      <c r="CT164">
        <v>2</v>
      </c>
      <c r="CU164">
        <v>2</v>
      </c>
      <c r="CV164">
        <v>2</v>
      </c>
      <c r="CW164">
        <v>2</v>
      </c>
      <c r="CX164">
        <v>2</v>
      </c>
      <c r="CY164">
        <v>2</v>
      </c>
    </row>
    <row r="165" spans="1:103" x14ac:dyDescent="0.3">
      <c r="A165">
        <v>947</v>
      </c>
      <c r="B165" t="s">
        <v>642</v>
      </c>
      <c r="D165" t="s">
        <v>645</v>
      </c>
      <c r="E165" t="s">
        <v>711</v>
      </c>
      <c r="F165" t="s">
        <v>1351</v>
      </c>
      <c r="G165" t="s">
        <v>1634</v>
      </c>
      <c r="H165" t="s">
        <v>899</v>
      </c>
      <c r="I165" t="s">
        <v>900</v>
      </c>
      <c r="J165" t="s">
        <v>901</v>
      </c>
      <c r="K165" t="s">
        <v>1352</v>
      </c>
      <c r="L165" t="s">
        <v>713</v>
      </c>
      <c r="M165" t="s">
        <v>1353</v>
      </c>
      <c r="N165" t="s">
        <v>903</v>
      </c>
      <c r="O165" t="s">
        <v>904</v>
      </c>
      <c r="P165" t="s">
        <v>928</v>
      </c>
      <c r="Q165" t="s">
        <v>714</v>
      </c>
      <c r="R165" t="s">
        <v>1354</v>
      </c>
      <c r="S165" t="s">
        <v>709</v>
      </c>
      <c r="T165" t="s">
        <v>1748</v>
      </c>
      <c r="U165" t="s">
        <v>705</v>
      </c>
      <c r="V165" t="s">
        <v>1355</v>
      </c>
      <c r="W165" t="s">
        <v>1244</v>
      </c>
      <c r="X165" t="s">
        <v>1356</v>
      </c>
      <c r="Y165" t="s">
        <v>905</v>
      </c>
      <c r="Z165" t="s">
        <v>906</v>
      </c>
      <c r="AA165" t="s">
        <v>1749</v>
      </c>
      <c r="AB165" t="s">
        <v>907</v>
      </c>
      <c r="AC165" t="s">
        <v>707</v>
      </c>
      <c r="AD165" t="s">
        <v>908</v>
      </c>
      <c r="AE165" t="s">
        <v>710</v>
      </c>
      <c r="AF165" t="s">
        <v>1357</v>
      </c>
      <c r="AG165" t="s">
        <v>706</v>
      </c>
      <c r="AH165" t="s">
        <v>1722</v>
      </c>
      <c r="AI165" t="s">
        <v>645</v>
      </c>
      <c r="AJ165" t="s">
        <v>930</v>
      </c>
      <c r="AK165" t="s">
        <v>910</v>
      </c>
      <c r="AL165" t="s">
        <v>911</v>
      </c>
      <c r="AM165" t="s">
        <v>1358</v>
      </c>
      <c r="AN165" t="s">
        <v>740</v>
      </c>
      <c r="AO165" t="s">
        <v>912</v>
      </c>
      <c r="AP165" t="s">
        <v>913</v>
      </c>
      <c r="AQ165" t="s">
        <v>929</v>
      </c>
      <c r="AR165" t="s">
        <v>1359</v>
      </c>
      <c r="AS165" t="s">
        <v>705</v>
      </c>
      <c r="AT165" t="s">
        <v>708</v>
      </c>
      <c r="AU165" t="s">
        <v>914</v>
      </c>
      <c r="AV165" t="s">
        <v>915</v>
      </c>
      <c r="AW165" t="s">
        <v>1750</v>
      </c>
      <c r="AX165" t="s">
        <v>1360</v>
      </c>
      <c r="AY165" t="s">
        <v>1635</v>
      </c>
      <c r="AZ165" t="s">
        <v>916</v>
      </c>
      <c r="BA165" t="s">
        <v>917</v>
      </c>
      <c r="BB165" t="s">
        <v>918</v>
      </c>
      <c r="BC165" t="s">
        <v>1361</v>
      </c>
      <c r="BD165" t="s">
        <v>1362</v>
      </c>
      <c r="BE165" t="s">
        <v>908</v>
      </c>
      <c r="BF165" t="s">
        <v>919</v>
      </c>
      <c r="BG165" t="s">
        <v>920</v>
      </c>
      <c r="BH165" t="s">
        <v>921</v>
      </c>
      <c r="BI165" t="s">
        <v>644</v>
      </c>
      <c r="BJ165" t="s">
        <v>922</v>
      </c>
      <c r="BK165" t="s">
        <v>710</v>
      </c>
      <c r="BL165" t="s">
        <v>1363</v>
      </c>
      <c r="BM165" t="s">
        <v>923</v>
      </c>
      <c r="BN165" t="s">
        <v>924</v>
      </c>
      <c r="BO165" t="s">
        <v>738</v>
      </c>
      <c r="BP165" t="s">
        <v>1364</v>
      </c>
      <c r="BQ165" t="s">
        <v>1751</v>
      </c>
      <c r="BR165" t="s">
        <v>1365</v>
      </c>
      <c r="BS165" t="s">
        <v>925</v>
      </c>
      <c r="BT165" t="s">
        <v>926</v>
      </c>
      <c r="BU165" t="s">
        <v>1366</v>
      </c>
      <c r="BV165" t="s">
        <v>904</v>
      </c>
      <c r="BW165" t="s">
        <v>1367</v>
      </c>
      <c r="BX165" t="s">
        <v>643</v>
      </c>
      <c r="BY165" t="s">
        <v>1368</v>
      </c>
      <c r="BZ165" t="s">
        <v>908</v>
      </c>
      <c r="CA165" t="s">
        <v>902</v>
      </c>
      <c r="CB165" t="s">
        <v>767</v>
      </c>
      <c r="CC165" t="s">
        <v>927</v>
      </c>
      <c r="CD165" t="s">
        <v>1245</v>
      </c>
      <c r="CE165" t="s">
        <v>1369</v>
      </c>
      <c r="CF165" t="s">
        <v>929</v>
      </c>
      <c r="CG165" t="s">
        <v>710</v>
      </c>
      <c r="CH165" t="s">
        <v>930</v>
      </c>
      <c r="CI165" t="s">
        <v>931</v>
      </c>
      <c r="CJ165" t="s">
        <v>713</v>
      </c>
      <c r="CK165" t="s">
        <v>1370</v>
      </c>
      <c r="CL165" t="s">
        <v>932</v>
      </c>
      <c r="CM165" t="s">
        <v>933</v>
      </c>
      <c r="CN165" t="s">
        <v>712</v>
      </c>
      <c r="CO165" t="s">
        <v>739</v>
      </c>
      <c r="CP165" t="s">
        <v>909</v>
      </c>
      <c r="CQ165" t="s">
        <v>934</v>
      </c>
      <c r="CR165" t="s">
        <v>935</v>
      </c>
      <c r="CS165" t="s">
        <v>936</v>
      </c>
      <c r="CT165" t="s">
        <v>1368</v>
      </c>
      <c r="CU165" t="s">
        <v>937</v>
      </c>
      <c r="CV165" t="s">
        <v>737</v>
      </c>
      <c r="CW165" t="s">
        <v>938</v>
      </c>
      <c r="CX165" t="s">
        <v>1371</v>
      </c>
      <c r="CY165" t="s">
        <v>939</v>
      </c>
    </row>
    <row r="166" spans="1:103" x14ac:dyDescent="0.3">
      <c r="A166">
        <v>948</v>
      </c>
      <c r="B166" t="s">
        <v>646</v>
      </c>
      <c r="D166" t="s">
        <v>940</v>
      </c>
      <c r="E166" t="s">
        <v>941</v>
      </c>
      <c r="F166" t="s">
        <v>942</v>
      </c>
      <c r="G166" t="s">
        <v>1636</v>
      </c>
      <c r="H166" t="s">
        <v>943</v>
      </c>
      <c r="I166" t="s">
        <v>944</v>
      </c>
      <c r="J166" t="s">
        <v>945</v>
      </c>
      <c r="K166" t="s">
        <v>1372</v>
      </c>
      <c r="L166" t="s">
        <v>1373</v>
      </c>
      <c r="M166" t="s">
        <v>951</v>
      </c>
      <c r="N166" t="s">
        <v>947</v>
      </c>
      <c r="O166" t="s">
        <v>948</v>
      </c>
      <c r="P166" t="s">
        <v>986</v>
      </c>
      <c r="Q166" t="s">
        <v>949</v>
      </c>
      <c r="R166" t="s">
        <v>423</v>
      </c>
      <c r="S166" t="s">
        <v>950</v>
      </c>
      <c r="T166" t="s">
        <v>946</v>
      </c>
      <c r="U166" t="s">
        <v>1374</v>
      </c>
      <c r="V166" t="s">
        <v>1375</v>
      </c>
      <c r="W166" t="s">
        <v>1246</v>
      </c>
      <c r="X166" t="s">
        <v>1376</v>
      </c>
      <c r="Y166" t="s">
        <v>717</v>
      </c>
      <c r="Z166" t="s">
        <v>364</v>
      </c>
      <c r="AA166" t="s">
        <v>1752</v>
      </c>
      <c r="AB166" t="s">
        <v>952</v>
      </c>
      <c r="AC166" t="s">
        <v>940</v>
      </c>
      <c r="AD166" t="s">
        <v>953</v>
      </c>
      <c r="AE166" t="s">
        <v>954</v>
      </c>
      <c r="AF166" t="s">
        <v>1377</v>
      </c>
      <c r="AG166" t="s">
        <v>955</v>
      </c>
      <c r="AH166" t="s">
        <v>1723</v>
      </c>
      <c r="AI166" t="s">
        <v>956</v>
      </c>
      <c r="AJ166" t="s">
        <v>1378</v>
      </c>
      <c r="AK166" t="s">
        <v>957</v>
      </c>
      <c r="AL166" t="s">
        <v>958</v>
      </c>
      <c r="AM166" t="s">
        <v>1379</v>
      </c>
      <c r="AN166" t="s">
        <v>959</v>
      </c>
      <c r="AO166" t="s">
        <v>768</v>
      </c>
      <c r="AP166" t="s">
        <v>960</v>
      </c>
      <c r="AQ166" t="s">
        <v>1380</v>
      </c>
      <c r="AR166" t="s">
        <v>1381</v>
      </c>
      <c r="AS166" t="s">
        <v>961</v>
      </c>
      <c r="AT166" t="s">
        <v>962</v>
      </c>
      <c r="AU166" t="s">
        <v>963</v>
      </c>
      <c r="AV166" t="s">
        <v>964</v>
      </c>
      <c r="AW166" t="s">
        <v>716</v>
      </c>
      <c r="AX166" t="s">
        <v>965</v>
      </c>
      <c r="AY166" t="s">
        <v>1637</v>
      </c>
      <c r="AZ166" t="s">
        <v>966</v>
      </c>
      <c r="BA166" t="s">
        <v>967</v>
      </c>
      <c r="BB166" t="s">
        <v>968</v>
      </c>
      <c r="BC166" t="s">
        <v>1382</v>
      </c>
      <c r="BD166" t="s">
        <v>1383</v>
      </c>
      <c r="BE166" t="s">
        <v>1384</v>
      </c>
      <c r="BF166" t="s">
        <v>969</v>
      </c>
      <c r="BG166" t="s">
        <v>970</v>
      </c>
      <c r="BH166" t="s">
        <v>971</v>
      </c>
      <c r="BI166" t="s">
        <v>972</v>
      </c>
      <c r="BJ166" t="s">
        <v>973</v>
      </c>
      <c r="BK166" t="s">
        <v>974</v>
      </c>
      <c r="BL166" t="s">
        <v>1385</v>
      </c>
      <c r="BM166" t="s">
        <v>975</v>
      </c>
      <c r="BN166" t="s">
        <v>976</v>
      </c>
      <c r="BO166" t="s">
        <v>977</v>
      </c>
      <c r="BP166" t="s">
        <v>1386</v>
      </c>
      <c r="BQ166" t="s">
        <v>1753</v>
      </c>
      <c r="BR166" t="s">
        <v>1387</v>
      </c>
      <c r="BS166" t="s">
        <v>978</v>
      </c>
      <c r="BT166" t="s">
        <v>979</v>
      </c>
      <c r="BU166" t="s">
        <v>1388</v>
      </c>
      <c r="BV166" t="s">
        <v>980</v>
      </c>
      <c r="BW166" t="s">
        <v>1389</v>
      </c>
      <c r="BX166" t="s">
        <v>981</v>
      </c>
      <c r="BY166" t="s">
        <v>1390</v>
      </c>
      <c r="BZ166" t="s">
        <v>982</v>
      </c>
      <c r="CA166" t="s">
        <v>983</v>
      </c>
      <c r="CB166" t="s">
        <v>769</v>
      </c>
      <c r="CC166" t="s">
        <v>984</v>
      </c>
      <c r="CD166" t="s">
        <v>985</v>
      </c>
      <c r="CE166" t="s">
        <v>1391</v>
      </c>
      <c r="CF166" t="s">
        <v>987</v>
      </c>
      <c r="CG166" t="s">
        <v>988</v>
      </c>
      <c r="CH166" t="s">
        <v>989</v>
      </c>
      <c r="CI166" t="s">
        <v>715</v>
      </c>
      <c r="CJ166" t="s">
        <v>1392</v>
      </c>
      <c r="CK166" t="s">
        <v>1393</v>
      </c>
      <c r="CL166" t="s">
        <v>990</v>
      </c>
      <c r="CM166" t="s">
        <v>991</v>
      </c>
      <c r="CN166" t="s">
        <v>992</v>
      </c>
      <c r="CO166" t="s">
        <v>993</v>
      </c>
      <c r="CP166" t="s">
        <v>994</v>
      </c>
      <c r="CQ166" t="s">
        <v>995</v>
      </c>
      <c r="CR166" t="s">
        <v>996</v>
      </c>
      <c r="CS166" t="s">
        <v>997</v>
      </c>
      <c r="CT166" t="s">
        <v>1394</v>
      </c>
      <c r="CU166" t="s">
        <v>1395</v>
      </c>
      <c r="CV166" t="s">
        <v>998</v>
      </c>
      <c r="CW166" t="s">
        <v>999</v>
      </c>
      <c r="CX166" t="s">
        <v>1396</v>
      </c>
      <c r="CY166" t="s">
        <v>1000</v>
      </c>
    </row>
    <row r="167" spans="1:103" x14ac:dyDescent="0.3">
      <c r="A167">
        <v>949</v>
      </c>
      <c r="B167" t="s">
        <v>647</v>
      </c>
      <c r="D167" t="s">
        <v>342</v>
      </c>
      <c r="E167" t="s">
        <v>342</v>
      </c>
      <c r="F167" t="s">
        <v>742</v>
      </c>
      <c r="G167" t="s">
        <v>342</v>
      </c>
      <c r="H167" t="s">
        <v>342</v>
      </c>
      <c r="I167" t="s">
        <v>342</v>
      </c>
      <c r="J167" t="s">
        <v>342</v>
      </c>
      <c r="K167" t="s">
        <v>342</v>
      </c>
      <c r="L167" t="s">
        <v>342</v>
      </c>
      <c r="M167" t="s">
        <v>342</v>
      </c>
      <c r="N167" t="s">
        <v>342</v>
      </c>
      <c r="O167" t="s">
        <v>342</v>
      </c>
      <c r="P167" t="s">
        <v>342</v>
      </c>
      <c r="Q167" t="s">
        <v>342</v>
      </c>
      <c r="R167" t="s">
        <v>342</v>
      </c>
      <c r="S167" t="s">
        <v>342</v>
      </c>
      <c r="T167" t="s">
        <v>359</v>
      </c>
      <c r="U167" t="s">
        <v>359</v>
      </c>
      <c r="V167" t="s">
        <v>342</v>
      </c>
      <c r="W167" t="s">
        <v>342</v>
      </c>
      <c r="X167" t="s">
        <v>342</v>
      </c>
      <c r="Y167" t="s">
        <v>342</v>
      </c>
      <c r="Z167" t="s">
        <v>342</v>
      </c>
      <c r="AA167" t="s">
        <v>342</v>
      </c>
      <c r="AB167" t="s">
        <v>342</v>
      </c>
      <c r="AC167" t="s">
        <v>342</v>
      </c>
      <c r="AD167" t="s">
        <v>342</v>
      </c>
      <c r="AE167" t="s">
        <v>342</v>
      </c>
      <c r="AF167" t="s">
        <v>342</v>
      </c>
      <c r="AG167" t="s">
        <v>342</v>
      </c>
      <c r="AH167" t="s">
        <v>342</v>
      </c>
      <c r="AI167" t="s">
        <v>342</v>
      </c>
      <c r="AJ167" t="s">
        <v>359</v>
      </c>
      <c r="AK167" t="s">
        <v>342</v>
      </c>
      <c r="AL167" t="s">
        <v>342</v>
      </c>
      <c r="AM167" t="s">
        <v>342</v>
      </c>
      <c r="AN167" t="s">
        <v>342</v>
      </c>
      <c r="AO167" t="s">
        <v>342</v>
      </c>
      <c r="AP167" t="s">
        <v>342</v>
      </c>
      <c r="AQ167" t="s">
        <v>342</v>
      </c>
      <c r="AR167" t="s">
        <v>359</v>
      </c>
      <c r="AS167" t="s">
        <v>342</v>
      </c>
      <c r="AT167" t="s">
        <v>342</v>
      </c>
      <c r="AU167" t="s">
        <v>342</v>
      </c>
      <c r="AV167" t="s">
        <v>342</v>
      </c>
      <c r="AW167" t="s">
        <v>342</v>
      </c>
      <c r="AX167" t="s">
        <v>342</v>
      </c>
      <c r="AY167" t="s">
        <v>342</v>
      </c>
      <c r="AZ167" t="s">
        <v>342</v>
      </c>
      <c r="BA167" t="s">
        <v>342</v>
      </c>
      <c r="BB167" t="s">
        <v>342</v>
      </c>
      <c r="BC167" t="s">
        <v>342</v>
      </c>
      <c r="BD167" t="s">
        <v>342</v>
      </c>
      <c r="BE167" t="s">
        <v>342</v>
      </c>
      <c r="BF167" t="s">
        <v>342</v>
      </c>
      <c r="BG167" t="s">
        <v>342</v>
      </c>
      <c r="BH167" t="s">
        <v>342</v>
      </c>
      <c r="BI167" t="s">
        <v>342</v>
      </c>
      <c r="BJ167" t="s">
        <v>342</v>
      </c>
      <c r="BK167" t="s">
        <v>342</v>
      </c>
      <c r="BL167" t="s">
        <v>741</v>
      </c>
      <c r="BM167" t="s">
        <v>342</v>
      </c>
      <c r="BN167" t="s">
        <v>342</v>
      </c>
      <c r="BO167" t="s">
        <v>342</v>
      </c>
      <c r="BP167" t="s">
        <v>342</v>
      </c>
      <c r="BQ167" t="s">
        <v>342</v>
      </c>
      <c r="BR167" t="s">
        <v>342</v>
      </c>
      <c r="BS167" t="s">
        <v>342</v>
      </c>
      <c r="BT167" t="s">
        <v>342</v>
      </c>
      <c r="BU167" t="s">
        <v>342</v>
      </c>
      <c r="BV167" t="s">
        <v>342</v>
      </c>
      <c r="BW167" t="s">
        <v>342</v>
      </c>
      <c r="BX167" t="s">
        <v>342</v>
      </c>
      <c r="BY167" t="s">
        <v>342</v>
      </c>
      <c r="BZ167" t="s">
        <v>342</v>
      </c>
      <c r="CA167" t="s">
        <v>342</v>
      </c>
      <c r="CB167" t="s">
        <v>342</v>
      </c>
      <c r="CC167" t="s">
        <v>342</v>
      </c>
      <c r="CD167" t="s">
        <v>742</v>
      </c>
      <c r="CE167" t="s">
        <v>342</v>
      </c>
      <c r="CF167" t="s">
        <v>342</v>
      </c>
      <c r="CG167" t="s">
        <v>342</v>
      </c>
      <c r="CH167" t="s">
        <v>342</v>
      </c>
      <c r="CI167" t="s">
        <v>342</v>
      </c>
      <c r="CJ167" t="s">
        <v>342</v>
      </c>
      <c r="CK167" t="s">
        <v>342</v>
      </c>
      <c r="CL167" t="s">
        <v>342</v>
      </c>
      <c r="CM167" t="s">
        <v>342</v>
      </c>
      <c r="CN167" t="s">
        <v>342</v>
      </c>
      <c r="CO167" t="s">
        <v>342</v>
      </c>
      <c r="CP167" t="s">
        <v>342</v>
      </c>
      <c r="CQ167" t="s">
        <v>342</v>
      </c>
      <c r="CR167" t="s">
        <v>342</v>
      </c>
      <c r="CS167" t="s">
        <v>342</v>
      </c>
      <c r="CT167" t="s">
        <v>342</v>
      </c>
      <c r="CU167" t="s">
        <v>342</v>
      </c>
      <c r="CV167" t="s">
        <v>342</v>
      </c>
      <c r="CW167" t="s">
        <v>342</v>
      </c>
      <c r="CX167" t="s">
        <v>741</v>
      </c>
      <c r="CY167" t="s">
        <v>342</v>
      </c>
    </row>
    <row r="168" spans="1:103" x14ac:dyDescent="0.3">
      <c r="A168">
        <v>950</v>
      </c>
      <c r="B168" t="s">
        <v>648</v>
      </c>
      <c r="D168" t="s">
        <v>46</v>
      </c>
      <c r="E168" t="s">
        <v>46</v>
      </c>
      <c r="F168" t="s">
        <v>46</v>
      </c>
      <c r="G168" t="s">
        <v>46</v>
      </c>
      <c r="H168" t="s">
        <v>46</v>
      </c>
      <c r="I168" t="s">
        <v>46</v>
      </c>
      <c r="J168" t="s">
        <v>46</v>
      </c>
      <c r="K168" t="s">
        <v>46</v>
      </c>
      <c r="L168" t="s">
        <v>46</v>
      </c>
      <c r="M168" t="s">
        <v>46</v>
      </c>
      <c r="N168" t="s">
        <v>46</v>
      </c>
      <c r="O168" t="s">
        <v>46</v>
      </c>
      <c r="P168" t="s">
        <v>46</v>
      </c>
      <c r="Q168" t="s">
        <v>46</v>
      </c>
      <c r="R168" t="s">
        <v>46</v>
      </c>
      <c r="S168" t="s">
        <v>46</v>
      </c>
      <c r="T168" t="s">
        <v>46</v>
      </c>
      <c r="U168" t="s">
        <v>46</v>
      </c>
      <c r="V168" t="s">
        <v>46</v>
      </c>
      <c r="W168" t="s">
        <v>46</v>
      </c>
      <c r="X168" t="s">
        <v>46</v>
      </c>
      <c r="Y168" t="s">
        <v>46</v>
      </c>
      <c r="Z168" t="s">
        <v>46</v>
      </c>
      <c r="AA168" t="s">
        <v>46</v>
      </c>
      <c r="AB168" t="s">
        <v>46</v>
      </c>
      <c r="AC168" t="s">
        <v>46</v>
      </c>
      <c r="AD168" t="s">
        <v>46</v>
      </c>
      <c r="AE168" t="s">
        <v>46</v>
      </c>
      <c r="AF168" t="s">
        <v>46</v>
      </c>
      <c r="AG168" t="s">
        <v>46</v>
      </c>
      <c r="AH168" t="s">
        <v>46</v>
      </c>
      <c r="AI168" t="s">
        <v>46</v>
      </c>
      <c r="AJ168" t="s">
        <v>47</v>
      </c>
      <c r="AK168" t="s">
        <v>46</v>
      </c>
      <c r="AL168" t="s">
        <v>46</v>
      </c>
      <c r="AM168" t="s">
        <v>46</v>
      </c>
      <c r="AN168" t="s">
        <v>46</v>
      </c>
      <c r="AO168" t="s">
        <v>46</v>
      </c>
      <c r="AP168" t="s">
        <v>46</v>
      </c>
      <c r="AQ168" t="s">
        <v>46</v>
      </c>
      <c r="AR168" t="s">
        <v>46</v>
      </c>
      <c r="AS168" t="s">
        <v>46</v>
      </c>
      <c r="AT168" t="s">
        <v>46</v>
      </c>
      <c r="AU168" t="s">
        <v>46</v>
      </c>
      <c r="AV168" t="s">
        <v>46</v>
      </c>
      <c r="AW168" t="s">
        <v>46</v>
      </c>
      <c r="AX168" t="s">
        <v>46</v>
      </c>
      <c r="AY168" t="s">
        <v>46</v>
      </c>
      <c r="AZ168" t="s">
        <v>46</v>
      </c>
      <c r="BA168" t="s">
        <v>46</v>
      </c>
      <c r="BB168" t="s">
        <v>736</v>
      </c>
      <c r="BC168" t="s">
        <v>46</v>
      </c>
      <c r="BD168" t="s">
        <v>46</v>
      </c>
      <c r="BE168" t="s">
        <v>46</v>
      </c>
      <c r="BF168" t="s">
        <v>46</v>
      </c>
      <c r="BG168" t="s">
        <v>46</v>
      </c>
      <c r="BH168" t="s">
        <v>46</v>
      </c>
      <c r="BI168" t="s">
        <v>46</v>
      </c>
      <c r="BJ168" t="s">
        <v>46</v>
      </c>
      <c r="BK168" t="s">
        <v>46</v>
      </c>
      <c r="BL168" t="s">
        <v>46</v>
      </c>
      <c r="BM168" t="s">
        <v>46</v>
      </c>
      <c r="BN168" t="s">
        <v>46</v>
      </c>
      <c r="BO168" t="s">
        <v>46</v>
      </c>
      <c r="BP168" t="s">
        <v>46</v>
      </c>
      <c r="BQ168" t="s">
        <v>736</v>
      </c>
      <c r="BR168" t="s">
        <v>46</v>
      </c>
      <c r="BS168" t="s">
        <v>46</v>
      </c>
      <c r="BT168" t="s">
        <v>46</v>
      </c>
      <c r="BU168" t="s">
        <v>46</v>
      </c>
      <c r="BV168" t="s">
        <v>46</v>
      </c>
      <c r="BW168" t="s">
        <v>46</v>
      </c>
      <c r="BX168" t="s">
        <v>46</v>
      </c>
      <c r="BY168" t="s">
        <v>46</v>
      </c>
      <c r="BZ168" t="s">
        <v>46</v>
      </c>
      <c r="CA168" t="s">
        <v>46</v>
      </c>
      <c r="CB168" t="s">
        <v>46</v>
      </c>
      <c r="CC168" t="s">
        <v>46</v>
      </c>
      <c r="CD168" t="s">
        <v>46</v>
      </c>
      <c r="CE168" t="s">
        <v>46</v>
      </c>
      <c r="CF168" t="s">
        <v>46</v>
      </c>
      <c r="CG168" t="s">
        <v>46</v>
      </c>
      <c r="CH168" t="s">
        <v>46</v>
      </c>
      <c r="CI168" t="s">
        <v>46</v>
      </c>
      <c r="CJ168" t="s">
        <v>46</v>
      </c>
      <c r="CK168" t="s">
        <v>46</v>
      </c>
      <c r="CL168" t="s">
        <v>46</v>
      </c>
      <c r="CM168" t="s">
        <v>46</v>
      </c>
      <c r="CN168" t="s">
        <v>46</v>
      </c>
      <c r="CO168" t="s">
        <v>46</v>
      </c>
      <c r="CP168" t="s">
        <v>46</v>
      </c>
      <c r="CQ168" t="s">
        <v>46</v>
      </c>
      <c r="CR168" t="s">
        <v>46</v>
      </c>
      <c r="CS168" t="s">
        <v>46</v>
      </c>
      <c r="CT168" t="s">
        <v>46</v>
      </c>
      <c r="CU168" t="s">
        <v>46</v>
      </c>
      <c r="CV168" t="s">
        <v>46</v>
      </c>
      <c r="CW168" t="s">
        <v>46</v>
      </c>
      <c r="CX168" t="s">
        <v>743</v>
      </c>
      <c r="CY168" t="s">
        <v>46</v>
      </c>
    </row>
    <row r="169" spans="1:103" x14ac:dyDescent="0.3">
      <c r="A169">
        <v>951</v>
      </c>
      <c r="B169" t="s">
        <v>649</v>
      </c>
      <c r="D169">
        <v>2</v>
      </c>
      <c r="E169">
        <v>2</v>
      </c>
      <c r="F169">
        <v>2</v>
      </c>
      <c r="G169">
        <v>2</v>
      </c>
      <c r="H169">
        <v>2</v>
      </c>
      <c r="I169">
        <v>2</v>
      </c>
      <c r="J169">
        <v>2</v>
      </c>
      <c r="K169">
        <v>2</v>
      </c>
      <c r="L169">
        <v>2</v>
      </c>
      <c r="M169">
        <v>2</v>
      </c>
      <c r="N169">
        <v>2</v>
      </c>
      <c r="O169">
        <v>2</v>
      </c>
      <c r="P169">
        <v>2</v>
      </c>
      <c r="Q169">
        <v>2</v>
      </c>
      <c r="R169">
        <v>2</v>
      </c>
      <c r="S169">
        <v>2</v>
      </c>
      <c r="T169">
        <v>2</v>
      </c>
      <c r="U169">
        <v>2</v>
      </c>
      <c r="V169">
        <v>2</v>
      </c>
      <c r="W169">
        <v>2</v>
      </c>
      <c r="X169">
        <v>2</v>
      </c>
      <c r="Y169">
        <v>2</v>
      </c>
      <c r="Z169">
        <v>2</v>
      </c>
      <c r="AA169">
        <v>2</v>
      </c>
      <c r="AB169">
        <v>2</v>
      </c>
      <c r="AC169">
        <v>2</v>
      </c>
      <c r="AD169">
        <v>2</v>
      </c>
      <c r="AE169">
        <v>2</v>
      </c>
      <c r="AF169">
        <v>2</v>
      </c>
      <c r="AG169">
        <v>2</v>
      </c>
      <c r="AH169">
        <v>2</v>
      </c>
      <c r="AI169">
        <v>2</v>
      </c>
      <c r="AJ169">
        <v>2</v>
      </c>
      <c r="AK169">
        <v>2</v>
      </c>
      <c r="AL169">
        <v>2</v>
      </c>
      <c r="AM169">
        <v>2</v>
      </c>
      <c r="AN169">
        <v>2</v>
      </c>
      <c r="AO169">
        <v>2</v>
      </c>
      <c r="AP169">
        <v>2</v>
      </c>
      <c r="AQ169">
        <v>2</v>
      </c>
      <c r="AR169">
        <v>2</v>
      </c>
      <c r="AS169">
        <v>2</v>
      </c>
      <c r="AT169">
        <v>2</v>
      </c>
      <c r="AU169">
        <v>2</v>
      </c>
      <c r="AV169">
        <v>2</v>
      </c>
      <c r="AW169">
        <v>2</v>
      </c>
      <c r="AX169">
        <v>2</v>
      </c>
      <c r="AY169">
        <v>2</v>
      </c>
      <c r="AZ169">
        <v>2</v>
      </c>
      <c r="BA169">
        <v>2</v>
      </c>
      <c r="BB169">
        <v>2</v>
      </c>
      <c r="BC169">
        <v>2</v>
      </c>
      <c r="BD169">
        <v>2</v>
      </c>
      <c r="BE169">
        <v>2</v>
      </c>
      <c r="BF169">
        <v>2</v>
      </c>
      <c r="BG169">
        <v>2</v>
      </c>
      <c r="BH169">
        <v>2</v>
      </c>
      <c r="BI169">
        <v>2</v>
      </c>
      <c r="BJ169">
        <v>2</v>
      </c>
      <c r="BK169">
        <v>2</v>
      </c>
      <c r="BL169">
        <v>2</v>
      </c>
      <c r="BM169">
        <v>2</v>
      </c>
      <c r="BN169">
        <v>2</v>
      </c>
      <c r="BO169">
        <v>2</v>
      </c>
      <c r="BP169">
        <v>2</v>
      </c>
      <c r="BQ169">
        <v>2</v>
      </c>
      <c r="BR169">
        <v>2</v>
      </c>
      <c r="BS169">
        <v>2</v>
      </c>
      <c r="BT169">
        <v>2</v>
      </c>
      <c r="BU169">
        <v>2</v>
      </c>
      <c r="BV169">
        <v>2</v>
      </c>
      <c r="BW169">
        <v>2</v>
      </c>
      <c r="BX169">
        <v>2</v>
      </c>
      <c r="BY169">
        <v>2</v>
      </c>
      <c r="BZ169">
        <v>2</v>
      </c>
      <c r="CA169">
        <v>2</v>
      </c>
      <c r="CB169">
        <v>2</v>
      </c>
      <c r="CC169">
        <v>2</v>
      </c>
      <c r="CD169">
        <v>2</v>
      </c>
      <c r="CE169">
        <v>2</v>
      </c>
      <c r="CF169">
        <v>2</v>
      </c>
      <c r="CG169">
        <v>2</v>
      </c>
      <c r="CH169">
        <v>2</v>
      </c>
      <c r="CI169">
        <v>2</v>
      </c>
      <c r="CJ169">
        <v>2</v>
      </c>
      <c r="CK169">
        <v>1</v>
      </c>
      <c r="CL169">
        <v>2</v>
      </c>
      <c r="CM169">
        <v>2</v>
      </c>
      <c r="CN169">
        <v>2</v>
      </c>
      <c r="CO169">
        <v>2</v>
      </c>
      <c r="CP169">
        <v>2</v>
      </c>
      <c r="CQ169">
        <v>2</v>
      </c>
      <c r="CR169">
        <v>2</v>
      </c>
      <c r="CS169">
        <v>2</v>
      </c>
      <c r="CT169">
        <v>2</v>
      </c>
      <c r="CU169">
        <v>2</v>
      </c>
      <c r="CV169">
        <v>2</v>
      </c>
      <c r="CW169">
        <v>2</v>
      </c>
      <c r="CX169">
        <v>2</v>
      </c>
      <c r="CY169">
        <v>2</v>
      </c>
    </row>
    <row r="170" spans="1:103" x14ac:dyDescent="0.3">
      <c r="A170">
        <v>952</v>
      </c>
      <c r="B170" t="s">
        <v>650</v>
      </c>
      <c r="D170" t="s">
        <v>1001</v>
      </c>
      <c r="E170" t="s">
        <v>1002</v>
      </c>
      <c r="F170" t="s">
        <v>735</v>
      </c>
      <c r="H170" t="s">
        <v>1003</v>
      </c>
      <c r="I170" t="s">
        <v>733</v>
      </c>
      <c r="J170" t="s">
        <v>667</v>
      </c>
      <c r="K170" t="s">
        <v>1005</v>
      </c>
      <c r="L170" t="s">
        <v>1006</v>
      </c>
      <c r="M170" t="s">
        <v>666</v>
      </c>
      <c r="N170" t="s">
        <v>1007</v>
      </c>
      <c r="O170" t="s">
        <v>1008</v>
      </c>
      <c r="P170" t="s">
        <v>1281</v>
      </c>
      <c r="Q170" t="s">
        <v>1009</v>
      </c>
      <c r="R170" t="s">
        <v>1010</v>
      </c>
      <c r="S170" t="s">
        <v>1011</v>
      </c>
      <c r="T170" t="s">
        <v>1754</v>
      </c>
      <c r="U170" t="s">
        <v>1397</v>
      </c>
      <c r="V170" t="s">
        <v>1236</v>
      </c>
      <c r="W170" t="s">
        <v>721</v>
      </c>
      <c r="X170" t="s">
        <v>1012</v>
      </c>
      <c r="Y170" t="s">
        <v>1013</v>
      </c>
      <c r="Z170" t="s">
        <v>745</v>
      </c>
      <c r="AA170" t="s">
        <v>1563</v>
      </c>
      <c r="AB170" t="s">
        <v>1014</v>
      </c>
      <c r="AC170" t="s">
        <v>1247</v>
      </c>
      <c r="AD170" t="s">
        <v>1015</v>
      </c>
      <c r="AE170" t="s">
        <v>1016</v>
      </c>
      <c r="AF170" t="s">
        <v>727</v>
      </c>
      <c r="AG170" t="s">
        <v>1398</v>
      </c>
      <c r="AH170" t="s">
        <v>1724</v>
      </c>
      <c r="AI170" t="s">
        <v>719</v>
      </c>
      <c r="AK170" t="s">
        <v>728</v>
      </c>
      <c r="AL170" t="s">
        <v>722</v>
      </c>
      <c r="AM170" t="s">
        <v>1017</v>
      </c>
      <c r="AO170" t="s">
        <v>745</v>
      </c>
      <c r="AP170" t="s">
        <v>1248</v>
      </c>
      <c r="AQ170" t="s">
        <v>1399</v>
      </c>
      <c r="AR170" t="s">
        <v>1400</v>
      </c>
      <c r="AT170" t="s">
        <v>720</v>
      </c>
      <c r="AV170" t="s">
        <v>1018</v>
      </c>
      <c r="AW170" t="s">
        <v>1755</v>
      </c>
      <c r="AX170" t="s">
        <v>1019</v>
      </c>
      <c r="AY170" t="s">
        <v>1249</v>
      </c>
      <c r="AZ170" t="s">
        <v>1020</v>
      </c>
      <c r="BA170" t="s">
        <v>744</v>
      </c>
      <c r="BB170" t="s">
        <v>1021</v>
      </c>
      <c r="BE170" t="s">
        <v>1023</v>
      </c>
      <c r="BF170" t="s">
        <v>1024</v>
      </c>
      <c r="BG170" t="s">
        <v>1005</v>
      </c>
      <c r="BI170" t="s">
        <v>1025</v>
      </c>
      <c r="BJ170" t="s">
        <v>1022</v>
      </c>
      <c r="BK170" t="s">
        <v>718</v>
      </c>
      <c r="BM170" t="s">
        <v>724</v>
      </c>
      <c r="BN170" t="s">
        <v>720</v>
      </c>
      <c r="BO170" t="s">
        <v>1036</v>
      </c>
      <c r="BP170" t="s">
        <v>1401</v>
      </c>
      <c r="BQ170" t="s">
        <v>1756</v>
      </c>
      <c r="BR170" t="s">
        <v>1402</v>
      </c>
      <c r="BT170" t="s">
        <v>1026</v>
      </c>
      <c r="BU170" t="s">
        <v>1027</v>
      </c>
      <c r="BV170" t="s">
        <v>1028</v>
      </c>
      <c r="BW170" t="s">
        <v>1029</v>
      </c>
      <c r="BX170" t="s">
        <v>1250</v>
      </c>
      <c r="BY170" t="s">
        <v>1281</v>
      </c>
      <c r="BZ170" t="s">
        <v>1030</v>
      </c>
      <c r="CA170" t="s">
        <v>1004</v>
      </c>
      <c r="CB170" t="s">
        <v>1403</v>
      </c>
      <c r="CC170" t="s">
        <v>1031</v>
      </c>
      <c r="CD170" t="s">
        <v>1032</v>
      </c>
      <c r="CE170" t="s">
        <v>1281</v>
      </c>
      <c r="CG170" t="s">
        <v>723</v>
      </c>
      <c r="CH170" t="s">
        <v>1404</v>
      </c>
      <c r="CI170" t="s">
        <v>1033</v>
      </c>
      <c r="CJ170" t="s">
        <v>1405</v>
      </c>
      <c r="CL170" t="s">
        <v>1034</v>
      </c>
      <c r="CM170" t="s">
        <v>1035</v>
      </c>
      <c r="CN170" t="s">
        <v>1036</v>
      </c>
      <c r="CO170" t="s">
        <v>1037</v>
      </c>
      <c r="CP170" t="s">
        <v>1406</v>
      </c>
      <c r="CQ170" t="s">
        <v>734</v>
      </c>
      <c r="CR170" t="s">
        <v>1038</v>
      </c>
      <c r="CS170" t="s">
        <v>1039</v>
      </c>
      <c r="CT170" t="s">
        <v>1407</v>
      </c>
      <c r="CU170" t="s">
        <v>1004</v>
      </c>
      <c r="CV170" t="s">
        <v>1040</v>
      </c>
      <c r="CW170" t="s">
        <v>1041</v>
      </c>
      <c r="CX170" t="s">
        <v>1042</v>
      </c>
    </row>
    <row r="171" spans="1:103" x14ac:dyDescent="0.3">
      <c r="A171">
        <v>953</v>
      </c>
      <c r="B171" t="s">
        <v>651</v>
      </c>
      <c r="D171">
        <v>2</v>
      </c>
      <c r="E171">
        <v>2</v>
      </c>
      <c r="F171">
        <v>2</v>
      </c>
      <c r="G171">
        <v>2</v>
      </c>
      <c r="H171">
        <v>2</v>
      </c>
      <c r="I171">
        <v>2</v>
      </c>
      <c r="J171">
        <v>2</v>
      </c>
      <c r="K171">
        <v>2</v>
      </c>
      <c r="L171">
        <v>2</v>
      </c>
      <c r="M171">
        <v>2</v>
      </c>
      <c r="N171">
        <v>2</v>
      </c>
      <c r="O171">
        <v>2</v>
      </c>
      <c r="P171">
        <v>2</v>
      </c>
      <c r="Q171">
        <v>2</v>
      </c>
      <c r="R171">
        <v>2</v>
      </c>
      <c r="S171">
        <v>2</v>
      </c>
      <c r="T171">
        <v>2</v>
      </c>
      <c r="U171">
        <v>2</v>
      </c>
      <c r="V171">
        <v>2</v>
      </c>
      <c r="W171">
        <v>2</v>
      </c>
      <c r="X171">
        <v>2</v>
      </c>
      <c r="Y171">
        <v>2</v>
      </c>
      <c r="Z171">
        <v>2</v>
      </c>
      <c r="AA171">
        <v>2</v>
      </c>
      <c r="AB171">
        <v>2</v>
      </c>
      <c r="AC171">
        <v>2</v>
      </c>
      <c r="AD171">
        <v>2</v>
      </c>
      <c r="AE171">
        <v>2</v>
      </c>
      <c r="AF171">
        <v>2</v>
      </c>
      <c r="AG171">
        <v>2</v>
      </c>
      <c r="AH171">
        <v>2</v>
      </c>
      <c r="AI171">
        <v>2</v>
      </c>
      <c r="AJ171">
        <v>2</v>
      </c>
      <c r="AK171">
        <v>2</v>
      </c>
      <c r="AL171">
        <v>2</v>
      </c>
      <c r="AM171">
        <v>2</v>
      </c>
      <c r="AN171">
        <v>2</v>
      </c>
      <c r="AO171">
        <v>2</v>
      </c>
      <c r="AP171">
        <v>2</v>
      </c>
      <c r="AQ171">
        <v>2</v>
      </c>
      <c r="AR171">
        <v>2</v>
      </c>
      <c r="AS171">
        <v>2</v>
      </c>
      <c r="AT171">
        <v>2</v>
      </c>
      <c r="AU171">
        <v>2</v>
      </c>
      <c r="AV171">
        <v>2</v>
      </c>
      <c r="AW171">
        <v>2</v>
      </c>
      <c r="AX171">
        <v>2</v>
      </c>
      <c r="AY171">
        <v>2</v>
      </c>
      <c r="AZ171">
        <v>2</v>
      </c>
      <c r="BA171">
        <v>2</v>
      </c>
      <c r="BB171">
        <v>2</v>
      </c>
      <c r="BC171">
        <v>2</v>
      </c>
      <c r="BD171">
        <v>2</v>
      </c>
      <c r="BE171">
        <v>2</v>
      </c>
      <c r="BF171">
        <v>2</v>
      </c>
      <c r="BG171">
        <v>2</v>
      </c>
      <c r="BH171">
        <v>2</v>
      </c>
      <c r="BI171">
        <v>2</v>
      </c>
      <c r="BJ171">
        <v>2</v>
      </c>
      <c r="BK171">
        <v>2</v>
      </c>
      <c r="BL171">
        <v>2</v>
      </c>
      <c r="BM171">
        <v>2</v>
      </c>
      <c r="BN171">
        <v>2</v>
      </c>
      <c r="BO171">
        <v>2</v>
      </c>
      <c r="BP171">
        <v>2</v>
      </c>
      <c r="BQ171">
        <v>2</v>
      </c>
      <c r="BR171">
        <v>2</v>
      </c>
      <c r="BS171">
        <v>2</v>
      </c>
      <c r="BT171">
        <v>2</v>
      </c>
      <c r="BU171">
        <v>2</v>
      </c>
      <c r="BV171">
        <v>2</v>
      </c>
      <c r="BW171">
        <v>2</v>
      </c>
      <c r="BX171">
        <v>2</v>
      </c>
      <c r="BY171">
        <v>2</v>
      </c>
      <c r="BZ171">
        <v>2</v>
      </c>
      <c r="CA171">
        <v>2</v>
      </c>
      <c r="CB171">
        <v>2</v>
      </c>
      <c r="CC171">
        <v>2</v>
      </c>
      <c r="CD171">
        <v>2</v>
      </c>
      <c r="CE171">
        <v>2</v>
      </c>
      <c r="CF171">
        <v>2</v>
      </c>
      <c r="CG171">
        <v>2</v>
      </c>
      <c r="CH171">
        <v>2</v>
      </c>
      <c r="CI171">
        <v>2</v>
      </c>
      <c r="CJ171">
        <v>2</v>
      </c>
      <c r="CK171">
        <v>2</v>
      </c>
      <c r="CL171">
        <v>2</v>
      </c>
      <c r="CM171">
        <v>2</v>
      </c>
      <c r="CN171">
        <v>2</v>
      </c>
      <c r="CO171">
        <v>2</v>
      </c>
      <c r="CP171">
        <v>2</v>
      </c>
      <c r="CQ171">
        <v>2</v>
      </c>
      <c r="CR171">
        <v>2</v>
      </c>
      <c r="CS171">
        <v>2</v>
      </c>
      <c r="CT171">
        <v>2</v>
      </c>
      <c r="CU171">
        <v>2</v>
      </c>
      <c r="CV171">
        <v>2</v>
      </c>
      <c r="CW171">
        <v>2</v>
      </c>
      <c r="CX171">
        <v>2</v>
      </c>
      <c r="CY171">
        <v>2</v>
      </c>
    </row>
    <row r="172" spans="1:103" x14ac:dyDescent="0.3">
      <c r="A172">
        <v>954</v>
      </c>
      <c r="B172" t="s">
        <v>340</v>
      </c>
      <c r="D172" t="s">
        <v>46</v>
      </c>
      <c r="E172" t="s">
        <v>46</v>
      </c>
      <c r="F172" t="s">
        <v>46</v>
      </c>
      <c r="G172" t="s">
        <v>46</v>
      </c>
      <c r="H172" t="s">
        <v>46</v>
      </c>
      <c r="I172" t="s">
        <v>46</v>
      </c>
      <c r="J172" t="s">
        <v>46</v>
      </c>
      <c r="K172" t="s">
        <v>46</v>
      </c>
      <c r="L172" t="s">
        <v>46</v>
      </c>
      <c r="M172" t="s">
        <v>46</v>
      </c>
      <c r="N172" t="s">
        <v>46</v>
      </c>
      <c r="O172" t="s">
        <v>46</v>
      </c>
      <c r="P172" t="s">
        <v>46</v>
      </c>
      <c r="Q172" t="s">
        <v>46</v>
      </c>
      <c r="R172" t="s">
        <v>46</v>
      </c>
      <c r="S172" t="s">
        <v>46</v>
      </c>
      <c r="T172" t="s">
        <v>46</v>
      </c>
      <c r="U172" t="s">
        <v>46</v>
      </c>
      <c r="V172" t="s">
        <v>46</v>
      </c>
      <c r="W172" t="s">
        <v>46</v>
      </c>
      <c r="X172" t="s">
        <v>46</v>
      </c>
      <c r="Y172" t="s">
        <v>46</v>
      </c>
      <c r="Z172" t="s">
        <v>46</v>
      </c>
      <c r="AA172" t="s">
        <v>46</v>
      </c>
      <c r="AB172" t="s">
        <v>46</v>
      </c>
      <c r="AC172" t="s">
        <v>46</v>
      </c>
      <c r="AD172" t="s">
        <v>46</v>
      </c>
      <c r="AE172" t="s">
        <v>46</v>
      </c>
      <c r="AF172" t="s">
        <v>46</v>
      </c>
      <c r="AG172" t="s">
        <v>46</v>
      </c>
      <c r="AH172" t="s">
        <v>46</v>
      </c>
      <c r="AI172" t="s">
        <v>46</v>
      </c>
      <c r="AJ172" t="s">
        <v>46</v>
      </c>
      <c r="AK172" t="s">
        <v>46</v>
      </c>
      <c r="AL172" t="s">
        <v>46</v>
      </c>
      <c r="AM172" t="s">
        <v>46</v>
      </c>
      <c r="AN172" t="s">
        <v>46</v>
      </c>
      <c r="AO172" t="s">
        <v>46</v>
      </c>
      <c r="AP172" t="s">
        <v>46</v>
      </c>
      <c r="AQ172" t="s">
        <v>46</v>
      </c>
      <c r="AR172" t="s">
        <v>46</v>
      </c>
      <c r="AS172" t="s">
        <v>46</v>
      </c>
      <c r="AT172" t="s">
        <v>46</v>
      </c>
      <c r="AU172" t="s">
        <v>46</v>
      </c>
      <c r="AV172" t="s">
        <v>46</v>
      </c>
      <c r="AW172" t="s">
        <v>46</v>
      </c>
      <c r="AX172" t="s">
        <v>46</v>
      </c>
      <c r="AY172" t="s">
        <v>46</v>
      </c>
      <c r="AZ172" t="s">
        <v>46</v>
      </c>
      <c r="BA172" t="s">
        <v>46</v>
      </c>
      <c r="BB172" t="s">
        <v>736</v>
      </c>
      <c r="BC172" t="s">
        <v>46</v>
      </c>
      <c r="BD172" t="s">
        <v>46</v>
      </c>
      <c r="BE172" t="s">
        <v>46</v>
      </c>
      <c r="BF172" t="s">
        <v>46</v>
      </c>
      <c r="BG172" t="s">
        <v>46</v>
      </c>
      <c r="BH172" t="s">
        <v>46</v>
      </c>
      <c r="BI172" t="s">
        <v>46</v>
      </c>
      <c r="BJ172" t="s">
        <v>46</v>
      </c>
      <c r="BK172" t="s">
        <v>46</v>
      </c>
      <c r="BL172" t="s">
        <v>46</v>
      </c>
      <c r="BM172" t="s">
        <v>46</v>
      </c>
      <c r="BN172" t="s">
        <v>46</v>
      </c>
      <c r="BO172" t="s">
        <v>46</v>
      </c>
      <c r="BP172" t="s">
        <v>46</v>
      </c>
      <c r="BQ172" t="s">
        <v>736</v>
      </c>
      <c r="BR172" t="s">
        <v>46</v>
      </c>
      <c r="BS172" t="s">
        <v>46</v>
      </c>
      <c r="BT172" t="s">
        <v>46</v>
      </c>
      <c r="BU172" t="s">
        <v>46</v>
      </c>
      <c r="BV172" t="s">
        <v>46</v>
      </c>
      <c r="BW172" t="s">
        <v>46</v>
      </c>
      <c r="BX172" t="s">
        <v>46</v>
      </c>
      <c r="BY172" t="s">
        <v>46</v>
      </c>
      <c r="BZ172" t="s">
        <v>46</v>
      </c>
      <c r="CA172" t="s">
        <v>46</v>
      </c>
      <c r="CB172" t="s">
        <v>46</v>
      </c>
      <c r="CC172" t="s">
        <v>46</v>
      </c>
      <c r="CD172" t="s">
        <v>46</v>
      </c>
      <c r="CE172" t="s">
        <v>46</v>
      </c>
      <c r="CF172" t="s">
        <v>46</v>
      </c>
      <c r="CG172" t="s">
        <v>46</v>
      </c>
      <c r="CH172" t="s">
        <v>46</v>
      </c>
      <c r="CI172" t="s">
        <v>46</v>
      </c>
      <c r="CJ172" t="s">
        <v>46</v>
      </c>
      <c r="CK172" t="s">
        <v>46</v>
      </c>
      <c r="CL172" t="s">
        <v>46</v>
      </c>
      <c r="CM172" t="s">
        <v>46</v>
      </c>
      <c r="CN172" t="s">
        <v>46</v>
      </c>
      <c r="CO172" t="s">
        <v>46</v>
      </c>
      <c r="CP172" t="s">
        <v>46</v>
      </c>
      <c r="CQ172" t="s">
        <v>46</v>
      </c>
      <c r="CR172" t="s">
        <v>46</v>
      </c>
      <c r="CS172" t="s">
        <v>46</v>
      </c>
      <c r="CT172" t="s">
        <v>46</v>
      </c>
      <c r="CU172" t="s">
        <v>46</v>
      </c>
      <c r="CV172" t="s">
        <v>46</v>
      </c>
      <c r="CW172" t="s">
        <v>46</v>
      </c>
      <c r="CX172" t="s">
        <v>46</v>
      </c>
      <c r="CY172" t="s">
        <v>46</v>
      </c>
    </row>
    <row r="173" spans="1:103" x14ac:dyDescent="0.3">
      <c r="A173">
        <v>955</v>
      </c>
      <c r="B173" t="s">
        <v>652</v>
      </c>
      <c r="D173">
        <v>1</v>
      </c>
      <c r="E173">
        <v>0</v>
      </c>
      <c r="F173">
        <v>0</v>
      </c>
      <c r="G173">
        <v>1</v>
      </c>
      <c r="H173">
        <v>0</v>
      </c>
      <c r="I173">
        <v>0</v>
      </c>
      <c r="J173">
        <v>0</v>
      </c>
      <c r="K173">
        <v>0</v>
      </c>
      <c r="L173">
        <v>1</v>
      </c>
      <c r="M173">
        <v>0</v>
      </c>
      <c r="N173">
        <v>0</v>
      </c>
      <c r="O173">
        <v>0</v>
      </c>
      <c r="P173">
        <v>0</v>
      </c>
      <c r="Q173">
        <v>1</v>
      </c>
      <c r="R173">
        <v>0</v>
      </c>
      <c r="S173">
        <v>0</v>
      </c>
      <c r="T173">
        <v>4</v>
      </c>
      <c r="U173">
        <v>0</v>
      </c>
      <c r="V173">
        <v>0</v>
      </c>
      <c r="W173">
        <v>0</v>
      </c>
      <c r="X173">
        <v>0</v>
      </c>
      <c r="Y173">
        <v>0</v>
      </c>
      <c r="Z173">
        <v>1</v>
      </c>
      <c r="AA173">
        <v>0</v>
      </c>
      <c r="AB173">
        <v>0</v>
      </c>
      <c r="AC173">
        <v>0</v>
      </c>
      <c r="AD173">
        <v>0</v>
      </c>
      <c r="AE173">
        <v>0</v>
      </c>
      <c r="AF173">
        <v>0</v>
      </c>
      <c r="AG173">
        <v>0</v>
      </c>
      <c r="AH173">
        <v>2</v>
      </c>
      <c r="AI173">
        <v>0</v>
      </c>
      <c r="AJ173">
        <v>1</v>
      </c>
      <c r="AK173">
        <v>0</v>
      </c>
      <c r="AL173">
        <v>1</v>
      </c>
      <c r="AM173">
        <v>0</v>
      </c>
      <c r="AN173">
        <v>0</v>
      </c>
      <c r="AO173">
        <v>3</v>
      </c>
      <c r="AP173">
        <v>2</v>
      </c>
      <c r="AQ173">
        <v>0</v>
      </c>
      <c r="AR173">
        <v>0</v>
      </c>
      <c r="AS173">
        <v>0</v>
      </c>
      <c r="AT173">
        <v>0</v>
      </c>
      <c r="AU173">
        <v>0</v>
      </c>
      <c r="AV173">
        <v>1</v>
      </c>
      <c r="AW173">
        <v>3</v>
      </c>
      <c r="AX173">
        <v>0</v>
      </c>
      <c r="AY173">
        <v>2</v>
      </c>
      <c r="AZ173">
        <v>0</v>
      </c>
      <c r="BA173">
        <v>0</v>
      </c>
      <c r="BB173">
        <v>1</v>
      </c>
      <c r="BC173">
        <v>0</v>
      </c>
      <c r="BD173">
        <v>1</v>
      </c>
      <c r="BE173">
        <v>1</v>
      </c>
      <c r="BF173">
        <v>1</v>
      </c>
      <c r="BG173">
        <v>1</v>
      </c>
      <c r="BH173">
        <v>0</v>
      </c>
      <c r="BI173">
        <v>0</v>
      </c>
      <c r="BJ173">
        <v>0</v>
      </c>
      <c r="BK173">
        <v>0</v>
      </c>
      <c r="BL173">
        <v>0</v>
      </c>
      <c r="BM173">
        <v>0</v>
      </c>
      <c r="BN173">
        <v>0</v>
      </c>
      <c r="BO173">
        <v>1</v>
      </c>
      <c r="BP173">
        <v>0</v>
      </c>
      <c r="BQ173">
        <v>0</v>
      </c>
      <c r="BR173">
        <v>1</v>
      </c>
      <c r="BS173">
        <v>0</v>
      </c>
      <c r="BT173">
        <v>0</v>
      </c>
      <c r="BU173">
        <v>0</v>
      </c>
      <c r="BV173">
        <v>0</v>
      </c>
      <c r="BW173">
        <v>1</v>
      </c>
      <c r="BX173">
        <v>2</v>
      </c>
      <c r="BY173">
        <v>0</v>
      </c>
      <c r="BZ173">
        <v>0</v>
      </c>
      <c r="CA173">
        <v>0</v>
      </c>
      <c r="CB173">
        <v>3</v>
      </c>
      <c r="CC173">
        <v>0</v>
      </c>
      <c r="CD173">
        <v>1</v>
      </c>
      <c r="CE173">
        <v>0</v>
      </c>
      <c r="CF173">
        <v>0</v>
      </c>
      <c r="CG173">
        <v>0</v>
      </c>
      <c r="CH173">
        <v>1</v>
      </c>
      <c r="CI173">
        <v>2</v>
      </c>
      <c r="CJ173">
        <v>0</v>
      </c>
      <c r="CK173">
        <v>0</v>
      </c>
      <c r="CL173">
        <v>0</v>
      </c>
      <c r="CM173">
        <v>0</v>
      </c>
      <c r="CN173">
        <v>0</v>
      </c>
      <c r="CO173">
        <v>1</v>
      </c>
      <c r="CP173">
        <v>1</v>
      </c>
      <c r="CQ173">
        <v>0</v>
      </c>
      <c r="CR173">
        <v>0</v>
      </c>
      <c r="CS173">
        <v>0</v>
      </c>
      <c r="CT173">
        <v>0</v>
      </c>
      <c r="CU173">
        <v>0</v>
      </c>
      <c r="CV173">
        <v>0</v>
      </c>
      <c r="CW173">
        <v>0</v>
      </c>
      <c r="CX173">
        <v>1</v>
      </c>
      <c r="CY173">
        <v>0</v>
      </c>
    </row>
    <row r="174" spans="1:103" x14ac:dyDescent="0.3">
      <c r="A174">
        <v>956</v>
      </c>
      <c r="B174" t="s">
        <v>341</v>
      </c>
      <c r="D174" t="s">
        <v>46</v>
      </c>
      <c r="E174" t="s">
        <v>46</v>
      </c>
      <c r="F174" t="s">
        <v>46</v>
      </c>
      <c r="G174" t="s">
        <v>46</v>
      </c>
      <c r="H174" t="s">
        <v>46</v>
      </c>
      <c r="I174" t="s">
        <v>46</v>
      </c>
      <c r="J174" t="s">
        <v>46</v>
      </c>
      <c r="K174" t="s">
        <v>46</v>
      </c>
      <c r="L174" t="s">
        <v>46</v>
      </c>
      <c r="M174" t="s">
        <v>46</v>
      </c>
      <c r="N174" t="s">
        <v>46</v>
      </c>
      <c r="O174" t="s">
        <v>46</v>
      </c>
      <c r="P174" t="s">
        <v>46</v>
      </c>
      <c r="Q174" t="s">
        <v>46</v>
      </c>
      <c r="R174" t="s">
        <v>46</v>
      </c>
      <c r="S174" t="s">
        <v>46</v>
      </c>
      <c r="T174" t="s">
        <v>46</v>
      </c>
      <c r="U174" t="s">
        <v>46</v>
      </c>
      <c r="V174" t="s">
        <v>46</v>
      </c>
      <c r="W174" t="s">
        <v>46</v>
      </c>
      <c r="X174" t="s">
        <v>46</v>
      </c>
      <c r="Y174" t="s">
        <v>46</v>
      </c>
      <c r="Z174" t="s">
        <v>46</v>
      </c>
      <c r="AA174" t="s">
        <v>46</v>
      </c>
      <c r="AB174" t="s">
        <v>46</v>
      </c>
      <c r="AC174" t="s">
        <v>46</v>
      </c>
      <c r="AD174" t="s">
        <v>46</v>
      </c>
      <c r="AE174" t="s">
        <v>46</v>
      </c>
      <c r="AF174" t="s">
        <v>46</v>
      </c>
      <c r="AG174" t="s">
        <v>46</v>
      </c>
      <c r="AH174" t="s">
        <v>46</v>
      </c>
      <c r="AI174" t="s">
        <v>46</v>
      </c>
      <c r="AJ174" t="s">
        <v>46</v>
      </c>
      <c r="AK174" t="s">
        <v>46</v>
      </c>
      <c r="AL174" t="s">
        <v>46</v>
      </c>
      <c r="AM174" t="s">
        <v>46</v>
      </c>
      <c r="AN174" t="s">
        <v>46</v>
      </c>
      <c r="AO174" t="s">
        <v>46</v>
      </c>
      <c r="AP174" t="s">
        <v>46</v>
      </c>
      <c r="AQ174" t="s">
        <v>46</v>
      </c>
      <c r="AR174" t="s">
        <v>46</v>
      </c>
      <c r="AS174" t="s">
        <v>46</v>
      </c>
      <c r="AT174" t="s">
        <v>46</v>
      </c>
      <c r="AU174" t="s">
        <v>46</v>
      </c>
      <c r="AV174" t="s">
        <v>46</v>
      </c>
      <c r="AW174" t="s">
        <v>46</v>
      </c>
      <c r="AX174" t="s">
        <v>46</v>
      </c>
      <c r="AY174" t="s">
        <v>46</v>
      </c>
      <c r="AZ174" t="s">
        <v>46</v>
      </c>
      <c r="BA174" t="s">
        <v>46</v>
      </c>
      <c r="BB174" t="s">
        <v>736</v>
      </c>
      <c r="BC174" t="s">
        <v>46</v>
      </c>
      <c r="BD174" t="s">
        <v>46</v>
      </c>
      <c r="BE174" t="s">
        <v>46</v>
      </c>
      <c r="BF174" t="s">
        <v>46</v>
      </c>
      <c r="BG174" t="s">
        <v>46</v>
      </c>
      <c r="BH174" t="s">
        <v>46</v>
      </c>
      <c r="BI174" t="s">
        <v>46</v>
      </c>
      <c r="BJ174" t="s">
        <v>46</v>
      </c>
      <c r="BK174" t="s">
        <v>46</v>
      </c>
      <c r="BL174" t="s">
        <v>46</v>
      </c>
      <c r="BM174" t="s">
        <v>46</v>
      </c>
      <c r="BN174" t="s">
        <v>46</v>
      </c>
      <c r="BO174" t="s">
        <v>46</v>
      </c>
      <c r="BP174" t="s">
        <v>46</v>
      </c>
      <c r="BQ174" t="s">
        <v>736</v>
      </c>
      <c r="BR174" t="s">
        <v>46</v>
      </c>
      <c r="BS174" t="s">
        <v>46</v>
      </c>
      <c r="BT174" t="s">
        <v>46</v>
      </c>
      <c r="BU174" t="s">
        <v>46</v>
      </c>
      <c r="BV174" t="s">
        <v>46</v>
      </c>
      <c r="BW174" t="s">
        <v>46</v>
      </c>
      <c r="BX174" t="s">
        <v>46</v>
      </c>
      <c r="BY174" t="s">
        <v>46</v>
      </c>
      <c r="BZ174" t="s">
        <v>46</v>
      </c>
      <c r="CA174" t="s">
        <v>46</v>
      </c>
      <c r="CB174" t="s">
        <v>46</v>
      </c>
      <c r="CC174" t="s">
        <v>46</v>
      </c>
      <c r="CD174" t="s">
        <v>46</v>
      </c>
      <c r="CE174" t="s">
        <v>46</v>
      </c>
      <c r="CF174" t="s">
        <v>46</v>
      </c>
      <c r="CG174" t="s">
        <v>46</v>
      </c>
      <c r="CH174" t="s">
        <v>46</v>
      </c>
      <c r="CI174" t="s">
        <v>46</v>
      </c>
      <c r="CJ174" t="s">
        <v>46</v>
      </c>
      <c r="CK174" t="s">
        <v>46</v>
      </c>
      <c r="CL174" t="s">
        <v>46</v>
      </c>
      <c r="CM174" t="s">
        <v>46</v>
      </c>
      <c r="CN174" t="s">
        <v>46</v>
      </c>
      <c r="CO174" t="s">
        <v>46</v>
      </c>
      <c r="CP174" t="s">
        <v>46</v>
      </c>
      <c r="CQ174" t="s">
        <v>46</v>
      </c>
      <c r="CR174" t="s">
        <v>46</v>
      </c>
      <c r="CS174" t="s">
        <v>46</v>
      </c>
      <c r="CT174" t="s">
        <v>46</v>
      </c>
      <c r="CU174" t="s">
        <v>46</v>
      </c>
      <c r="CV174" t="s">
        <v>46</v>
      </c>
      <c r="CW174" t="s">
        <v>46</v>
      </c>
      <c r="CX174" t="s">
        <v>46</v>
      </c>
      <c r="CY174" t="s">
        <v>46</v>
      </c>
    </row>
    <row r="175" spans="1:103" x14ac:dyDescent="0.3">
      <c r="A175">
        <v>957</v>
      </c>
      <c r="B175" t="s">
        <v>653</v>
      </c>
      <c r="D175">
        <v>0</v>
      </c>
      <c r="E175">
        <v>0</v>
      </c>
      <c r="F175">
        <v>3</v>
      </c>
      <c r="G175">
        <v>4</v>
      </c>
      <c r="H175">
        <v>0</v>
      </c>
      <c r="I175">
        <v>0</v>
      </c>
      <c r="J175">
        <v>0</v>
      </c>
      <c r="K175">
        <v>0</v>
      </c>
      <c r="L175">
        <v>0</v>
      </c>
      <c r="M175">
        <v>0</v>
      </c>
      <c r="N175">
        <v>0</v>
      </c>
      <c r="O175">
        <v>0</v>
      </c>
      <c r="P175">
        <v>0</v>
      </c>
      <c r="Q175">
        <v>0</v>
      </c>
      <c r="R175">
        <v>0</v>
      </c>
      <c r="S175">
        <v>0</v>
      </c>
      <c r="T175">
        <v>6</v>
      </c>
      <c r="U175">
        <v>0</v>
      </c>
      <c r="V175">
        <v>0</v>
      </c>
      <c r="W175">
        <v>1</v>
      </c>
      <c r="X175">
        <v>0</v>
      </c>
      <c r="Y175">
        <v>0</v>
      </c>
      <c r="Z175">
        <v>0</v>
      </c>
      <c r="AA175">
        <v>5</v>
      </c>
      <c r="AB175">
        <v>0</v>
      </c>
      <c r="AC175">
        <v>0</v>
      </c>
      <c r="AD175">
        <v>0</v>
      </c>
      <c r="AE175">
        <v>0</v>
      </c>
      <c r="AF175">
        <v>0</v>
      </c>
      <c r="AG175">
        <v>0</v>
      </c>
      <c r="AH175">
        <v>0</v>
      </c>
      <c r="AI175">
        <v>0</v>
      </c>
      <c r="AJ175">
        <v>1</v>
      </c>
      <c r="AK175">
        <v>1</v>
      </c>
      <c r="AL175">
        <v>0</v>
      </c>
      <c r="AM175">
        <v>1</v>
      </c>
      <c r="AN175">
        <v>0</v>
      </c>
      <c r="AO175">
        <v>0</v>
      </c>
      <c r="AP175">
        <v>1</v>
      </c>
      <c r="AQ175">
        <v>1</v>
      </c>
      <c r="AR175">
        <v>0</v>
      </c>
      <c r="AS175">
        <v>3</v>
      </c>
      <c r="AT175">
        <v>0</v>
      </c>
      <c r="AU175">
        <v>0</v>
      </c>
      <c r="AV175">
        <v>0</v>
      </c>
      <c r="AW175">
        <v>2</v>
      </c>
      <c r="AX175">
        <v>1</v>
      </c>
      <c r="AY175">
        <v>3</v>
      </c>
      <c r="AZ175">
        <v>0</v>
      </c>
      <c r="BA175">
        <v>0</v>
      </c>
      <c r="BB175">
        <v>0</v>
      </c>
      <c r="BC175">
        <v>0</v>
      </c>
      <c r="BD175">
        <v>0</v>
      </c>
      <c r="BE175">
        <v>0</v>
      </c>
      <c r="BF175">
        <v>0</v>
      </c>
      <c r="BG175">
        <v>0</v>
      </c>
      <c r="BH175">
        <v>0</v>
      </c>
      <c r="BI175">
        <v>0</v>
      </c>
      <c r="BJ175">
        <v>0</v>
      </c>
      <c r="BK175">
        <v>1</v>
      </c>
      <c r="BL175">
        <v>0</v>
      </c>
      <c r="BM175">
        <v>2</v>
      </c>
      <c r="BN175">
        <v>0</v>
      </c>
      <c r="BO175">
        <v>0</v>
      </c>
      <c r="BP175">
        <v>0</v>
      </c>
      <c r="BQ175">
        <v>5</v>
      </c>
      <c r="BR175">
        <v>3</v>
      </c>
      <c r="BS175">
        <v>4</v>
      </c>
      <c r="BT175">
        <v>0</v>
      </c>
      <c r="BU175">
        <v>0</v>
      </c>
      <c r="BV175">
        <v>3</v>
      </c>
      <c r="BW175">
        <v>0</v>
      </c>
      <c r="BX175">
        <v>0</v>
      </c>
      <c r="BY175">
        <v>1</v>
      </c>
      <c r="BZ175">
        <v>0</v>
      </c>
      <c r="CA175">
        <v>0</v>
      </c>
      <c r="CB175">
        <v>0</v>
      </c>
      <c r="CC175">
        <v>0</v>
      </c>
      <c r="CD175">
        <v>0</v>
      </c>
      <c r="CE175">
        <v>0</v>
      </c>
      <c r="CF175">
        <v>0</v>
      </c>
      <c r="CG175">
        <v>0</v>
      </c>
      <c r="CH175">
        <v>2</v>
      </c>
      <c r="CI175">
        <v>0</v>
      </c>
      <c r="CJ175">
        <v>3</v>
      </c>
      <c r="CK175">
        <v>0</v>
      </c>
      <c r="CL175">
        <v>0</v>
      </c>
      <c r="CM175">
        <v>1</v>
      </c>
      <c r="CN175">
        <v>0</v>
      </c>
      <c r="CO175">
        <v>0</v>
      </c>
      <c r="CP175">
        <v>1</v>
      </c>
      <c r="CQ175">
        <v>0</v>
      </c>
      <c r="CR175">
        <v>3</v>
      </c>
      <c r="CS175">
        <v>1</v>
      </c>
      <c r="CT175">
        <v>0</v>
      </c>
      <c r="CU175">
        <v>0</v>
      </c>
      <c r="CV175">
        <v>0</v>
      </c>
      <c r="CW175">
        <v>0</v>
      </c>
      <c r="CX175">
        <v>0</v>
      </c>
      <c r="CY175">
        <v>0</v>
      </c>
    </row>
    <row r="176" spans="1:103" x14ac:dyDescent="0.3">
      <c r="A176">
        <v>958</v>
      </c>
      <c r="B176" t="s">
        <v>654</v>
      </c>
      <c r="D176" t="s">
        <v>46</v>
      </c>
      <c r="E176" t="s">
        <v>46</v>
      </c>
      <c r="F176" t="s">
        <v>46</v>
      </c>
      <c r="G176" t="s">
        <v>46</v>
      </c>
      <c r="H176" t="s">
        <v>46</v>
      </c>
      <c r="I176" t="s">
        <v>46</v>
      </c>
      <c r="J176" t="s">
        <v>46</v>
      </c>
      <c r="K176" t="s">
        <v>46</v>
      </c>
      <c r="L176" t="s">
        <v>46</v>
      </c>
      <c r="M176" t="s">
        <v>46</v>
      </c>
      <c r="N176" t="s">
        <v>46</v>
      </c>
      <c r="O176" t="s">
        <v>46</v>
      </c>
      <c r="P176" t="s">
        <v>46</v>
      </c>
      <c r="Q176" t="s">
        <v>46</v>
      </c>
      <c r="R176" t="s">
        <v>46</v>
      </c>
      <c r="S176" t="s">
        <v>46</v>
      </c>
      <c r="T176" t="s">
        <v>47</v>
      </c>
      <c r="U176" t="s">
        <v>46</v>
      </c>
      <c r="V176" t="s">
        <v>46</v>
      </c>
      <c r="W176" t="s">
        <v>47</v>
      </c>
      <c r="X176" t="s">
        <v>46</v>
      </c>
      <c r="Y176" t="s">
        <v>46</v>
      </c>
      <c r="Z176" t="s">
        <v>46</v>
      </c>
      <c r="AA176" t="s">
        <v>46</v>
      </c>
      <c r="AB176" t="s">
        <v>46</v>
      </c>
      <c r="AC176" t="s">
        <v>46</v>
      </c>
      <c r="AD176" t="s">
        <v>46</v>
      </c>
      <c r="AE176" t="s">
        <v>46</v>
      </c>
      <c r="AF176" t="s">
        <v>46</v>
      </c>
      <c r="AG176" t="s">
        <v>46</v>
      </c>
      <c r="AH176" t="s">
        <v>46</v>
      </c>
      <c r="AI176" t="s">
        <v>46</v>
      </c>
      <c r="AJ176" t="s">
        <v>47</v>
      </c>
      <c r="AK176" t="s">
        <v>46</v>
      </c>
      <c r="AL176" t="s">
        <v>46</v>
      </c>
      <c r="AM176" t="s">
        <v>46</v>
      </c>
      <c r="AN176" t="s">
        <v>46</v>
      </c>
      <c r="AO176" t="s">
        <v>46</v>
      </c>
      <c r="AP176" t="s">
        <v>46</v>
      </c>
      <c r="AQ176" t="s">
        <v>46</v>
      </c>
      <c r="AR176" t="s">
        <v>46</v>
      </c>
      <c r="AS176" t="s">
        <v>46</v>
      </c>
      <c r="AT176" t="s">
        <v>46</v>
      </c>
      <c r="AU176" t="s">
        <v>46</v>
      </c>
      <c r="AV176" t="s">
        <v>46</v>
      </c>
      <c r="AW176" t="s">
        <v>46</v>
      </c>
      <c r="AX176" t="s">
        <v>46</v>
      </c>
      <c r="AY176" t="s">
        <v>46</v>
      </c>
      <c r="AZ176" t="s">
        <v>46</v>
      </c>
      <c r="BA176" t="s">
        <v>46</v>
      </c>
      <c r="BB176" t="s">
        <v>736</v>
      </c>
      <c r="BC176" t="s">
        <v>46</v>
      </c>
      <c r="BD176" t="s">
        <v>46</v>
      </c>
      <c r="BE176" t="s">
        <v>46</v>
      </c>
      <c r="BF176" t="s">
        <v>47</v>
      </c>
      <c r="BG176" t="s">
        <v>46</v>
      </c>
      <c r="BH176" t="s">
        <v>46</v>
      </c>
      <c r="BI176" t="s">
        <v>46</v>
      </c>
      <c r="BJ176" t="s">
        <v>46</v>
      </c>
      <c r="BK176" t="s">
        <v>46</v>
      </c>
      <c r="BL176" t="s">
        <v>46</v>
      </c>
      <c r="BM176" t="s">
        <v>46</v>
      </c>
      <c r="BN176" t="s">
        <v>46</v>
      </c>
      <c r="BO176" t="s">
        <v>46</v>
      </c>
      <c r="BP176" t="s">
        <v>46</v>
      </c>
      <c r="BQ176" t="s">
        <v>1757</v>
      </c>
      <c r="BR176" t="s">
        <v>46</v>
      </c>
      <c r="BS176" t="s">
        <v>46</v>
      </c>
      <c r="BT176" t="s">
        <v>46</v>
      </c>
      <c r="BU176" t="s">
        <v>46</v>
      </c>
      <c r="BV176" t="s">
        <v>46</v>
      </c>
      <c r="BW176" t="s">
        <v>46</v>
      </c>
      <c r="BX176" t="s">
        <v>46</v>
      </c>
      <c r="BY176" t="s">
        <v>46</v>
      </c>
      <c r="BZ176" t="s">
        <v>46</v>
      </c>
      <c r="CA176" t="s">
        <v>46</v>
      </c>
      <c r="CB176" t="s">
        <v>46</v>
      </c>
      <c r="CC176" t="s">
        <v>46</v>
      </c>
      <c r="CD176" t="s">
        <v>46</v>
      </c>
      <c r="CE176" t="s">
        <v>46</v>
      </c>
      <c r="CF176" t="s">
        <v>46</v>
      </c>
      <c r="CG176" t="s">
        <v>46</v>
      </c>
      <c r="CH176" t="s">
        <v>46</v>
      </c>
      <c r="CI176" t="s">
        <v>46</v>
      </c>
      <c r="CJ176" t="s">
        <v>46</v>
      </c>
      <c r="CK176" t="s">
        <v>46</v>
      </c>
      <c r="CL176" t="s">
        <v>46</v>
      </c>
      <c r="CM176" t="s">
        <v>46</v>
      </c>
      <c r="CN176" t="s">
        <v>46</v>
      </c>
      <c r="CO176" t="s">
        <v>46</v>
      </c>
      <c r="CP176" t="s">
        <v>46</v>
      </c>
      <c r="CQ176" t="s">
        <v>46</v>
      </c>
      <c r="CR176" t="s">
        <v>46</v>
      </c>
      <c r="CS176" t="s">
        <v>46</v>
      </c>
      <c r="CT176" t="s">
        <v>46</v>
      </c>
      <c r="CU176" t="s">
        <v>46</v>
      </c>
      <c r="CV176" t="s">
        <v>46</v>
      </c>
      <c r="CW176" t="s">
        <v>46</v>
      </c>
      <c r="CX176" t="s">
        <v>46</v>
      </c>
      <c r="CY176" t="s">
        <v>46</v>
      </c>
    </row>
    <row r="177" spans="1:103" x14ac:dyDescent="0.3">
      <c r="A177">
        <v>959</v>
      </c>
      <c r="B177" t="s">
        <v>655</v>
      </c>
      <c r="D177">
        <v>2</v>
      </c>
      <c r="E177">
        <v>2</v>
      </c>
      <c r="F177">
        <v>2</v>
      </c>
      <c r="G177">
        <v>3</v>
      </c>
      <c r="H177">
        <v>2</v>
      </c>
      <c r="I177">
        <v>2</v>
      </c>
      <c r="J177">
        <v>2</v>
      </c>
      <c r="K177">
        <v>2</v>
      </c>
      <c r="L177">
        <v>2</v>
      </c>
      <c r="M177">
        <v>2</v>
      </c>
      <c r="N177">
        <v>2</v>
      </c>
      <c r="O177">
        <v>2</v>
      </c>
      <c r="P177">
        <v>2</v>
      </c>
      <c r="Q177">
        <v>2</v>
      </c>
      <c r="R177">
        <v>2</v>
      </c>
      <c r="S177">
        <v>2</v>
      </c>
      <c r="T177">
        <v>2</v>
      </c>
      <c r="U177">
        <v>2</v>
      </c>
      <c r="V177">
        <v>2</v>
      </c>
      <c r="W177">
        <v>2</v>
      </c>
      <c r="X177">
        <v>3</v>
      </c>
      <c r="Y177">
        <v>2</v>
      </c>
      <c r="Z177">
        <v>2</v>
      </c>
      <c r="AA177">
        <v>2</v>
      </c>
      <c r="AB177">
        <v>2</v>
      </c>
      <c r="AC177">
        <v>3</v>
      </c>
      <c r="AD177">
        <v>2</v>
      </c>
      <c r="AE177">
        <v>2</v>
      </c>
      <c r="AF177">
        <v>2</v>
      </c>
      <c r="AG177">
        <v>2</v>
      </c>
      <c r="AH177">
        <v>2</v>
      </c>
      <c r="AI177">
        <v>2</v>
      </c>
      <c r="AJ177">
        <v>2</v>
      </c>
      <c r="AK177">
        <v>2</v>
      </c>
      <c r="AL177">
        <v>2</v>
      </c>
      <c r="AM177">
        <v>2</v>
      </c>
      <c r="AN177">
        <v>2</v>
      </c>
      <c r="AO177">
        <v>2</v>
      </c>
      <c r="AP177">
        <v>2</v>
      </c>
      <c r="AQ177">
        <v>2</v>
      </c>
      <c r="AR177">
        <v>2</v>
      </c>
      <c r="AS177">
        <v>2</v>
      </c>
      <c r="AT177">
        <v>2</v>
      </c>
      <c r="AU177">
        <v>2</v>
      </c>
      <c r="AV177">
        <v>2</v>
      </c>
      <c r="AW177">
        <v>2</v>
      </c>
      <c r="AX177">
        <v>2</v>
      </c>
      <c r="AY177">
        <v>2</v>
      </c>
      <c r="AZ177">
        <v>2</v>
      </c>
      <c r="BA177">
        <v>2</v>
      </c>
      <c r="BB177">
        <v>2</v>
      </c>
      <c r="BC177">
        <v>2</v>
      </c>
      <c r="BD177">
        <v>2</v>
      </c>
      <c r="BE177">
        <v>2</v>
      </c>
      <c r="BF177">
        <v>2</v>
      </c>
      <c r="BG177">
        <v>2</v>
      </c>
      <c r="BH177">
        <v>2</v>
      </c>
      <c r="BI177">
        <v>2</v>
      </c>
      <c r="BJ177">
        <v>2</v>
      </c>
      <c r="BK177">
        <v>2</v>
      </c>
      <c r="BL177">
        <v>2</v>
      </c>
      <c r="BM177">
        <v>2</v>
      </c>
      <c r="BN177">
        <v>2</v>
      </c>
      <c r="BO177">
        <v>2</v>
      </c>
      <c r="BP177">
        <v>2</v>
      </c>
      <c r="BQ177">
        <v>2</v>
      </c>
      <c r="BR177">
        <v>2</v>
      </c>
      <c r="BS177">
        <v>2</v>
      </c>
      <c r="BT177">
        <v>2</v>
      </c>
      <c r="BU177">
        <v>2</v>
      </c>
      <c r="BV177">
        <v>2</v>
      </c>
      <c r="BW177">
        <v>2</v>
      </c>
      <c r="BX177">
        <v>2</v>
      </c>
      <c r="BY177">
        <v>2</v>
      </c>
      <c r="BZ177">
        <v>2</v>
      </c>
      <c r="CA177">
        <v>2</v>
      </c>
      <c r="CB177">
        <v>2</v>
      </c>
      <c r="CC177">
        <v>2</v>
      </c>
      <c r="CD177">
        <v>2</v>
      </c>
      <c r="CE177">
        <v>2</v>
      </c>
      <c r="CF177">
        <v>2</v>
      </c>
      <c r="CG177">
        <v>2</v>
      </c>
      <c r="CH177">
        <v>2</v>
      </c>
      <c r="CI177">
        <v>2</v>
      </c>
      <c r="CJ177">
        <v>2</v>
      </c>
      <c r="CK177">
        <v>2</v>
      </c>
      <c r="CL177">
        <v>2</v>
      </c>
      <c r="CM177">
        <v>2</v>
      </c>
      <c r="CN177">
        <v>2</v>
      </c>
      <c r="CO177">
        <v>2</v>
      </c>
      <c r="CP177">
        <v>2</v>
      </c>
      <c r="CQ177">
        <v>2</v>
      </c>
      <c r="CR177">
        <v>3</v>
      </c>
      <c r="CS177">
        <v>2</v>
      </c>
      <c r="CT177">
        <v>2</v>
      </c>
      <c r="CU177">
        <v>2</v>
      </c>
      <c r="CV177">
        <v>2</v>
      </c>
      <c r="CW177">
        <v>2</v>
      </c>
      <c r="CX177">
        <v>2</v>
      </c>
      <c r="CY177">
        <v>2</v>
      </c>
    </row>
    <row r="178" spans="1:103" x14ac:dyDescent="0.3">
      <c r="A178">
        <v>960</v>
      </c>
      <c r="B178" t="s">
        <v>656</v>
      </c>
      <c r="D178" t="s">
        <v>1043</v>
      </c>
      <c r="E178" t="s">
        <v>1044</v>
      </c>
      <c r="F178" t="s">
        <v>1045</v>
      </c>
      <c r="G178" t="s">
        <v>1638</v>
      </c>
      <c r="H178" t="s">
        <v>1046</v>
      </c>
      <c r="I178" t="s">
        <v>1047</v>
      </c>
      <c r="J178" t="s">
        <v>1408</v>
      </c>
      <c r="K178" t="s">
        <v>1048</v>
      </c>
      <c r="L178" t="s">
        <v>1262</v>
      </c>
      <c r="M178" t="s">
        <v>1409</v>
      </c>
      <c r="N178" t="s">
        <v>1251</v>
      </c>
      <c r="O178" t="s">
        <v>1049</v>
      </c>
      <c r="P178" t="s">
        <v>1084</v>
      </c>
      <c r="Q178" t="s">
        <v>1050</v>
      </c>
      <c r="R178" t="s">
        <v>1410</v>
      </c>
      <c r="S178" t="s">
        <v>1051</v>
      </c>
      <c r="T178" t="s">
        <v>1758</v>
      </c>
      <c r="U178" t="s">
        <v>1411</v>
      </c>
      <c r="V178" t="s">
        <v>1412</v>
      </c>
      <c r="W178" t="s">
        <v>1252</v>
      </c>
      <c r="X178" t="s">
        <v>1052</v>
      </c>
      <c r="Y178" t="s">
        <v>1053</v>
      </c>
      <c r="Z178" t="s">
        <v>1253</v>
      </c>
      <c r="AA178" t="s">
        <v>1759</v>
      </c>
      <c r="AB178" t="s">
        <v>1054</v>
      </c>
      <c r="AC178" t="s">
        <v>1055</v>
      </c>
      <c r="AD178" t="s">
        <v>1056</v>
      </c>
      <c r="AE178" t="s">
        <v>1057</v>
      </c>
      <c r="AF178" t="s">
        <v>1413</v>
      </c>
      <c r="AG178" t="s">
        <v>1254</v>
      </c>
      <c r="AH178" t="s">
        <v>1725</v>
      </c>
      <c r="AI178" t="s">
        <v>1414</v>
      </c>
      <c r="AJ178" t="s">
        <v>1415</v>
      </c>
      <c r="AK178" t="s">
        <v>1058</v>
      </c>
      <c r="AL178" t="s">
        <v>1059</v>
      </c>
      <c r="AM178" t="s">
        <v>1263</v>
      </c>
      <c r="AN178" t="s">
        <v>1060</v>
      </c>
      <c r="AO178" t="s">
        <v>1061</v>
      </c>
      <c r="AP178" t="s">
        <v>1416</v>
      </c>
      <c r="AQ178" t="s">
        <v>1417</v>
      </c>
      <c r="AR178" t="s">
        <v>1418</v>
      </c>
      <c r="AS178" t="s">
        <v>1062</v>
      </c>
      <c r="AT178" t="s">
        <v>1063</v>
      </c>
      <c r="AU178" t="s">
        <v>1064</v>
      </c>
      <c r="AV178" t="s">
        <v>1065</v>
      </c>
      <c r="AW178" t="s">
        <v>1760</v>
      </c>
      <c r="AX178" t="s">
        <v>1066</v>
      </c>
      <c r="AY178" t="s">
        <v>1715</v>
      </c>
      <c r="AZ178" t="s">
        <v>1067</v>
      </c>
      <c r="BA178" t="s">
        <v>1068</v>
      </c>
      <c r="BB178" t="s">
        <v>1069</v>
      </c>
      <c r="BC178" t="s">
        <v>1419</v>
      </c>
      <c r="BD178" t="s">
        <v>1420</v>
      </c>
      <c r="BE178" t="s">
        <v>1264</v>
      </c>
      <c r="BF178" t="s">
        <v>1421</v>
      </c>
      <c r="BG178" t="s">
        <v>1070</v>
      </c>
      <c r="BH178" t="s">
        <v>1071</v>
      </c>
      <c r="BI178" t="s">
        <v>1072</v>
      </c>
      <c r="BJ178" t="s">
        <v>1073</v>
      </c>
      <c r="BK178" t="s">
        <v>1074</v>
      </c>
      <c r="BL178" t="s">
        <v>1075</v>
      </c>
      <c r="BM178" t="s">
        <v>1076</v>
      </c>
      <c r="BN178" t="s">
        <v>1077</v>
      </c>
      <c r="BO178" t="s">
        <v>1078</v>
      </c>
      <c r="BP178" t="s">
        <v>1422</v>
      </c>
      <c r="BQ178" t="s">
        <v>1761</v>
      </c>
      <c r="BR178" t="s">
        <v>1423</v>
      </c>
      <c r="BS178" t="s">
        <v>1255</v>
      </c>
      <c r="BT178" t="s">
        <v>1079</v>
      </c>
      <c r="BU178" t="s">
        <v>1424</v>
      </c>
      <c r="BV178" t="s">
        <v>1080</v>
      </c>
      <c r="BW178" t="s">
        <v>1425</v>
      </c>
      <c r="BX178" t="s">
        <v>1426</v>
      </c>
      <c r="BY178" t="s">
        <v>1427</v>
      </c>
      <c r="BZ178" t="s">
        <v>1081</v>
      </c>
      <c r="CA178" t="s">
        <v>1428</v>
      </c>
      <c r="CB178" t="s">
        <v>1082</v>
      </c>
      <c r="CC178" t="s">
        <v>1083</v>
      </c>
      <c r="CD178" t="s">
        <v>1429</v>
      </c>
      <c r="CE178" t="s">
        <v>1430</v>
      </c>
      <c r="CF178" t="s">
        <v>1085</v>
      </c>
      <c r="CG178" t="s">
        <v>1086</v>
      </c>
      <c r="CH178" t="s">
        <v>1087</v>
      </c>
      <c r="CI178" t="s">
        <v>1088</v>
      </c>
      <c r="CJ178" t="s">
        <v>1431</v>
      </c>
      <c r="CK178" t="s">
        <v>1432</v>
      </c>
      <c r="CL178" t="s">
        <v>1089</v>
      </c>
      <c r="CM178" t="s">
        <v>1090</v>
      </c>
      <c r="CN178" t="s">
        <v>1091</v>
      </c>
      <c r="CO178" t="s">
        <v>1433</v>
      </c>
      <c r="CP178" t="s">
        <v>1256</v>
      </c>
      <c r="CQ178" t="s">
        <v>1092</v>
      </c>
      <c r="CR178" t="s">
        <v>1093</v>
      </c>
      <c r="CS178" t="s">
        <v>1094</v>
      </c>
      <c r="CT178" t="s">
        <v>1434</v>
      </c>
      <c r="CU178" t="s">
        <v>1257</v>
      </c>
      <c r="CV178" t="s">
        <v>1095</v>
      </c>
      <c r="CW178" t="s">
        <v>1096</v>
      </c>
      <c r="CX178" t="s">
        <v>1435</v>
      </c>
      <c r="CY178" t="s">
        <v>1097</v>
      </c>
    </row>
    <row r="179" spans="1:103" x14ac:dyDescent="0.3">
      <c r="A179">
        <v>962</v>
      </c>
      <c r="B179" t="s">
        <v>657</v>
      </c>
      <c r="D179" t="s">
        <v>659</v>
      </c>
      <c r="E179" t="s">
        <v>658</v>
      </c>
      <c r="F179" t="s">
        <v>1436</v>
      </c>
      <c r="G179" t="s">
        <v>658</v>
      </c>
      <c r="H179" t="s">
        <v>660</v>
      </c>
      <c r="I179" t="s">
        <v>659</v>
      </c>
      <c r="J179" t="s">
        <v>659</v>
      </c>
      <c r="K179" t="s">
        <v>658</v>
      </c>
      <c r="L179" t="s">
        <v>659</v>
      </c>
      <c r="M179" t="s">
        <v>1098</v>
      </c>
      <c r="N179" t="s">
        <v>1099</v>
      </c>
      <c r="O179" t="s">
        <v>1100</v>
      </c>
      <c r="P179" t="s">
        <v>658</v>
      </c>
      <c r="Q179" t="s">
        <v>658</v>
      </c>
      <c r="R179" t="s">
        <v>1437</v>
      </c>
      <c r="S179" t="s">
        <v>1101</v>
      </c>
      <c r="T179" t="s">
        <v>1105</v>
      </c>
      <c r="U179" t="s">
        <v>1438</v>
      </c>
      <c r="V179" t="s">
        <v>659</v>
      </c>
      <c r="W179" t="s">
        <v>659</v>
      </c>
      <c r="X179" t="s">
        <v>1439</v>
      </c>
      <c r="Y179" t="s">
        <v>659</v>
      </c>
      <c r="Z179" t="s">
        <v>658</v>
      </c>
      <c r="AA179" t="s">
        <v>658</v>
      </c>
      <c r="AB179" t="s">
        <v>658</v>
      </c>
      <c r="AC179" t="s">
        <v>1102</v>
      </c>
      <c r="AD179" t="s">
        <v>1106</v>
      </c>
      <c r="AE179" t="s">
        <v>1100</v>
      </c>
      <c r="AF179" t="s">
        <v>658</v>
      </c>
      <c r="AG179" t="s">
        <v>1103</v>
      </c>
      <c r="AH179" t="s">
        <v>659</v>
      </c>
      <c r="AI179" t="s">
        <v>726</v>
      </c>
      <c r="AJ179" t="s">
        <v>1440</v>
      </c>
      <c r="AK179" t="s">
        <v>658</v>
      </c>
      <c r="AL179" t="s">
        <v>659</v>
      </c>
      <c r="AM179" t="s">
        <v>658</v>
      </c>
      <c r="AN179" t="s">
        <v>658</v>
      </c>
      <c r="AO179" t="s">
        <v>659</v>
      </c>
      <c r="AP179" t="s">
        <v>725</v>
      </c>
      <c r="AQ179" t="s">
        <v>658</v>
      </c>
      <c r="AR179" t="s">
        <v>1441</v>
      </c>
      <c r="AS179" t="s">
        <v>658</v>
      </c>
      <c r="AT179" t="s">
        <v>658</v>
      </c>
      <c r="AU179" t="s">
        <v>658</v>
      </c>
      <c r="AV179" t="s">
        <v>658</v>
      </c>
      <c r="AW179" t="s">
        <v>658</v>
      </c>
      <c r="AX179" t="s">
        <v>658</v>
      </c>
      <c r="AY179" t="s">
        <v>659</v>
      </c>
      <c r="AZ179" t="s">
        <v>658</v>
      </c>
      <c r="BA179" t="s">
        <v>1104</v>
      </c>
      <c r="BB179" t="s">
        <v>1100</v>
      </c>
      <c r="BC179" t="s">
        <v>659</v>
      </c>
      <c r="BD179" t="s">
        <v>658</v>
      </c>
      <c r="BE179" t="s">
        <v>659</v>
      </c>
      <c r="BF179" t="s">
        <v>658</v>
      </c>
      <c r="BG179" t="s">
        <v>658</v>
      </c>
      <c r="BH179" t="s">
        <v>659</v>
      </c>
      <c r="BI179" t="s">
        <v>659</v>
      </c>
      <c r="BJ179" t="s">
        <v>659</v>
      </c>
      <c r="BK179" t="s">
        <v>726</v>
      </c>
      <c r="BL179" t="s">
        <v>659</v>
      </c>
      <c r="BM179" t="s">
        <v>658</v>
      </c>
      <c r="BN179" t="s">
        <v>658</v>
      </c>
      <c r="BO179" t="s">
        <v>658</v>
      </c>
      <c r="BP179" t="s">
        <v>726</v>
      </c>
      <c r="BQ179" t="s">
        <v>659</v>
      </c>
      <c r="BR179" t="s">
        <v>659</v>
      </c>
      <c r="BS179" t="s">
        <v>726</v>
      </c>
      <c r="BT179" t="s">
        <v>1442</v>
      </c>
      <c r="BU179" t="s">
        <v>660</v>
      </c>
      <c r="BV179" t="s">
        <v>658</v>
      </c>
      <c r="BW179" t="s">
        <v>660</v>
      </c>
      <c r="BX179" t="s">
        <v>660</v>
      </c>
      <c r="BY179" t="s">
        <v>1443</v>
      </c>
      <c r="BZ179" t="s">
        <v>658</v>
      </c>
      <c r="CA179" t="s">
        <v>1107</v>
      </c>
      <c r="CB179" t="s">
        <v>658</v>
      </c>
      <c r="CC179" t="s">
        <v>658</v>
      </c>
      <c r="CD179" t="s">
        <v>1108</v>
      </c>
      <c r="CE179" t="s">
        <v>1444</v>
      </c>
      <c r="CF179" t="s">
        <v>658</v>
      </c>
      <c r="CG179" t="s">
        <v>659</v>
      </c>
      <c r="CH179" t="s">
        <v>658</v>
      </c>
      <c r="CI179" t="s">
        <v>659</v>
      </c>
      <c r="CJ179" t="s">
        <v>658</v>
      </c>
      <c r="CK179" t="s">
        <v>659</v>
      </c>
      <c r="CL179" t="s">
        <v>659</v>
      </c>
      <c r="CM179" t="s">
        <v>658</v>
      </c>
      <c r="CN179" t="s">
        <v>659</v>
      </c>
      <c r="CO179" t="s">
        <v>658</v>
      </c>
      <c r="CP179" t="s">
        <v>658</v>
      </c>
      <c r="CQ179" t="s">
        <v>726</v>
      </c>
      <c r="CR179" t="s">
        <v>659</v>
      </c>
      <c r="CS179" t="s">
        <v>659</v>
      </c>
      <c r="CT179" t="s">
        <v>1445</v>
      </c>
      <c r="CU179" t="s">
        <v>659</v>
      </c>
      <c r="CV179" t="s">
        <v>659</v>
      </c>
      <c r="CW179" t="s">
        <v>658</v>
      </c>
      <c r="CX179" t="s">
        <v>660</v>
      </c>
      <c r="CY179" t="s">
        <v>658</v>
      </c>
    </row>
    <row r="180" spans="1:103" x14ac:dyDescent="0.3">
      <c r="A180">
        <v>964</v>
      </c>
      <c r="B180" t="s">
        <v>661</v>
      </c>
      <c r="D180" t="s">
        <v>1446</v>
      </c>
      <c r="E180" t="s">
        <v>1447</v>
      </c>
      <c r="F180" t="s">
        <v>1448</v>
      </c>
      <c r="G180" t="s">
        <v>1762</v>
      </c>
      <c r="H180" t="s">
        <v>1449</v>
      </c>
      <c r="I180" t="s">
        <v>1450</v>
      </c>
      <c r="J180" t="s">
        <v>1446</v>
      </c>
      <c r="K180" t="s">
        <v>1451</v>
      </c>
      <c r="L180" t="s">
        <v>1452</v>
      </c>
      <c r="M180" t="s">
        <v>1453</v>
      </c>
      <c r="N180" t="s">
        <v>1448</v>
      </c>
      <c r="O180" t="s">
        <v>1454</v>
      </c>
      <c r="P180" t="s">
        <v>1455</v>
      </c>
      <c r="Q180" t="s">
        <v>1456</v>
      </c>
      <c r="R180" t="s">
        <v>1452</v>
      </c>
      <c r="S180" t="s">
        <v>1457</v>
      </c>
      <c r="T180" t="s">
        <v>1763</v>
      </c>
      <c r="U180" t="s">
        <v>1458</v>
      </c>
      <c r="V180" t="s">
        <v>1459</v>
      </c>
      <c r="W180" t="s">
        <v>1764</v>
      </c>
      <c r="X180" t="s">
        <v>1460</v>
      </c>
      <c r="Y180" t="s">
        <v>1461</v>
      </c>
      <c r="Z180" t="s">
        <v>1462</v>
      </c>
      <c r="AA180" t="s">
        <v>1765</v>
      </c>
      <c r="AB180" t="s">
        <v>1450</v>
      </c>
      <c r="AC180" t="s">
        <v>1463</v>
      </c>
      <c r="AD180" t="s">
        <v>1464</v>
      </c>
      <c r="AE180" t="s">
        <v>1448</v>
      </c>
      <c r="AF180" t="s">
        <v>1465</v>
      </c>
      <c r="AG180" t="s">
        <v>1466</v>
      </c>
      <c r="AH180" t="s">
        <v>1726</v>
      </c>
      <c r="AI180" t="s">
        <v>1452</v>
      </c>
      <c r="AJ180" t="s">
        <v>1467</v>
      </c>
      <c r="AK180" t="s">
        <v>1468</v>
      </c>
      <c r="AL180" t="s">
        <v>1457</v>
      </c>
      <c r="AM180" t="s">
        <v>1469</v>
      </c>
      <c r="AN180" t="s">
        <v>1446</v>
      </c>
      <c r="AO180" t="s">
        <v>1470</v>
      </c>
      <c r="AP180" t="s">
        <v>1465</v>
      </c>
      <c r="AQ180" t="s">
        <v>1471</v>
      </c>
      <c r="AR180" t="s">
        <v>1460</v>
      </c>
      <c r="AS180" t="s">
        <v>1472</v>
      </c>
      <c r="AT180" t="s">
        <v>1473</v>
      </c>
      <c r="AU180" t="s">
        <v>1474</v>
      </c>
      <c r="AV180" t="s">
        <v>1475</v>
      </c>
      <c r="AW180" t="s">
        <v>1766</v>
      </c>
      <c r="AX180" t="s">
        <v>1452</v>
      </c>
      <c r="AY180" t="s">
        <v>1716</v>
      </c>
      <c r="AZ180" t="s">
        <v>1468</v>
      </c>
      <c r="BA180" t="s">
        <v>1447</v>
      </c>
      <c r="BB180" t="s">
        <v>1476</v>
      </c>
      <c r="BC180" t="s">
        <v>1477</v>
      </c>
      <c r="BD180" t="s">
        <v>1448</v>
      </c>
      <c r="BE180" t="s">
        <v>1452</v>
      </c>
      <c r="BF180" t="s">
        <v>1446</v>
      </c>
      <c r="BG180" t="s">
        <v>1478</v>
      </c>
      <c r="BH180" t="s">
        <v>1479</v>
      </c>
      <c r="BI180" t="s">
        <v>1455</v>
      </c>
      <c r="BJ180" t="s">
        <v>1474</v>
      </c>
      <c r="BK180" t="s">
        <v>1465</v>
      </c>
      <c r="BL180" t="s">
        <v>1480</v>
      </c>
      <c r="BM180" t="s">
        <v>1481</v>
      </c>
      <c r="BN180" t="s">
        <v>1482</v>
      </c>
      <c r="BO180" t="s">
        <v>1483</v>
      </c>
      <c r="BP180" t="s">
        <v>1450</v>
      </c>
      <c r="BQ180" t="s">
        <v>1767</v>
      </c>
      <c r="BR180" t="s">
        <v>1484</v>
      </c>
      <c r="BS180" t="s">
        <v>1485</v>
      </c>
      <c r="BT180" t="s">
        <v>1446</v>
      </c>
      <c r="BU180" t="s">
        <v>1463</v>
      </c>
      <c r="BV180" t="s">
        <v>1463</v>
      </c>
      <c r="BW180" t="s">
        <v>1452</v>
      </c>
      <c r="BX180" t="s">
        <v>1480</v>
      </c>
      <c r="BY180" t="s">
        <v>1446</v>
      </c>
      <c r="BZ180" t="s">
        <v>1453</v>
      </c>
      <c r="CA180" t="s">
        <v>1486</v>
      </c>
      <c r="CB180" t="s">
        <v>1487</v>
      </c>
      <c r="CC180" t="s">
        <v>1488</v>
      </c>
      <c r="CD180" t="s">
        <v>1489</v>
      </c>
      <c r="CE180" t="s">
        <v>1490</v>
      </c>
      <c r="CF180" t="s">
        <v>1452</v>
      </c>
      <c r="CG180" t="s">
        <v>1491</v>
      </c>
      <c r="CH180" t="s">
        <v>1492</v>
      </c>
      <c r="CI180" t="s">
        <v>1493</v>
      </c>
      <c r="CJ180" t="s">
        <v>1494</v>
      </c>
      <c r="CK180" t="s">
        <v>1468</v>
      </c>
      <c r="CL180" t="s">
        <v>1495</v>
      </c>
      <c r="CM180" t="s">
        <v>1496</v>
      </c>
      <c r="CN180" t="s">
        <v>1450</v>
      </c>
      <c r="CO180" t="s">
        <v>1497</v>
      </c>
      <c r="CP180" t="s">
        <v>1498</v>
      </c>
      <c r="CQ180" t="s">
        <v>1446</v>
      </c>
      <c r="CR180" t="s">
        <v>1479</v>
      </c>
      <c r="CS180" t="s">
        <v>1497</v>
      </c>
      <c r="CT180" t="s">
        <v>1450</v>
      </c>
      <c r="CU180" t="s">
        <v>1450</v>
      </c>
      <c r="CV180" t="s">
        <v>1499</v>
      </c>
      <c r="CW180" t="s">
        <v>1448</v>
      </c>
      <c r="CX180" t="s">
        <v>1480</v>
      </c>
      <c r="CY180" t="s">
        <v>1500</v>
      </c>
    </row>
    <row r="181" spans="1:103" x14ac:dyDescent="0.3">
      <c r="A181">
        <v>966</v>
      </c>
      <c r="B181" t="s">
        <v>662</v>
      </c>
      <c r="D181" t="s">
        <v>1109</v>
      </c>
      <c r="E181" t="s">
        <v>1110</v>
      </c>
      <c r="F181" t="s">
        <v>1258</v>
      </c>
      <c r="G181" t="s">
        <v>1639</v>
      </c>
      <c r="H181" t="s">
        <v>1111</v>
      </c>
      <c r="I181" t="s">
        <v>1112</v>
      </c>
      <c r="J181" t="s">
        <v>1501</v>
      </c>
      <c r="K181" t="s">
        <v>1113</v>
      </c>
      <c r="L181" t="s">
        <v>1114</v>
      </c>
      <c r="M181" t="s">
        <v>1502</v>
      </c>
      <c r="N181" t="s">
        <v>1115</v>
      </c>
      <c r="O181" t="s">
        <v>1116</v>
      </c>
      <c r="P181" t="s">
        <v>1117</v>
      </c>
      <c r="Q181" t="s">
        <v>1118</v>
      </c>
      <c r="R181" t="s">
        <v>1119</v>
      </c>
      <c r="S181" t="s">
        <v>1120</v>
      </c>
      <c r="T181" t="s">
        <v>1768</v>
      </c>
      <c r="U181" t="s">
        <v>1121</v>
      </c>
      <c r="V181" t="s">
        <v>1122</v>
      </c>
      <c r="W181" t="s">
        <v>1769</v>
      </c>
      <c r="X181" t="s">
        <v>1123</v>
      </c>
      <c r="Y181" t="s">
        <v>1124</v>
      </c>
      <c r="Z181" t="s">
        <v>1125</v>
      </c>
      <c r="AA181" t="s">
        <v>1770</v>
      </c>
      <c r="AB181" t="s">
        <v>1126</v>
      </c>
      <c r="AC181" t="s">
        <v>1127</v>
      </c>
      <c r="AD181" t="s">
        <v>1128</v>
      </c>
      <c r="AE181" t="s">
        <v>1129</v>
      </c>
      <c r="AF181" t="s">
        <v>1503</v>
      </c>
      <c r="AG181" t="s">
        <v>1504</v>
      </c>
      <c r="AH181" t="s">
        <v>1727</v>
      </c>
      <c r="AI181" t="s">
        <v>1130</v>
      </c>
      <c r="AJ181" t="s">
        <v>1131</v>
      </c>
      <c r="AK181" t="s">
        <v>1132</v>
      </c>
      <c r="AM181" t="s">
        <v>1133</v>
      </c>
      <c r="AN181" t="s">
        <v>1134</v>
      </c>
      <c r="AO181" t="s">
        <v>1135</v>
      </c>
      <c r="AP181" t="s">
        <v>1136</v>
      </c>
      <c r="AQ181" t="s">
        <v>1137</v>
      </c>
      <c r="AR181" t="s">
        <v>1505</v>
      </c>
      <c r="AS181" t="s">
        <v>1138</v>
      </c>
      <c r="AT181" t="s">
        <v>1139</v>
      </c>
      <c r="AU181" t="s">
        <v>1140</v>
      </c>
      <c r="AV181" t="s">
        <v>1506</v>
      </c>
      <c r="AW181" t="s">
        <v>1771</v>
      </c>
      <c r="AX181" t="s">
        <v>1141</v>
      </c>
      <c r="AY181" t="s">
        <v>1717</v>
      </c>
      <c r="AZ181" t="s">
        <v>1142</v>
      </c>
      <c r="BA181" t="s">
        <v>1143</v>
      </c>
      <c r="BB181" t="s">
        <v>1259</v>
      </c>
      <c r="BC181" t="s">
        <v>1507</v>
      </c>
      <c r="BD181" t="s">
        <v>1508</v>
      </c>
      <c r="BE181" t="s">
        <v>1144</v>
      </c>
      <c r="BF181" t="s">
        <v>1145</v>
      </c>
      <c r="BG181" t="s">
        <v>1146</v>
      </c>
      <c r="BI181" t="s">
        <v>1147</v>
      </c>
      <c r="BJ181" t="s">
        <v>1148</v>
      </c>
      <c r="BK181" t="s">
        <v>1149</v>
      </c>
      <c r="BL181" t="s">
        <v>1150</v>
      </c>
      <c r="BM181" t="s">
        <v>1260</v>
      </c>
      <c r="BN181" t="s">
        <v>1151</v>
      </c>
      <c r="BO181" t="s">
        <v>1152</v>
      </c>
      <c r="BP181" t="s">
        <v>1509</v>
      </c>
      <c r="BQ181" t="s">
        <v>1772</v>
      </c>
      <c r="BR181" t="s">
        <v>1510</v>
      </c>
      <c r="BS181" t="s">
        <v>1261</v>
      </c>
      <c r="BT181" t="s">
        <v>1153</v>
      </c>
      <c r="BU181" t="s">
        <v>1154</v>
      </c>
      <c r="BV181" t="s">
        <v>1155</v>
      </c>
      <c r="BW181" t="s">
        <v>1156</v>
      </c>
      <c r="BX181" t="s">
        <v>1511</v>
      </c>
      <c r="BY181" t="s">
        <v>1512</v>
      </c>
      <c r="BZ181" t="s">
        <v>1157</v>
      </c>
      <c r="CA181" t="s">
        <v>1158</v>
      </c>
      <c r="CB181" t="s">
        <v>1159</v>
      </c>
      <c r="CC181" t="s">
        <v>1160</v>
      </c>
      <c r="CD181" t="s">
        <v>1161</v>
      </c>
      <c r="CE181" t="s">
        <v>1513</v>
      </c>
      <c r="CF181" t="s">
        <v>1162</v>
      </c>
      <c r="CG181" t="s">
        <v>1163</v>
      </c>
      <c r="CH181" t="s">
        <v>1164</v>
      </c>
      <c r="CI181" t="s">
        <v>1165</v>
      </c>
      <c r="CJ181" t="s">
        <v>1514</v>
      </c>
      <c r="CK181" t="s">
        <v>1515</v>
      </c>
      <c r="CL181" t="s">
        <v>1166</v>
      </c>
      <c r="CM181" t="s">
        <v>1167</v>
      </c>
      <c r="CN181" t="s">
        <v>1516</v>
      </c>
      <c r="CO181" t="s">
        <v>1517</v>
      </c>
      <c r="CP181" t="s">
        <v>1168</v>
      </c>
      <c r="CQ181" t="s">
        <v>1169</v>
      </c>
      <c r="CR181" t="s">
        <v>1170</v>
      </c>
      <c r="CS181" t="s">
        <v>1171</v>
      </c>
      <c r="CT181" t="s">
        <v>1172</v>
      </c>
      <c r="CU181" t="s">
        <v>1173</v>
      </c>
      <c r="CV181" t="s">
        <v>1174</v>
      </c>
      <c r="CW181" t="s">
        <v>1175</v>
      </c>
      <c r="CX181" t="s">
        <v>1176</v>
      </c>
      <c r="CY181" t="s">
        <v>1177</v>
      </c>
    </row>
    <row r="182" spans="1:103" x14ac:dyDescent="0.3">
      <c r="A182">
        <v>968</v>
      </c>
      <c r="B182" t="s">
        <v>663</v>
      </c>
      <c r="D182" t="s">
        <v>1178</v>
      </c>
      <c r="E182" t="s">
        <v>1179</v>
      </c>
      <c r="F182" t="s">
        <v>1180</v>
      </c>
      <c r="G182" t="s">
        <v>1640</v>
      </c>
      <c r="H182" t="s">
        <v>1518</v>
      </c>
      <c r="I182" t="s">
        <v>1181</v>
      </c>
      <c r="J182" t="s">
        <v>1519</v>
      </c>
      <c r="K182" t="s">
        <v>1182</v>
      </c>
      <c r="L182" t="s">
        <v>1183</v>
      </c>
      <c r="M182" t="s">
        <v>1520</v>
      </c>
      <c r="N182" t="s">
        <v>1184</v>
      </c>
      <c r="O182" t="s">
        <v>1185</v>
      </c>
      <c r="P182" t="s">
        <v>1521</v>
      </c>
      <c r="Q182" t="s">
        <v>1186</v>
      </c>
      <c r="R182" t="s">
        <v>1522</v>
      </c>
      <c r="S182" t="s">
        <v>1187</v>
      </c>
      <c r="T182" t="s">
        <v>1773</v>
      </c>
      <c r="U182" t="s">
        <v>1523</v>
      </c>
      <c r="V182" t="s">
        <v>1524</v>
      </c>
      <c r="W182" t="s">
        <v>1238</v>
      </c>
      <c r="X182" t="s">
        <v>1188</v>
      </c>
      <c r="Y182" t="s">
        <v>1189</v>
      </c>
      <c r="Z182" t="s">
        <v>1239</v>
      </c>
      <c r="AA182" t="s">
        <v>1774</v>
      </c>
      <c r="AB182" t="s">
        <v>1190</v>
      </c>
      <c r="AC182" t="s">
        <v>1525</v>
      </c>
      <c r="AD182" t="s">
        <v>1526</v>
      </c>
      <c r="AE182" t="s">
        <v>1191</v>
      </c>
      <c r="AF182" t="s">
        <v>1527</v>
      </c>
      <c r="AG182" t="s">
        <v>1192</v>
      </c>
      <c r="AH182" t="s">
        <v>1728</v>
      </c>
      <c r="AI182" t="s">
        <v>1193</v>
      </c>
      <c r="AJ182" t="s">
        <v>1528</v>
      </c>
      <c r="AK182" t="s">
        <v>1194</v>
      </c>
      <c r="AL182" t="s">
        <v>1529</v>
      </c>
      <c r="AM182" t="s">
        <v>1240</v>
      </c>
      <c r="AN182" t="s">
        <v>1195</v>
      </c>
      <c r="AO182" t="s">
        <v>1241</v>
      </c>
      <c r="AP182" t="s">
        <v>1196</v>
      </c>
      <c r="AQ182" t="s">
        <v>1530</v>
      </c>
      <c r="AR182" t="s">
        <v>1531</v>
      </c>
      <c r="AS182" t="s">
        <v>1197</v>
      </c>
      <c r="AT182" t="s">
        <v>1198</v>
      </c>
      <c r="AU182" t="s">
        <v>1199</v>
      </c>
      <c r="AV182" t="s">
        <v>1200</v>
      </c>
      <c r="AW182" t="s">
        <v>1775</v>
      </c>
      <c r="AX182" t="s">
        <v>1201</v>
      </c>
      <c r="AY182" t="s">
        <v>1242</v>
      </c>
      <c r="AZ182" t="s">
        <v>1202</v>
      </c>
      <c r="BA182" t="s">
        <v>1203</v>
      </c>
      <c r="BB182" t="s">
        <v>1204</v>
      </c>
      <c r="BC182" t="s">
        <v>1532</v>
      </c>
      <c r="BD182" t="s">
        <v>1533</v>
      </c>
      <c r="BE182" t="s">
        <v>1534</v>
      </c>
      <c r="BF182" t="s">
        <v>1205</v>
      </c>
      <c r="BG182" t="s">
        <v>1206</v>
      </c>
      <c r="BH182" t="s">
        <v>1207</v>
      </c>
      <c r="BI182" t="s">
        <v>1208</v>
      </c>
      <c r="BJ182" t="s">
        <v>1209</v>
      </c>
      <c r="BK182" t="s">
        <v>1210</v>
      </c>
      <c r="BL182" t="s">
        <v>1535</v>
      </c>
      <c r="BM182" t="s">
        <v>1536</v>
      </c>
      <c r="BN182" t="s">
        <v>1211</v>
      </c>
      <c r="BO182" t="s">
        <v>1212</v>
      </c>
      <c r="BP182" t="s">
        <v>1537</v>
      </c>
      <c r="BQ182" t="s">
        <v>1776</v>
      </c>
      <c r="BR182" t="s">
        <v>1538</v>
      </c>
      <c r="BS182" t="s">
        <v>1243</v>
      </c>
      <c r="BT182" t="s">
        <v>1213</v>
      </c>
      <c r="BU182" t="s">
        <v>1539</v>
      </c>
      <c r="BV182" t="s">
        <v>1214</v>
      </c>
      <c r="BW182" t="s">
        <v>1540</v>
      </c>
      <c r="BX182" t="s">
        <v>1215</v>
      </c>
      <c r="BY182" t="s">
        <v>1541</v>
      </c>
      <c r="BZ182" t="s">
        <v>1216</v>
      </c>
      <c r="CA182" t="s">
        <v>1217</v>
      </c>
      <c r="CB182" t="s">
        <v>1218</v>
      </c>
      <c r="CC182" t="s">
        <v>1219</v>
      </c>
      <c r="CD182" t="s">
        <v>1220</v>
      </c>
      <c r="CE182" t="s">
        <v>1542</v>
      </c>
      <c r="CF182" t="s">
        <v>1221</v>
      </c>
      <c r="CG182" t="s">
        <v>1222</v>
      </c>
      <c r="CH182" t="s">
        <v>1223</v>
      </c>
      <c r="CI182" t="s">
        <v>1224</v>
      </c>
      <c r="CJ182" t="s">
        <v>1543</v>
      </c>
      <c r="CK182" t="s">
        <v>1544</v>
      </c>
      <c r="CL182" t="s">
        <v>1225</v>
      </c>
      <c r="CM182" t="s">
        <v>1226</v>
      </c>
      <c r="CN182" t="s">
        <v>1227</v>
      </c>
      <c r="CO182" t="s">
        <v>1545</v>
      </c>
      <c r="CP182" t="s">
        <v>1228</v>
      </c>
      <c r="CQ182" t="s">
        <v>1229</v>
      </c>
      <c r="CR182" t="s">
        <v>1230</v>
      </c>
      <c r="CS182" t="s">
        <v>1231</v>
      </c>
      <c r="CT182" t="s">
        <v>1546</v>
      </c>
      <c r="CU182" t="s">
        <v>1257</v>
      </c>
      <c r="CV182" t="s">
        <v>1232</v>
      </c>
      <c r="CW182" t="s">
        <v>1233</v>
      </c>
      <c r="CX182" t="s">
        <v>1234</v>
      </c>
      <c r="CY182" t="s">
        <v>1235</v>
      </c>
    </row>
    <row r="183" spans="1:103" x14ac:dyDescent="0.3">
      <c r="A183">
        <v>973</v>
      </c>
      <c r="B183" t="s">
        <v>1547</v>
      </c>
      <c r="D183">
        <v>0</v>
      </c>
      <c r="E183">
        <v>0</v>
      </c>
      <c r="F183">
        <v>0</v>
      </c>
      <c r="G183">
        <v>0</v>
      </c>
      <c r="H183">
        <v>0</v>
      </c>
      <c r="I183">
        <v>0</v>
      </c>
      <c r="J183">
        <v>0</v>
      </c>
      <c r="K183">
        <v>0</v>
      </c>
      <c r="L183">
        <v>0</v>
      </c>
      <c r="M183">
        <v>0</v>
      </c>
      <c r="N183">
        <v>0</v>
      </c>
      <c r="O183">
        <v>0</v>
      </c>
      <c r="P183">
        <v>0</v>
      </c>
      <c r="Q183">
        <v>0</v>
      </c>
      <c r="R183">
        <v>0</v>
      </c>
      <c r="S183">
        <v>0</v>
      </c>
      <c r="T183">
        <v>1</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row>
    <row r="184" spans="1:103" x14ac:dyDescent="0.3">
      <c r="A184">
        <v>974</v>
      </c>
      <c r="B184" t="s">
        <v>664</v>
      </c>
      <c r="D184">
        <v>2</v>
      </c>
      <c r="E184">
        <v>2</v>
      </c>
      <c r="F184">
        <v>2</v>
      </c>
      <c r="G184">
        <v>3</v>
      </c>
      <c r="H184">
        <v>2</v>
      </c>
      <c r="I184">
        <v>2</v>
      </c>
      <c r="J184">
        <v>2</v>
      </c>
      <c r="K184">
        <v>2</v>
      </c>
      <c r="L184">
        <v>2</v>
      </c>
      <c r="M184">
        <v>2</v>
      </c>
      <c r="N184">
        <v>2</v>
      </c>
      <c r="O184">
        <v>2</v>
      </c>
      <c r="P184">
        <v>2</v>
      </c>
      <c r="Q184">
        <v>2</v>
      </c>
      <c r="R184">
        <v>2</v>
      </c>
      <c r="S184">
        <v>2</v>
      </c>
      <c r="T184">
        <v>2</v>
      </c>
      <c r="U184">
        <v>2</v>
      </c>
      <c r="V184">
        <v>2</v>
      </c>
      <c r="W184">
        <v>2</v>
      </c>
      <c r="X184">
        <v>2</v>
      </c>
      <c r="Y184">
        <v>2</v>
      </c>
      <c r="Z184">
        <v>2</v>
      </c>
      <c r="AA184">
        <v>2</v>
      </c>
      <c r="AB184">
        <v>2</v>
      </c>
      <c r="AC184">
        <v>2</v>
      </c>
      <c r="AD184">
        <v>2</v>
      </c>
      <c r="AE184">
        <v>2</v>
      </c>
      <c r="AF184">
        <v>2</v>
      </c>
      <c r="AG184">
        <v>2</v>
      </c>
      <c r="AH184">
        <v>2</v>
      </c>
      <c r="AI184">
        <v>2</v>
      </c>
      <c r="AJ184">
        <v>2</v>
      </c>
      <c r="AK184">
        <v>2</v>
      </c>
      <c r="AL184">
        <v>2</v>
      </c>
      <c r="AM184">
        <v>2</v>
      </c>
      <c r="AN184">
        <v>2</v>
      </c>
      <c r="AO184">
        <v>2</v>
      </c>
      <c r="AP184">
        <v>2</v>
      </c>
      <c r="AQ184">
        <v>2</v>
      </c>
      <c r="AR184">
        <v>2</v>
      </c>
      <c r="AS184">
        <v>2</v>
      </c>
      <c r="AT184">
        <v>2</v>
      </c>
      <c r="AU184">
        <v>3</v>
      </c>
      <c r="AV184">
        <v>2</v>
      </c>
      <c r="AW184">
        <v>2</v>
      </c>
      <c r="AX184">
        <v>2</v>
      </c>
      <c r="AY184">
        <v>2</v>
      </c>
      <c r="AZ184">
        <v>2</v>
      </c>
      <c r="BA184">
        <v>2</v>
      </c>
      <c r="BB184">
        <v>2</v>
      </c>
      <c r="BC184">
        <v>2</v>
      </c>
      <c r="BD184">
        <v>2</v>
      </c>
      <c r="BE184">
        <v>2</v>
      </c>
      <c r="BF184">
        <v>2</v>
      </c>
      <c r="BG184">
        <v>2</v>
      </c>
      <c r="BH184">
        <v>2</v>
      </c>
      <c r="BI184">
        <v>2</v>
      </c>
      <c r="BJ184">
        <v>2</v>
      </c>
      <c r="BK184">
        <v>2</v>
      </c>
      <c r="BL184">
        <v>2</v>
      </c>
      <c r="BM184">
        <v>2</v>
      </c>
      <c r="BN184">
        <v>2</v>
      </c>
      <c r="BO184">
        <v>2</v>
      </c>
      <c r="BP184">
        <v>2</v>
      </c>
      <c r="BQ184">
        <v>2</v>
      </c>
      <c r="BR184">
        <v>2</v>
      </c>
      <c r="BS184">
        <v>2</v>
      </c>
      <c r="BT184">
        <v>2</v>
      </c>
      <c r="BU184">
        <v>2</v>
      </c>
      <c r="BV184">
        <v>2</v>
      </c>
      <c r="BW184">
        <v>2</v>
      </c>
      <c r="BX184">
        <v>2</v>
      </c>
      <c r="BY184">
        <v>2</v>
      </c>
      <c r="BZ184">
        <v>2</v>
      </c>
      <c r="CA184">
        <v>2</v>
      </c>
      <c r="CB184">
        <v>2</v>
      </c>
      <c r="CC184">
        <v>2</v>
      </c>
      <c r="CD184">
        <v>2</v>
      </c>
      <c r="CE184">
        <v>2</v>
      </c>
      <c r="CF184">
        <v>2</v>
      </c>
      <c r="CG184">
        <v>2</v>
      </c>
      <c r="CH184">
        <v>2</v>
      </c>
      <c r="CI184">
        <v>2</v>
      </c>
      <c r="CJ184">
        <v>3</v>
      </c>
      <c r="CK184">
        <v>2</v>
      </c>
      <c r="CL184">
        <v>2</v>
      </c>
      <c r="CM184">
        <v>2</v>
      </c>
      <c r="CN184">
        <v>2</v>
      </c>
      <c r="CO184">
        <v>2</v>
      </c>
      <c r="CP184">
        <v>2</v>
      </c>
      <c r="CQ184">
        <v>2</v>
      </c>
      <c r="CR184">
        <v>2</v>
      </c>
      <c r="CS184">
        <v>2</v>
      </c>
      <c r="CT184">
        <v>2</v>
      </c>
      <c r="CU184">
        <v>3</v>
      </c>
      <c r="CV184">
        <v>2</v>
      </c>
      <c r="CW184">
        <v>2</v>
      </c>
      <c r="CX184">
        <v>2</v>
      </c>
      <c r="CY184">
        <v>3</v>
      </c>
    </row>
    <row r="185" spans="1:103" x14ac:dyDescent="0.3">
      <c r="A185">
        <v>975</v>
      </c>
      <c r="B185" t="s">
        <v>416</v>
      </c>
      <c r="D185">
        <v>1</v>
      </c>
      <c r="E185">
        <v>2</v>
      </c>
      <c r="F185">
        <v>1</v>
      </c>
      <c r="G185">
        <v>1</v>
      </c>
      <c r="H185">
        <v>1</v>
      </c>
      <c r="I185">
        <v>1</v>
      </c>
      <c r="J185">
        <v>2</v>
      </c>
      <c r="K185">
        <v>1</v>
      </c>
      <c r="L185">
        <v>1</v>
      </c>
      <c r="M185">
        <v>2</v>
      </c>
      <c r="N185">
        <v>2</v>
      </c>
      <c r="O185">
        <v>2</v>
      </c>
      <c r="P185">
        <v>2</v>
      </c>
      <c r="Q185">
        <v>1</v>
      </c>
      <c r="R185">
        <v>2</v>
      </c>
      <c r="S185">
        <v>1</v>
      </c>
      <c r="T185">
        <v>1</v>
      </c>
      <c r="U185">
        <v>1</v>
      </c>
      <c r="V185">
        <v>1</v>
      </c>
      <c r="W185">
        <v>1</v>
      </c>
      <c r="X185">
        <v>2</v>
      </c>
      <c r="Y185">
        <v>1</v>
      </c>
      <c r="Z185">
        <v>1</v>
      </c>
      <c r="AA185">
        <v>1</v>
      </c>
      <c r="AB185">
        <v>2</v>
      </c>
      <c r="AC185">
        <v>1</v>
      </c>
      <c r="AD185">
        <v>1</v>
      </c>
      <c r="AE185">
        <v>2</v>
      </c>
      <c r="AF185">
        <v>1</v>
      </c>
      <c r="AG185">
        <v>1</v>
      </c>
      <c r="AH185">
        <v>1</v>
      </c>
      <c r="AI185">
        <v>2</v>
      </c>
      <c r="AJ185">
        <v>1</v>
      </c>
      <c r="AK185">
        <v>1</v>
      </c>
      <c r="AL185">
        <v>1</v>
      </c>
      <c r="AM185">
        <v>1</v>
      </c>
      <c r="AN185">
        <v>2</v>
      </c>
      <c r="AO185">
        <v>1</v>
      </c>
      <c r="AP185">
        <v>1</v>
      </c>
      <c r="AQ185">
        <v>1</v>
      </c>
      <c r="AR185">
        <v>2</v>
      </c>
      <c r="AS185">
        <v>1</v>
      </c>
      <c r="AT185">
        <v>1</v>
      </c>
      <c r="AU185">
        <v>2</v>
      </c>
      <c r="AV185">
        <v>1</v>
      </c>
      <c r="AW185">
        <v>1</v>
      </c>
      <c r="AX185">
        <v>1</v>
      </c>
      <c r="AY185">
        <v>1</v>
      </c>
      <c r="AZ185">
        <v>1</v>
      </c>
      <c r="BA185">
        <v>2</v>
      </c>
      <c r="BB185">
        <v>1</v>
      </c>
      <c r="BC185">
        <v>1</v>
      </c>
      <c r="BD185">
        <v>1</v>
      </c>
      <c r="BE185">
        <v>1</v>
      </c>
      <c r="BF185">
        <v>1</v>
      </c>
      <c r="BG185">
        <v>1</v>
      </c>
      <c r="BH185">
        <v>1</v>
      </c>
      <c r="BI185">
        <v>1</v>
      </c>
      <c r="BJ185">
        <v>1</v>
      </c>
      <c r="BK185">
        <v>1</v>
      </c>
      <c r="BL185">
        <v>2</v>
      </c>
      <c r="BM185">
        <v>1</v>
      </c>
      <c r="BN185">
        <v>2</v>
      </c>
      <c r="BO185">
        <v>1</v>
      </c>
      <c r="BP185">
        <v>2</v>
      </c>
      <c r="BQ185">
        <v>1</v>
      </c>
      <c r="BR185">
        <v>1</v>
      </c>
      <c r="BS185">
        <v>1</v>
      </c>
      <c r="BT185">
        <v>2</v>
      </c>
      <c r="BU185">
        <v>1</v>
      </c>
      <c r="BV185">
        <v>1</v>
      </c>
      <c r="BW185">
        <v>1</v>
      </c>
      <c r="BX185">
        <v>1</v>
      </c>
      <c r="BY185">
        <v>1</v>
      </c>
      <c r="BZ185">
        <v>2</v>
      </c>
      <c r="CA185">
        <v>2</v>
      </c>
      <c r="CB185">
        <v>1</v>
      </c>
      <c r="CC185">
        <v>1</v>
      </c>
      <c r="CD185">
        <v>1</v>
      </c>
      <c r="CE185">
        <v>2</v>
      </c>
      <c r="CF185">
        <v>2</v>
      </c>
      <c r="CG185">
        <v>1</v>
      </c>
      <c r="CH185">
        <v>1</v>
      </c>
      <c r="CI185">
        <v>1</v>
      </c>
      <c r="CJ185">
        <v>1</v>
      </c>
      <c r="CK185">
        <v>1</v>
      </c>
      <c r="CL185">
        <v>1</v>
      </c>
      <c r="CM185">
        <v>1</v>
      </c>
      <c r="CN185">
        <v>2</v>
      </c>
      <c r="CO185">
        <v>1</v>
      </c>
      <c r="CP185">
        <v>1</v>
      </c>
      <c r="CQ185">
        <v>2</v>
      </c>
      <c r="CR185">
        <v>1</v>
      </c>
      <c r="CS185">
        <v>1</v>
      </c>
      <c r="CT185">
        <v>2</v>
      </c>
      <c r="CU185">
        <v>1</v>
      </c>
      <c r="CV185">
        <v>1</v>
      </c>
      <c r="CW185">
        <v>2</v>
      </c>
      <c r="CX185">
        <v>1</v>
      </c>
      <c r="CY185">
        <v>1</v>
      </c>
    </row>
    <row r="186" spans="1:103" x14ac:dyDescent="0.3">
      <c r="A186">
        <v>979</v>
      </c>
      <c r="B186" t="s">
        <v>665</v>
      </c>
      <c r="D186">
        <v>1</v>
      </c>
      <c r="E186">
        <v>1</v>
      </c>
      <c r="F186">
        <v>1</v>
      </c>
      <c r="G186">
        <v>2</v>
      </c>
      <c r="H186">
        <v>2</v>
      </c>
      <c r="I186">
        <v>1</v>
      </c>
      <c r="J186">
        <v>1</v>
      </c>
      <c r="K186">
        <v>2</v>
      </c>
      <c r="L186">
        <v>1</v>
      </c>
      <c r="M186">
        <v>1</v>
      </c>
      <c r="N186">
        <v>1</v>
      </c>
      <c r="O186">
        <v>1</v>
      </c>
      <c r="P186">
        <v>1</v>
      </c>
      <c r="Q186">
        <v>1</v>
      </c>
      <c r="R186">
        <v>1</v>
      </c>
      <c r="S186">
        <v>2</v>
      </c>
      <c r="T186">
        <v>2</v>
      </c>
      <c r="U186">
        <v>1</v>
      </c>
      <c r="V186">
        <v>2</v>
      </c>
      <c r="W186">
        <v>2</v>
      </c>
      <c r="X186">
        <v>1</v>
      </c>
      <c r="Y186">
        <v>2</v>
      </c>
      <c r="Z186">
        <v>1</v>
      </c>
      <c r="AA186">
        <v>2</v>
      </c>
      <c r="AB186">
        <v>1</v>
      </c>
      <c r="AC186">
        <v>2</v>
      </c>
      <c r="AD186">
        <v>2</v>
      </c>
      <c r="AE186">
        <v>1</v>
      </c>
      <c r="AF186">
        <v>2</v>
      </c>
      <c r="AG186">
        <v>1</v>
      </c>
      <c r="AH186">
        <v>2</v>
      </c>
      <c r="AI186">
        <v>1</v>
      </c>
      <c r="AJ186">
        <v>2</v>
      </c>
      <c r="AK186">
        <v>2</v>
      </c>
      <c r="AL186">
        <v>2</v>
      </c>
      <c r="AM186">
        <v>2</v>
      </c>
      <c r="AN186">
        <v>1</v>
      </c>
      <c r="AO186">
        <v>2</v>
      </c>
      <c r="AP186">
        <v>2</v>
      </c>
      <c r="AQ186">
        <v>2</v>
      </c>
      <c r="AR186">
        <v>1</v>
      </c>
      <c r="AS186">
        <v>2</v>
      </c>
      <c r="AT186">
        <v>2</v>
      </c>
      <c r="AU186">
        <v>2</v>
      </c>
      <c r="AV186">
        <v>1</v>
      </c>
      <c r="AW186">
        <v>2</v>
      </c>
      <c r="AX186">
        <v>1</v>
      </c>
      <c r="AY186">
        <v>2</v>
      </c>
      <c r="AZ186">
        <v>2</v>
      </c>
      <c r="BA186">
        <v>1</v>
      </c>
      <c r="BB186">
        <v>2</v>
      </c>
      <c r="BC186">
        <v>2</v>
      </c>
      <c r="BD186">
        <v>1</v>
      </c>
      <c r="BE186">
        <v>1</v>
      </c>
      <c r="BF186">
        <v>1</v>
      </c>
      <c r="BG186">
        <v>1</v>
      </c>
      <c r="BH186">
        <v>2</v>
      </c>
      <c r="BI186">
        <v>1</v>
      </c>
      <c r="BJ186">
        <v>2</v>
      </c>
      <c r="BK186">
        <v>2</v>
      </c>
      <c r="BL186">
        <v>1</v>
      </c>
      <c r="BM186">
        <v>2</v>
      </c>
      <c r="BN186">
        <v>1</v>
      </c>
      <c r="BO186">
        <v>1</v>
      </c>
      <c r="BP186">
        <v>1</v>
      </c>
      <c r="BQ186">
        <v>2</v>
      </c>
      <c r="BR186">
        <v>2</v>
      </c>
      <c r="BS186">
        <v>2</v>
      </c>
      <c r="BT186">
        <v>1</v>
      </c>
      <c r="BU186">
        <v>2</v>
      </c>
      <c r="BV186">
        <v>2</v>
      </c>
      <c r="BW186">
        <v>1</v>
      </c>
      <c r="BX186">
        <v>1</v>
      </c>
      <c r="BY186">
        <v>1</v>
      </c>
      <c r="BZ186">
        <v>1</v>
      </c>
      <c r="CA186">
        <v>1</v>
      </c>
      <c r="CB186">
        <v>2</v>
      </c>
      <c r="CC186">
        <v>2</v>
      </c>
      <c r="CD186">
        <v>1</v>
      </c>
      <c r="CE186">
        <v>1</v>
      </c>
      <c r="CF186">
        <v>1</v>
      </c>
      <c r="CG186">
        <v>2</v>
      </c>
      <c r="CH186">
        <v>2</v>
      </c>
      <c r="CI186">
        <v>1</v>
      </c>
      <c r="CJ186">
        <v>2</v>
      </c>
      <c r="CK186">
        <v>2</v>
      </c>
      <c r="CL186">
        <v>2</v>
      </c>
      <c r="CM186">
        <v>2</v>
      </c>
      <c r="CN186">
        <v>1</v>
      </c>
      <c r="CO186">
        <v>1</v>
      </c>
      <c r="CP186">
        <v>2</v>
      </c>
      <c r="CQ186">
        <v>1</v>
      </c>
      <c r="CR186">
        <v>2</v>
      </c>
      <c r="CS186">
        <v>1</v>
      </c>
      <c r="CT186">
        <v>1</v>
      </c>
      <c r="CU186">
        <v>1</v>
      </c>
      <c r="CV186">
        <v>2</v>
      </c>
      <c r="CW186">
        <v>1</v>
      </c>
      <c r="CX186">
        <v>1</v>
      </c>
      <c r="CY186">
        <v>2</v>
      </c>
    </row>
    <row r="187" spans="1:103" x14ac:dyDescent="0.3">
      <c r="A187">
        <v>980</v>
      </c>
      <c r="B187" t="s">
        <v>406</v>
      </c>
      <c r="D187" t="s">
        <v>1548</v>
      </c>
      <c r="E187" t="s">
        <v>1549</v>
      </c>
      <c r="F187" t="s">
        <v>1550</v>
      </c>
      <c r="G187" t="s">
        <v>1777</v>
      </c>
      <c r="H187" t="s">
        <v>1551</v>
      </c>
      <c r="I187" t="s">
        <v>1548</v>
      </c>
      <c r="J187" t="s">
        <v>1500</v>
      </c>
      <c r="K187" t="s">
        <v>1472</v>
      </c>
      <c r="L187" t="s">
        <v>1550</v>
      </c>
      <c r="M187" t="s">
        <v>1549</v>
      </c>
      <c r="N187" t="s">
        <v>1548</v>
      </c>
      <c r="O187" t="s">
        <v>1549</v>
      </c>
      <c r="P187" t="s">
        <v>1549</v>
      </c>
      <c r="Q187" t="s">
        <v>1548</v>
      </c>
      <c r="R187" t="s">
        <v>1552</v>
      </c>
      <c r="S187" t="s">
        <v>1500</v>
      </c>
      <c r="T187" t="s">
        <v>1778</v>
      </c>
      <c r="U187" t="s">
        <v>1550</v>
      </c>
      <c r="V187" t="s">
        <v>1553</v>
      </c>
      <c r="W187" t="s">
        <v>1779</v>
      </c>
      <c r="X187" t="s">
        <v>1554</v>
      </c>
      <c r="Y187" t="s">
        <v>1555</v>
      </c>
      <c r="Z187" t="s">
        <v>1553</v>
      </c>
      <c r="AA187" t="s">
        <v>1765</v>
      </c>
      <c r="AB187" t="s">
        <v>1556</v>
      </c>
      <c r="AC187" t="s">
        <v>1553</v>
      </c>
      <c r="AD187" t="s">
        <v>1467</v>
      </c>
      <c r="AE187" t="s">
        <v>1549</v>
      </c>
      <c r="AF187" t="s">
        <v>1555</v>
      </c>
      <c r="AG187" t="s">
        <v>1548</v>
      </c>
      <c r="AH187" t="s">
        <v>1729</v>
      </c>
      <c r="AI187" t="s">
        <v>1549</v>
      </c>
      <c r="AJ187" t="s">
        <v>1467</v>
      </c>
      <c r="AK187" t="s">
        <v>1557</v>
      </c>
      <c r="AL187" t="s">
        <v>1467</v>
      </c>
      <c r="AM187" t="s">
        <v>1558</v>
      </c>
      <c r="AN187" t="s">
        <v>1549</v>
      </c>
      <c r="AO187" t="s">
        <v>1553</v>
      </c>
      <c r="AP187" t="s">
        <v>1467</v>
      </c>
      <c r="AQ187" t="s">
        <v>1551</v>
      </c>
      <c r="AR187" t="s">
        <v>1470</v>
      </c>
      <c r="AS187" t="s">
        <v>1548</v>
      </c>
      <c r="AT187" t="s">
        <v>1467</v>
      </c>
      <c r="AU187" t="s">
        <v>1559</v>
      </c>
      <c r="AV187" t="s">
        <v>1548</v>
      </c>
      <c r="AW187" t="s">
        <v>1780</v>
      </c>
      <c r="AX187" t="s">
        <v>1559</v>
      </c>
      <c r="AY187" t="s">
        <v>1718</v>
      </c>
      <c r="AZ187" t="s">
        <v>1487</v>
      </c>
      <c r="BA187" t="s">
        <v>1549</v>
      </c>
      <c r="BB187" t="s">
        <v>1467</v>
      </c>
      <c r="BC187" t="s">
        <v>1560</v>
      </c>
      <c r="BD187" t="s">
        <v>1550</v>
      </c>
      <c r="BE187" t="s">
        <v>1464</v>
      </c>
      <c r="BF187" t="s">
        <v>1550</v>
      </c>
      <c r="BG187" t="s">
        <v>1561</v>
      </c>
      <c r="BH187" t="s">
        <v>1479</v>
      </c>
      <c r="BI187" t="s">
        <v>1457</v>
      </c>
      <c r="BJ187" t="s">
        <v>1550</v>
      </c>
      <c r="BK187" t="s">
        <v>1485</v>
      </c>
      <c r="BL187" t="s">
        <v>1549</v>
      </c>
      <c r="BM187" t="s">
        <v>1485</v>
      </c>
      <c r="BN187" t="s">
        <v>1552</v>
      </c>
      <c r="BO187" t="s">
        <v>1548</v>
      </c>
      <c r="BP187" t="s">
        <v>1549</v>
      </c>
      <c r="BQ187" t="s">
        <v>1781</v>
      </c>
      <c r="BR187" t="s">
        <v>1551</v>
      </c>
      <c r="BS187" t="s">
        <v>1553</v>
      </c>
      <c r="BT187" t="s">
        <v>1553</v>
      </c>
      <c r="BU187" t="s">
        <v>1472</v>
      </c>
      <c r="BV187" t="s">
        <v>1469</v>
      </c>
      <c r="BW187" t="s">
        <v>1562</v>
      </c>
      <c r="BX187" t="s">
        <v>1563</v>
      </c>
      <c r="BY187" t="s">
        <v>1548</v>
      </c>
      <c r="BZ187" t="s">
        <v>1549</v>
      </c>
      <c r="CA187" t="s">
        <v>1549</v>
      </c>
      <c r="CB187" t="s">
        <v>1487</v>
      </c>
      <c r="CC187" t="s">
        <v>1564</v>
      </c>
      <c r="CD187" t="s">
        <v>1563</v>
      </c>
      <c r="CE187" t="s">
        <v>1549</v>
      </c>
      <c r="CF187" t="s">
        <v>1548</v>
      </c>
      <c r="CG187" t="s">
        <v>1565</v>
      </c>
      <c r="CH187" t="s">
        <v>1566</v>
      </c>
      <c r="CI187" t="s">
        <v>1563</v>
      </c>
      <c r="CJ187" t="s">
        <v>1567</v>
      </c>
      <c r="CK187" t="s">
        <v>1553</v>
      </c>
      <c r="CL187" t="s">
        <v>1568</v>
      </c>
      <c r="CM187" t="s">
        <v>1569</v>
      </c>
      <c r="CN187" t="s">
        <v>1570</v>
      </c>
      <c r="CO187" t="s">
        <v>1550</v>
      </c>
      <c r="CP187" t="s">
        <v>1467</v>
      </c>
      <c r="CQ187" t="s">
        <v>1559</v>
      </c>
      <c r="CR187" t="s">
        <v>1551</v>
      </c>
      <c r="CS187" t="s">
        <v>1548</v>
      </c>
      <c r="CT187" t="s">
        <v>1571</v>
      </c>
      <c r="CU187" t="s">
        <v>1571</v>
      </c>
      <c r="CV187" t="s">
        <v>1572</v>
      </c>
      <c r="CW187" t="s">
        <v>1549</v>
      </c>
      <c r="CX187" t="s">
        <v>1573</v>
      </c>
      <c r="CY187" t="s">
        <v>1500</v>
      </c>
    </row>
    <row r="188" spans="1:103" x14ac:dyDescent="0.3">
      <c r="A188">
        <v>984</v>
      </c>
      <c r="B188" t="s">
        <v>668</v>
      </c>
      <c r="D188">
        <v>103813114</v>
      </c>
      <c r="E188">
        <v>22034571</v>
      </c>
      <c r="F188">
        <v>11681536</v>
      </c>
      <c r="G188">
        <v>16084163</v>
      </c>
      <c r="H188">
        <v>21547414</v>
      </c>
      <c r="I188">
        <v>20712223</v>
      </c>
      <c r="J188">
        <v>38641076</v>
      </c>
      <c r="K188">
        <v>12362018</v>
      </c>
      <c r="L188">
        <v>25568140</v>
      </c>
      <c r="M188">
        <v>154831528</v>
      </c>
      <c r="N188">
        <v>235895731</v>
      </c>
      <c r="O188">
        <v>52522312</v>
      </c>
      <c r="P188">
        <v>222604848</v>
      </c>
      <c r="Q188">
        <v>52817029</v>
      </c>
      <c r="R188">
        <v>10564230</v>
      </c>
      <c r="S188">
        <v>55953765</v>
      </c>
      <c r="T188">
        <v>12928113</v>
      </c>
      <c r="U188">
        <v>115081281</v>
      </c>
      <c r="V188">
        <v>92588704</v>
      </c>
      <c r="W188">
        <v>19488079</v>
      </c>
      <c r="X188">
        <v>11770734</v>
      </c>
      <c r="Y188">
        <v>9040462</v>
      </c>
      <c r="Z188">
        <v>72849603</v>
      </c>
      <c r="AA188">
        <v>34190779</v>
      </c>
      <c r="AB188">
        <v>57451585</v>
      </c>
      <c r="AC188">
        <v>197040941</v>
      </c>
      <c r="AD188">
        <v>37614847</v>
      </c>
      <c r="AE188">
        <v>68476872</v>
      </c>
      <c r="AF188">
        <v>95102141</v>
      </c>
      <c r="AG188">
        <v>54683528</v>
      </c>
      <c r="AH188">
        <v>34515215</v>
      </c>
      <c r="AI188">
        <v>340372315</v>
      </c>
      <c r="AJ188">
        <v>34041737</v>
      </c>
      <c r="AK188">
        <v>294120682</v>
      </c>
      <c r="AL188">
        <v>53252462</v>
      </c>
      <c r="AM188">
        <v>176052140</v>
      </c>
      <c r="AN188">
        <v>7776493</v>
      </c>
      <c r="AO188">
        <v>7847428</v>
      </c>
      <c r="AP188">
        <v>44058604</v>
      </c>
      <c r="AQ188">
        <v>10111842</v>
      </c>
      <c r="AR188">
        <v>6442761</v>
      </c>
      <c r="AS188">
        <v>31068199</v>
      </c>
      <c r="AT188">
        <v>73671144</v>
      </c>
      <c r="AU188">
        <v>51988684</v>
      </c>
      <c r="AV188">
        <v>95544123</v>
      </c>
      <c r="AW188">
        <v>14583539</v>
      </c>
      <c r="AX188">
        <v>30420204</v>
      </c>
      <c r="AY188">
        <v>7517377</v>
      </c>
      <c r="AZ188">
        <v>152759239</v>
      </c>
      <c r="BA188">
        <v>41944102</v>
      </c>
      <c r="BB188">
        <v>176185135</v>
      </c>
      <c r="BC188">
        <v>6988829</v>
      </c>
      <c r="BD188">
        <v>50164648</v>
      </c>
      <c r="BE188">
        <v>36302496</v>
      </c>
      <c r="BF188">
        <v>74006315</v>
      </c>
      <c r="BG188">
        <v>33855016</v>
      </c>
      <c r="BH188">
        <v>14390254</v>
      </c>
      <c r="BI188">
        <v>16542009</v>
      </c>
      <c r="BJ188">
        <v>27526034</v>
      </c>
      <c r="BK188">
        <v>964698765</v>
      </c>
      <c r="BL188">
        <v>10642838</v>
      </c>
      <c r="BM188">
        <v>22212559</v>
      </c>
      <c r="BN188">
        <v>74056447</v>
      </c>
      <c r="BO188">
        <v>55621394</v>
      </c>
      <c r="BP188">
        <v>208873504</v>
      </c>
      <c r="BQ188">
        <v>21286850</v>
      </c>
      <c r="BR188">
        <v>110776008</v>
      </c>
      <c r="BS188">
        <v>181453366</v>
      </c>
      <c r="BT188">
        <v>12229313</v>
      </c>
      <c r="BU188">
        <v>26545569</v>
      </c>
      <c r="BV188">
        <v>56231708</v>
      </c>
      <c r="BW188">
        <v>9892964</v>
      </c>
      <c r="BX188">
        <v>38172626</v>
      </c>
      <c r="BY188">
        <v>106943444</v>
      </c>
      <c r="BZ188">
        <v>18166692</v>
      </c>
      <c r="CA188">
        <v>77405382</v>
      </c>
      <c r="CB188">
        <v>30157601</v>
      </c>
      <c r="CC188">
        <v>61664080</v>
      </c>
      <c r="CD188">
        <v>56422574</v>
      </c>
      <c r="CE188">
        <v>93892819</v>
      </c>
      <c r="CF188">
        <v>48109309</v>
      </c>
      <c r="CG188">
        <v>42186424</v>
      </c>
      <c r="CH188">
        <v>24011604</v>
      </c>
      <c r="CI188">
        <v>37003554</v>
      </c>
      <c r="CJ188">
        <v>14460253</v>
      </c>
      <c r="CK188">
        <v>39004965</v>
      </c>
      <c r="CL188">
        <v>7223261</v>
      </c>
      <c r="CM188">
        <v>42177883</v>
      </c>
      <c r="CN188">
        <v>4822977</v>
      </c>
      <c r="CO188">
        <v>218376814</v>
      </c>
      <c r="CP188">
        <v>26081016</v>
      </c>
      <c r="CQ188">
        <v>1159132141</v>
      </c>
      <c r="CR188">
        <v>20819003</v>
      </c>
      <c r="CS188">
        <v>8392953</v>
      </c>
      <c r="CT188">
        <v>39147623</v>
      </c>
      <c r="CU188">
        <v>65944730</v>
      </c>
      <c r="CV188">
        <v>40883594</v>
      </c>
      <c r="CW188">
        <v>57673864</v>
      </c>
      <c r="CX188">
        <v>20981714</v>
      </c>
      <c r="CY188">
        <v>14272301</v>
      </c>
    </row>
    <row r="189" spans="1:103" x14ac:dyDescent="0.3">
      <c r="A189">
        <v>985</v>
      </c>
      <c r="B189" t="s">
        <v>669</v>
      </c>
      <c r="D189">
        <v>102169483</v>
      </c>
      <c r="E189">
        <v>21208064</v>
      </c>
      <c r="F189">
        <v>11078032</v>
      </c>
      <c r="G189">
        <v>15616626</v>
      </c>
      <c r="H189">
        <v>21046956</v>
      </c>
      <c r="I189">
        <v>20000000</v>
      </c>
      <c r="J189">
        <v>37661057</v>
      </c>
      <c r="K189">
        <v>12392707</v>
      </c>
      <c r="L189">
        <v>25162060</v>
      </c>
      <c r="M189">
        <v>150878878</v>
      </c>
      <c r="N189">
        <v>233596662</v>
      </c>
      <c r="O189">
        <v>50630000</v>
      </c>
      <c r="P189">
        <v>213023933</v>
      </c>
      <c r="Q189">
        <v>50722350</v>
      </c>
      <c r="R189">
        <v>10160259</v>
      </c>
      <c r="S189">
        <v>55260000</v>
      </c>
      <c r="T189">
        <v>12858000</v>
      </c>
      <c r="U189">
        <v>108699000</v>
      </c>
      <c r="V189">
        <v>91227318</v>
      </c>
      <c r="W189">
        <v>19131952</v>
      </c>
      <c r="X189">
        <v>11400137</v>
      </c>
      <c r="Y189">
        <v>9033719</v>
      </c>
      <c r="Z189">
        <v>71355662</v>
      </c>
      <c r="AA189">
        <v>34154867</v>
      </c>
      <c r="AB189">
        <v>56119356</v>
      </c>
      <c r="AC189">
        <v>193371264</v>
      </c>
      <c r="AD189">
        <v>36255533</v>
      </c>
      <c r="AE189">
        <v>68057241</v>
      </c>
      <c r="AF189">
        <v>94015600</v>
      </c>
      <c r="AG189">
        <v>56018984</v>
      </c>
      <c r="AH189">
        <v>33643831</v>
      </c>
      <c r="AI189">
        <v>331217899</v>
      </c>
      <c r="AJ189">
        <v>31945000</v>
      </c>
      <c r="AK189">
        <v>288955215</v>
      </c>
      <c r="AL189">
        <v>51549061</v>
      </c>
      <c r="AM189">
        <v>169149588</v>
      </c>
      <c r="AN189">
        <v>7536090</v>
      </c>
      <c r="AO189">
        <v>7853641</v>
      </c>
      <c r="AP189">
        <v>43592772</v>
      </c>
      <c r="AQ189">
        <v>9666000</v>
      </c>
      <c r="AR189">
        <v>4000000</v>
      </c>
      <c r="AS189">
        <v>29499000</v>
      </c>
      <c r="AT189">
        <v>72701330</v>
      </c>
      <c r="AU189">
        <v>48505123</v>
      </c>
      <c r="AV189">
        <v>92107728</v>
      </c>
      <c r="AW189">
        <v>14380155</v>
      </c>
      <c r="AX189">
        <v>29448486</v>
      </c>
      <c r="AY189">
        <v>7805493</v>
      </c>
      <c r="AZ189">
        <v>148844270</v>
      </c>
      <c r="BA189">
        <v>42063852</v>
      </c>
      <c r="BB189">
        <v>167080000</v>
      </c>
      <c r="BC189">
        <v>6823321</v>
      </c>
      <c r="BD189">
        <v>48016740</v>
      </c>
      <c r="BE189">
        <v>34213766</v>
      </c>
      <c r="BF189">
        <v>72222213</v>
      </c>
      <c r="BG189">
        <v>33785669</v>
      </c>
      <c r="BH189">
        <v>14156694</v>
      </c>
      <c r="BI189">
        <v>16281238</v>
      </c>
      <c r="BJ189">
        <v>27447133</v>
      </c>
      <c r="BK189">
        <v>952349133</v>
      </c>
      <c r="BL189">
        <v>10697489</v>
      </c>
      <c r="BM189">
        <v>21466000</v>
      </c>
      <c r="BN189">
        <v>72317287</v>
      </c>
      <c r="BO189">
        <v>52580481</v>
      </c>
      <c r="BP189">
        <v>206014300</v>
      </c>
      <c r="BQ189">
        <v>21413233</v>
      </c>
      <c r="BR189">
        <v>109033385</v>
      </c>
      <c r="BS189">
        <v>177929931</v>
      </c>
      <c r="BT189">
        <v>12210698</v>
      </c>
      <c r="BU189">
        <v>26153941</v>
      </c>
      <c r="BV189">
        <v>55529913</v>
      </c>
      <c r="BW189">
        <v>9533058</v>
      </c>
      <c r="BX189">
        <v>36542460</v>
      </c>
      <c r="BY189">
        <v>103292578</v>
      </c>
      <c r="BZ189">
        <v>17964736</v>
      </c>
      <c r="CA189">
        <v>75705914</v>
      </c>
      <c r="CB189">
        <v>29623877</v>
      </c>
      <c r="CC189">
        <v>55972365</v>
      </c>
      <c r="CD189">
        <v>55031256</v>
      </c>
      <c r="CE189">
        <v>89130000</v>
      </c>
      <c r="CF189">
        <v>47067888</v>
      </c>
      <c r="CG189">
        <v>41945813</v>
      </c>
      <c r="CH189">
        <v>24311000</v>
      </c>
      <c r="CI189">
        <v>36558239</v>
      </c>
      <c r="CJ189">
        <v>14325864</v>
      </c>
      <c r="CK189">
        <v>37392733</v>
      </c>
      <c r="CL189">
        <v>7214200</v>
      </c>
      <c r="CM189">
        <v>41369810</v>
      </c>
      <c r="CN189">
        <v>4601481</v>
      </c>
      <c r="CO189">
        <v>213098520</v>
      </c>
      <c r="CP189">
        <v>25065725</v>
      </c>
      <c r="CQ189">
        <v>1141825000</v>
      </c>
      <c r="CR189">
        <v>20214151</v>
      </c>
      <c r="CS189">
        <v>8365725</v>
      </c>
      <c r="CT189">
        <v>38267926</v>
      </c>
      <c r="CU189">
        <v>64298594</v>
      </c>
      <c r="CV189">
        <v>39956830</v>
      </c>
      <c r="CW189">
        <v>54420000</v>
      </c>
      <c r="CX189">
        <v>20554000</v>
      </c>
      <c r="CY189">
        <v>14140000</v>
      </c>
    </row>
    <row r="190" spans="1:103" x14ac:dyDescent="0.3">
      <c r="A190">
        <v>986</v>
      </c>
      <c r="B190" t="s">
        <v>407</v>
      </c>
      <c r="D190">
        <v>0</v>
      </c>
      <c r="E190">
        <v>0</v>
      </c>
      <c r="F190">
        <v>0</v>
      </c>
      <c r="G190">
        <v>0</v>
      </c>
      <c r="H190">
        <v>0</v>
      </c>
      <c r="I190">
        <v>0</v>
      </c>
      <c r="J190">
        <v>0</v>
      </c>
      <c r="K190">
        <v>0</v>
      </c>
      <c r="L190">
        <v>0</v>
      </c>
      <c r="M190">
        <v>0</v>
      </c>
      <c r="N190">
        <v>0</v>
      </c>
      <c r="O190">
        <v>0</v>
      </c>
      <c r="P190">
        <v>0</v>
      </c>
      <c r="Q190">
        <v>0</v>
      </c>
      <c r="R190">
        <v>0</v>
      </c>
      <c r="S190">
        <v>372670</v>
      </c>
      <c r="T190">
        <v>0</v>
      </c>
      <c r="U190">
        <v>0</v>
      </c>
      <c r="V190">
        <v>0</v>
      </c>
      <c r="W190">
        <v>0</v>
      </c>
      <c r="X190">
        <v>0</v>
      </c>
      <c r="Y190">
        <v>0</v>
      </c>
      <c r="Z190">
        <v>0</v>
      </c>
      <c r="AA190">
        <v>0</v>
      </c>
      <c r="AB190">
        <v>0</v>
      </c>
      <c r="AC190">
        <v>0</v>
      </c>
      <c r="AD190">
        <v>0</v>
      </c>
      <c r="AE190">
        <v>0</v>
      </c>
      <c r="AF190">
        <v>900950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368212</v>
      </c>
      <c r="CE190">
        <v>0</v>
      </c>
      <c r="CF190">
        <v>0</v>
      </c>
      <c r="CG190">
        <v>0</v>
      </c>
      <c r="CH190">
        <v>0</v>
      </c>
      <c r="CI190">
        <v>0</v>
      </c>
      <c r="CJ190">
        <v>0</v>
      </c>
      <c r="CK190">
        <v>0</v>
      </c>
      <c r="CL190">
        <v>0</v>
      </c>
      <c r="CM190">
        <v>0</v>
      </c>
      <c r="CN190">
        <v>0</v>
      </c>
      <c r="CO190">
        <v>0</v>
      </c>
      <c r="CP190">
        <v>0</v>
      </c>
      <c r="CQ190">
        <v>0</v>
      </c>
      <c r="CR190">
        <v>0</v>
      </c>
      <c r="CS190">
        <v>0</v>
      </c>
      <c r="CT190">
        <v>0</v>
      </c>
      <c r="CU190">
        <v>0</v>
      </c>
      <c r="CV190">
        <v>0</v>
      </c>
      <c r="CW190">
        <v>0</v>
      </c>
      <c r="CX190">
        <v>0</v>
      </c>
      <c r="CY190">
        <v>0</v>
      </c>
    </row>
    <row r="191" spans="1:103" x14ac:dyDescent="0.3">
      <c r="A191">
        <v>987</v>
      </c>
      <c r="B191" t="s">
        <v>670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row>
    <row r="192" spans="1:103" x14ac:dyDescent="0.3">
      <c r="A192">
        <v>988</v>
      </c>
      <c r="B192" t="s">
        <v>671</v>
      </c>
      <c r="D192">
        <v>1</v>
      </c>
      <c r="E192">
        <v>2</v>
      </c>
      <c r="F192">
        <v>2</v>
      </c>
      <c r="G192">
        <v>2</v>
      </c>
      <c r="H192">
        <v>2</v>
      </c>
      <c r="I192">
        <v>2</v>
      </c>
      <c r="J192">
        <v>2</v>
      </c>
      <c r="K192">
        <v>2</v>
      </c>
      <c r="L192">
        <v>2</v>
      </c>
      <c r="M192">
        <v>2</v>
      </c>
      <c r="N192">
        <v>2</v>
      </c>
      <c r="O192">
        <v>2</v>
      </c>
      <c r="P192">
        <v>1</v>
      </c>
      <c r="Q192">
        <v>2</v>
      </c>
      <c r="R192">
        <v>2</v>
      </c>
      <c r="S192">
        <v>2</v>
      </c>
      <c r="T192">
        <v>2</v>
      </c>
      <c r="U192">
        <v>2</v>
      </c>
      <c r="V192">
        <v>2</v>
      </c>
      <c r="W192">
        <v>2</v>
      </c>
      <c r="X192">
        <v>2</v>
      </c>
      <c r="Y192">
        <v>2</v>
      </c>
      <c r="Z192">
        <v>2</v>
      </c>
      <c r="AA192">
        <v>2</v>
      </c>
      <c r="AB192">
        <v>2</v>
      </c>
      <c r="AC192">
        <v>0</v>
      </c>
      <c r="AD192">
        <v>2</v>
      </c>
      <c r="AE192">
        <v>2</v>
      </c>
      <c r="AF192">
        <v>1</v>
      </c>
      <c r="AG192">
        <v>2</v>
      </c>
      <c r="AH192">
        <v>2</v>
      </c>
      <c r="AI192">
        <v>2</v>
      </c>
      <c r="AJ192">
        <v>2</v>
      </c>
      <c r="AK192">
        <v>2</v>
      </c>
      <c r="AL192">
        <v>2</v>
      </c>
      <c r="AM192">
        <v>2</v>
      </c>
      <c r="AN192">
        <v>2</v>
      </c>
      <c r="AO192">
        <v>2</v>
      </c>
      <c r="AP192">
        <v>2</v>
      </c>
      <c r="AQ192">
        <v>2</v>
      </c>
      <c r="AR192">
        <v>2</v>
      </c>
      <c r="AS192">
        <v>1</v>
      </c>
      <c r="AT192">
        <v>2</v>
      </c>
      <c r="AU192">
        <v>2</v>
      </c>
      <c r="AV192">
        <v>2</v>
      </c>
      <c r="AW192">
        <v>2</v>
      </c>
      <c r="AX192">
        <v>2</v>
      </c>
      <c r="AY192">
        <v>2</v>
      </c>
      <c r="AZ192">
        <v>2</v>
      </c>
      <c r="BA192">
        <v>1</v>
      </c>
      <c r="BB192">
        <v>1</v>
      </c>
      <c r="BC192">
        <v>2</v>
      </c>
      <c r="BD192">
        <v>2</v>
      </c>
      <c r="BE192">
        <v>2</v>
      </c>
      <c r="BF192">
        <v>2</v>
      </c>
      <c r="BG192">
        <v>1</v>
      </c>
      <c r="BH192">
        <v>2</v>
      </c>
      <c r="BI192">
        <v>2</v>
      </c>
      <c r="BJ192">
        <v>2</v>
      </c>
      <c r="BK192">
        <v>2</v>
      </c>
      <c r="BL192">
        <v>2</v>
      </c>
      <c r="BM192">
        <v>2</v>
      </c>
      <c r="BN192">
        <v>2</v>
      </c>
      <c r="BO192">
        <v>2</v>
      </c>
      <c r="BP192">
        <v>2</v>
      </c>
      <c r="BQ192">
        <v>2</v>
      </c>
      <c r="BR192">
        <v>2</v>
      </c>
      <c r="BS192">
        <v>2</v>
      </c>
      <c r="BT192">
        <v>2</v>
      </c>
      <c r="BU192">
        <v>2</v>
      </c>
      <c r="BV192">
        <v>2</v>
      </c>
      <c r="BW192">
        <v>2</v>
      </c>
      <c r="BX192">
        <v>2</v>
      </c>
      <c r="BY192">
        <v>2</v>
      </c>
      <c r="BZ192">
        <v>2</v>
      </c>
      <c r="CA192">
        <v>2</v>
      </c>
      <c r="CB192">
        <v>2</v>
      </c>
      <c r="CC192">
        <v>1</v>
      </c>
      <c r="CD192">
        <v>2</v>
      </c>
      <c r="CE192">
        <v>2</v>
      </c>
      <c r="CF192">
        <v>2</v>
      </c>
      <c r="CG192">
        <v>2</v>
      </c>
      <c r="CH192">
        <v>2</v>
      </c>
      <c r="CI192">
        <v>2</v>
      </c>
      <c r="CJ192">
        <v>2</v>
      </c>
      <c r="CK192">
        <v>2</v>
      </c>
      <c r="CL192">
        <v>2</v>
      </c>
      <c r="CM192">
        <v>1</v>
      </c>
      <c r="CN192">
        <v>2</v>
      </c>
      <c r="CO192">
        <v>2</v>
      </c>
      <c r="CP192">
        <v>2</v>
      </c>
      <c r="CQ192">
        <v>1</v>
      </c>
      <c r="CR192">
        <v>2</v>
      </c>
      <c r="CS192">
        <v>2</v>
      </c>
      <c r="CT192">
        <v>2</v>
      </c>
      <c r="CU192">
        <v>2</v>
      </c>
      <c r="CV192">
        <v>2</v>
      </c>
      <c r="CW192">
        <v>1</v>
      </c>
      <c r="CX192">
        <v>2</v>
      </c>
      <c r="CY192">
        <v>2</v>
      </c>
    </row>
    <row r="193" spans="1:103" x14ac:dyDescent="0.3">
      <c r="A193">
        <v>989</v>
      </c>
      <c r="B193" t="s">
        <v>672</v>
      </c>
      <c r="D193">
        <v>1</v>
      </c>
      <c r="E193">
        <v>3</v>
      </c>
      <c r="F193">
        <v>3</v>
      </c>
      <c r="G193">
        <v>3</v>
      </c>
      <c r="H193">
        <v>0</v>
      </c>
      <c r="I193">
        <v>3</v>
      </c>
      <c r="J193">
        <v>3</v>
      </c>
      <c r="K193">
        <v>3</v>
      </c>
      <c r="L193">
        <v>3</v>
      </c>
      <c r="M193">
        <v>1</v>
      </c>
      <c r="N193">
        <v>3</v>
      </c>
      <c r="O193">
        <v>3</v>
      </c>
      <c r="P193">
        <v>1</v>
      </c>
      <c r="Q193">
        <v>3</v>
      </c>
      <c r="R193">
        <v>3</v>
      </c>
      <c r="S193">
        <v>3</v>
      </c>
      <c r="T193">
        <v>3</v>
      </c>
      <c r="U193">
        <v>3</v>
      </c>
      <c r="V193">
        <v>3</v>
      </c>
      <c r="W193">
        <v>3</v>
      </c>
      <c r="X193">
        <v>3</v>
      </c>
      <c r="Y193">
        <v>3</v>
      </c>
      <c r="Z193">
        <v>3</v>
      </c>
      <c r="AA193">
        <v>3</v>
      </c>
      <c r="AB193">
        <v>3</v>
      </c>
      <c r="AC193">
        <v>0</v>
      </c>
      <c r="AD193">
        <v>3</v>
      </c>
      <c r="AE193">
        <v>3</v>
      </c>
      <c r="AF193">
        <v>1</v>
      </c>
      <c r="AG193">
        <v>3</v>
      </c>
      <c r="AH193">
        <v>3</v>
      </c>
      <c r="AI193">
        <v>3</v>
      </c>
      <c r="AJ193">
        <v>3</v>
      </c>
      <c r="AK193">
        <v>3</v>
      </c>
      <c r="AL193">
        <v>3</v>
      </c>
      <c r="AM193">
        <v>3</v>
      </c>
      <c r="AN193">
        <v>3</v>
      </c>
      <c r="AO193">
        <v>3</v>
      </c>
      <c r="AP193">
        <v>3</v>
      </c>
      <c r="AQ193">
        <v>3</v>
      </c>
      <c r="AR193">
        <v>3</v>
      </c>
      <c r="AS193">
        <v>1</v>
      </c>
      <c r="AT193">
        <v>3</v>
      </c>
      <c r="AU193">
        <v>3</v>
      </c>
      <c r="AV193">
        <v>3</v>
      </c>
      <c r="AW193">
        <v>3</v>
      </c>
      <c r="AX193">
        <v>3</v>
      </c>
      <c r="AY193">
        <v>3</v>
      </c>
      <c r="AZ193">
        <v>3</v>
      </c>
      <c r="BA193">
        <v>1</v>
      </c>
      <c r="BB193">
        <v>1</v>
      </c>
      <c r="BC193">
        <v>3</v>
      </c>
      <c r="BD193">
        <v>3</v>
      </c>
      <c r="BE193">
        <v>0</v>
      </c>
      <c r="BF193">
        <v>3</v>
      </c>
      <c r="BG193">
        <v>1</v>
      </c>
      <c r="BH193">
        <v>0</v>
      </c>
      <c r="BI193">
        <v>3</v>
      </c>
      <c r="BJ193">
        <v>3</v>
      </c>
      <c r="BK193">
        <v>3</v>
      </c>
      <c r="BL193">
        <v>3</v>
      </c>
      <c r="BM193">
        <v>3</v>
      </c>
      <c r="BN193">
        <v>3</v>
      </c>
      <c r="BO193">
        <v>3</v>
      </c>
      <c r="BP193">
        <v>3</v>
      </c>
      <c r="BQ193">
        <v>3</v>
      </c>
      <c r="BR193">
        <v>3</v>
      </c>
      <c r="BS193">
        <v>3</v>
      </c>
      <c r="BT193">
        <v>3</v>
      </c>
      <c r="BU193">
        <v>3</v>
      </c>
      <c r="BV193">
        <v>3</v>
      </c>
      <c r="BW193">
        <v>0</v>
      </c>
      <c r="BX193">
        <v>3</v>
      </c>
      <c r="BY193">
        <v>3</v>
      </c>
      <c r="BZ193">
        <v>3</v>
      </c>
      <c r="CA193">
        <v>3</v>
      </c>
      <c r="CB193">
        <v>3</v>
      </c>
      <c r="CC193">
        <v>1</v>
      </c>
      <c r="CD193">
        <v>3</v>
      </c>
      <c r="CE193">
        <v>3</v>
      </c>
      <c r="CF193">
        <v>3</v>
      </c>
      <c r="CG193">
        <v>3</v>
      </c>
      <c r="CH193">
        <v>3</v>
      </c>
      <c r="CI193">
        <v>3</v>
      </c>
      <c r="CJ193">
        <v>3</v>
      </c>
      <c r="CK193">
        <v>3</v>
      </c>
      <c r="CL193">
        <v>3</v>
      </c>
      <c r="CM193">
        <v>1</v>
      </c>
      <c r="CN193">
        <v>3</v>
      </c>
      <c r="CO193">
        <v>3</v>
      </c>
      <c r="CP193">
        <v>3</v>
      </c>
      <c r="CQ193">
        <v>1</v>
      </c>
      <c r="CR193">
        <v>3</v>
      </c>
      <c r="CS193">
        <v>3</v>
      </c>
      <c r="CT193">
        <v>3</v>
      </c>
      <c r="CU193">
        <v>3</v>
      </c>
      <c r="CV193">
        <v>3</v>
      </c>
      <c r="CW193">
        <v>1</v>
      </c>
      <c r="CX193">
        <v>3</v>
      </c>
      <c r="CY193">
        <v>3</v>
      </c>
    </row>
    <row r="194" spans="1:103" x14ac:dyDescent="0.3">
      <c r="A194">
        <v>991</v>
      </c>
      <c r="B194" t="s">
        <v>673</v>
      </c>
      <c r="D194">
        <v>20</v>
      </c>
      <c r="E194">
        <v>20</v>
      </c>
      <c r="F194">
        <v>23</v>
      </c>
      <c r="G194">
        <v>23</v>
      </c>
      <c r="H194">
        <v>20</v>
      </c>
      <c r="I194">
        <v>23</v>
      </c>
      <c r="J194">
        <v>23</v>
      </c>
      <c r="K194">
        <v>23</v>
      </c>
      <c r="L194">
        <v>23</v>
      </c>
      <c r="M194">
        <v>20</v>
      </c>
      <c r="N194">
        <v>23</v>
      </c>
      <c r="O194">
        <v>20</v>
      </c>
      <c r="P194">
        <v>23</v>
      </c>
      <c r="Q194">
        <v>23</v>
      </c>
      <c r="R194">
        <v>22</v>
      </c>
      <c r="S194">
        <v>23</v>
      </c>
      <c r="T194">
        <v>20</v>
      </c>
      <c r="U194">
        <v>20</v>
      </c>
      <c r="V194">
        <v>23</v>
      </c>
      <c r="W194">
        <v>23</v>
      </c>
      <c r="X194">
        <v>23</v>
      </c>
      <c r="Y194">
        <v>23</v>
      </c>
      <c r="Z194">
        <v>23</v>
      </c>
      <c r="AA194">
        <v>23</v>
      </c>
      <c r="AB194">
        <v>20</v>
      </c>
      <c r="AC194">
        <v>23</v>
      </c>
      <c r="AD194">
        <v>23</v>
      </c>
      <c r="AE194">
        <v>23</v>
      </c>
      <c r="AF194">
        <v>23</v>
      </c>
      <c r="AG194">
        <v>23</v>
      </c>
      <c r="AH194">
        <v>22</v>
      </c>
      <c r="AI194">
        <v>23</v>
      </c>
      <c r="AJ194">
        <v>23</v>
      </c>
      <c r="AK194">
        <v>23</v>
      </c>
      <c r="AL194">
        <v>23</v>
      </c>
      <c r="AM194">
        <v>20</v>
      </c>
      <c r="AN194">
        <v>23</v>
      </c>
      <c r="AO194">
        <v>20</v>
      </c>
      <c r="AP194">
        <v>23</v>
      </c>
      <c r="AQ194">
        <v>22</v>
      </c>
      <c r="AR194">
        <v>23</v>
      </c>
      <c r="AS194">
        <v>23</v>
      </c>
      <c r="AT194">
        <v>23</v>
      </c>
      <c r="AU194">
        <v>23</v>
      </c>
      <c r="AV194">
        <v>20</v>
      </c>
      <c r="AW194">
        <v>23</v>
      </c>
      <c r="AX194">
        <v>23</v>
      </c>
      <c r="AY194">
        <v>20</v>
      </c>
      <c r="AZ194">
        <v>20</v>
      </c>
      <c r="BA194">
        <v>23</v>
      </c>
      <c r="BB194">
        <v>23</v>
      </c>
      <c r="BC194">
        <v>20</v>
      </c>
      <c r="BD194">
        <v>20</v>
      </c>
      <c r="BE194">
        <v>23</v>
      </c>
      <c r="BF194">
        <v>20</v>
      </c>
      <c r="BG194">
        <v>20</v>
      </c>
      <c r="BH194">
        <v>23</v>
      </c>
      <c r="BI194">
        <v>23</v>
      </c>
      <c r="BJ194">
        <v>20</v>
      </c>
      <c r="BK194">
        <v>20</v>
      </c>
      <c r="BL194">
        <v>23</v>
      </c>
      <c r="BM194">
        <v>23</v>
      </c>
      <c r="BN194">
        <v>20</v>
      </c>
      <c r="BO194">
        <v>23</v>
      </c>
      <c r="BP194">
        <v>0</v>
      </c>
      <c r="BQ194">
        <v>20</v>
      </c>
      <c r="BR194">
        <v>23</v>
      </c>
      <c r="BS194">
        <v>23</v>
      </c>
      <c r="BT194">
        <v>23</v>
      </c>
      <c r="BU194">
        <v>23</v>
      </c>
      <c r="BV194">
        <v>23</v>
      </c>
      <c r="BW194">
        <v>23</v>
      </c>
      <c r="BX194">
        <v>23</v>
      </c>
      <c r="BY194">
        <v>23</v>
      </c>
      <c r="BZ194">
        <v>23</v>
      </c>
      <c r="CA194">
        <v>20</v>
      </c>
      <c r="CB194">
        <v>23</v>
      </c>
      <c r="CC194">
        <v>23</v>
      </c>
      <c r="CD194">
        <v>20</v>
      </c>
      <c r="CE194">
        <v>20</v>
      </c>
      <c r="CF194">
        <v>20</v>
      </c>
      <c r="CG194">
        <v>23</v>
      </c>
      <c r="CH194">
        <v>23</v>
      </c>
      <c r="CI194">
        <v>23</v>
      </c>
      <c r="CJ194">
        <v>23</v>
      </c>
      <c r="CK194">
        <v>23</v>
      </c>
      <c r="CL194">
        <v>23</v>
      </c>
      <c r="CM194">
        <v>23</v>
      </c>
      <c r="CN194">
        <v>22</v>
      </c>
      <c r="CO194">
        <v>23</v>
      </c>
      <c r="CP194">
        <v>23</v>
      </c>
      <c r="CQ194">
        <v>22</v>
      </c>
      <c r="CR194">
        <v>23</v>
      </c>
      <c r="CS194">
        <v>23</v>
      </c>
      <c r="CT194">
        <v>23</v>
      </c>
      <c r="CU194">
        <v>23</v>
      </c>
      <c r="CV194">
        <v>20</v>
      </c>
      <c r="CW194">
        <v>23</v>
      </c>
      <c r="CX194">
        <v>20</v>
      </c>
      <c r="CY194">
        <v>23</v>
      </c>
    </row>
    <row r="195" spans="1:103" x14ac:dyDescent="0.3">
      <c r="A195">
        <v>995</v>
      </c>
      <c r="B195" t="s">
        <v>231</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0</v>
      </c>
      <c r="BX195">
        <v>0</v>
      </c>
      <c r="BY195">
        <v>0</v>
      </c>
      <c r="BZ195">
        <v>0</v>
      </c>
      <c r="CA195">
        <v>0</v>
      </c>
      <c r="CB195">
        <v>0</v>
      </c>
      <c r="CC195">
        <v>0</v>
      </c>
      <c r="CD195">
        <v>0</v>
      </c>
      <c r="CE195">
        <v>0</v>
      </c>
      <c r="CF195">
        <v>0</v>
      </c>
      <c r="CG195">
        <v>0</v>
      </c>
      <c r="CH195">
        <v>0</v>
      </c>
      <c r="CI195">
        <v>0</v>
      </c>
      <c r="CJ195">
        <v>0</v>
      </c>
      <c r="CK195">
        <v>0</v>
      </c>
      <c r="CL195">
        <v>0</v>
      </c>
      <c r="CM195">
        <v>0</v>
      </c>
      <c r="CN195">
        <v>0</v>
      </c>
      <c r="CO195">
        <v>0</v>
      </c>
      <c r="CP195">
        <v>0</v>
      </c>
      <c r="CQ195">
        <v>0</v>
      </c>
      <c r="CR195">
        <v>0</v>
      </c>
      <c r="CS195">
        <v>0</v>
      </c>
      <c r="CT195">
        <v>0</v>
      </c>
      <c r="CU195">
        <v>0</v>
      </c>
      <c r="CV195">
        <v>0</v>
      </c>
      <c r="CW195">
        <v>0</v>
      </c>
      <c r="CX195">
        <v>0</v>
      </c>
      <c r="CY195">
        <v>0</v>
      </c>
    </row>
    <row r="196" spans="1:103" x14ac:dyDescent="0.3">
      <c r="A196">
        <v>996</v>
      </c>
      <c r="B196" t="s">
        <v>232</v>
      </c>
      <c r="D196">
        <v>0</v>
      </c>
      <c r="E196">
        <v>0.01</v>
      </c>
      <c r="F196">
        <v>0</v>
      </c>
      <c r="G196">
        <v>0.01</v>
      </c>
      <c r="H196">
        <v>0</v>
      </c>
      <c r="I196">
        <v>0</v>
      </c>
      <c r="J196">
        <v>0.01</v>
      </c>
      <c r="K196">
        <v>0.01</v>
      </c>
      <c r="L196">
        <v>0.01</v>
      </c>
      <c r="M196">
        <v>0.01</v>
      </c>
      <c r="N196">
        <v>0</v>
      </c>
      <c r="O196">
        <v>0.01</v>
      </c>
      <c r="P196">
        <v>0</v>
      </c>
      <c r="Q196">
        <v>0.01</v>
      </c>
      <c r="R196">
        <v>0.01</v>
      </c>
      <c r="S196">
        <v>0.01</v>
      </c>
      <c r="T196">
        <v>0</v>
      </c>
      <c r="U196">
        <v>0</v>
      </c>
      <c r="V196">
        <v>0.01</v>
      </c>
      <c r="W196">
        <v>0</v>
      </c>
      <c r="X196">
        <v>0.01</v>
      </c>
      <c r="Y196">
        <v>0.01</v>
      </c>
      <c r="Z196">
        <v>0</v>
      </c>
      <c r="AA196">
        <v>0.01</v>
      </c>
      <c r="AB196">
        <v>0.01</v>
      </c>
      <c r="AC196">
        <v>0.01</v>
      </c>
      <c r="AD196">
        <v>0.01</v>
      </c>
      <c r="AE196">
        <v>0.01</v>
      </c>
      <c r="AF196">
        <v>0.01</v>
      </c>
      <c r="AG196">
        <v>0.01</v>
      </c>
      <c r="AH196">
        <v>0.01</v>
      </c>
      <c r="AI196">
        <v>0.01</v>
      </c>
      <c r="AJ196">
        <v>0.01</v>
      </c>
      <c r="AK196">
        <v>0</v>
      </c>
      <c r="AL196">
        <v>0.01</v>
      </c>
      <c r="AM196">
        <v>0</v>
      </c>
      <c r="AN196">
        <v>0.01</v>
      </c>
      <c r="AO196">
        <v>0</v>
      </c>
      <c r="AP196">
        <v>0</v>
      </c>
      <c r="AQ196">
        <v>0.01</v>
      </c>
      <c r="AR196">
        <v>0</v>
      </c>
      <c r="AS196">
        <v>0.01</v>
      </c>
      <c r="AT196">
        <v>0.01</v>
      </c>
      <c r="AU196">
        <v>0</v>
      </c>
      <c r="AV196">
        <v>0.01</v>
      </c>
      <c r="AW196">
        <v>0.01</v>
      </c>
      <c r="AX196">
        <v>0.01</v>
      </c>
      <c r="AY196">
        <v>0.01</v>
      </c>
      <c r="AZ196">
        <v>0</v>
      </c>
      <c r="BA196">
        <v>0</v>
      </c>
      <c r="BB196">
        <v>0.01</v>
      </c>
      <c r="BC196">
        <v>0.01</v>
      </c>
      <c r="BD196">
        <v>0</v>
      </c>
      <c r="BE196">
        <v>0</v>
      </c>
      <c r="BF196">
        <v>0.01</v>
      </c>
      <c r="BG196">
        <v>0</v>
      </c>
      <c r="BH196">
        <v>0</v>
      </c>
      <c r="BI196">
        <v>0.01</v>
      </c>
      <c r="BJ196">
        <v>0.01</v>
      </c>
      <c r="BK196">
        <v>0</v>
      </c>
      <c r="BL196">
        <v>0</v>
      </c>
      <c r="BM196">
        <v>0.01</v>
      </c>
      <c r="BN196">
        <v>0.01</v>
      </c>
      <c r="BO196">
        <v>0.01</v>
      </c>
      <c r="BP196">
        <v>0</v>
      </c>
      <c r="BQ196">
        <v>0.01</v>
      </c>
      <c r="BR196">
        <v>0</v>
      </c>
      <c r="BS196">
        <v>0</v>
      </c>
      <c r="BT196">
        <v>0.01</v>
      </c>
      <c r="BU196">
        <v>0.01</v>
      </c>
      <c r="BV196">
        <v>0.01</v>
      </c>
      <c r="BW196">
        <v>0.01</v>
      </c>
      <c r="BX196">
        <v>0</v>
      </c>
      <c r="BY196">
        <v>0</v>
      </c>
      <c r="BZ196">
        <v>0</v>
      </c>
      <c r="CA196">
        <v>0</v>
      </c>
      <c r="CB196">
        <v>0.01</v>
      </c>
      <c r="CC196">
        <v>0.01</v>
      </c>
      <c r="CD196">
        <v>0.01</v>
      </c>
      <c r="CE196">
        <v>0.01</v>
      </c>
      <c r="CF196">
        <v>0</v>
      </c>
      <c r="CG196">
        <v>0.01</v>
      </c>
      <c r="CH196">
        <v>0.01</v>
      </c>
      <c r="CI196">
        <v>0.01</v>
      </c>
      <c r="CJ196">
        <v>0.01</v>
      </c>
      <c r="CK196">
        <v>0.01</v>
      </c>
      <c r="CL196">
        <v>0</v>
      </c>
      <c r="CM196">
        <v>0</v>
      </c>
      <c r="CN196">
        <v>0.01</v>
      </c>
      <c r="CO196">
        <v>0.01</v>
      </c>
      <c r="CP196">
        <v>0.01</v>
      </c>
      <c r="CQ196">
        <v>0</v>
      </c>
      <c r="CR196">
        <v>0.01</v>
      </c>
      <c r="CS196">
        <v>0.01</v>
      </c>
      <c r="CT196">
        <v>0</v>
      </c>
      <c r="CU196">
        <v>0.01</v>
      </c>
      <c r="CV196">
        <v>0</v>
      </c>
      <c r="CW196">
        <v>0.01</v>
      </c>
      <c r="CX196">
        <v>0.01</v>
      </c>
      <c r="CY196">
        <v>0</v>
      </c>
    </row>
    <row r="197" spans="1:103" x14ac:dyDescent="0.3">
      <c r="A197">
        <v>998</v>
      </c>
      <c r="B197" t="s">
        <v>233</v>
      </c>
      <c r="D197">
        <v>51</v>
      </c>
      <c r="E197">
        <v>51</v>
      </c>
      <c r="F197">
        <v>51</v>
      </c>
      <c r="G197">
        <v>51</v>
      </c>
      <c r="H197">
        <v>51</v>
      </c>
      <c r="I197">
        <v>51</v>
      </c>
      <c r="J197">
        <v>51</v>
      </c>
      <c r="K197">
        <v>51</v>
      </c>
      <c r="L197">
        <v>51</v>
      </c>
      <c r="M197">
        <v>51</v>
      </c>
      <c r="N197">
        <v>51</v>
      </c>
      <c r="O197">
        <v>51</v>
      </c>
      <c r="P197">
        <v>51</v>
      </c>
      <c r="Q197">
        <v>51</v>
      </c>
      <c r="R197">
        <v>51</v>
      </c>
      <c r="S197">
        <v>51</v>
      </c>
      <c r="T197">
        <v>51</v>
      </c>
      <c r="U197">
        <v>51</v>
      </c>
      <c r="V197">
        <v>51</v>
      </c>
      <c r="W197">
        <v>51</v>
      </c>
      <c r="X197">
        <v>51</v>
      </c>
      <c r="Y197">
        <v>51</v>
      </c>
      <c r="Z197">
        <v>51</v>
      </c>
      <c r="AA197">
        <v>51</v>
      </c>
      <c r="AB197">
        <v>51</v>
      </c>
      <c r="AC197">
        <v>51</v>
      </c>
      <c r="AD197">
        <v>51</v>
      </c>
      <c r="AE197">
        <v>51</v>
      </c>
      <c r="AF197">
        <v>51</v>
      </c>
      <c r="AG197">
        <v>51</v>
      </c>
      <c r="AH197">
        <v>51</v>
      </c>
      <c r="AI197">
        <v>51</v>
      </c>
      <c r="AJ197">
        <v>51</v>
      </c>
      <c r="AK197">
        <v>51</v>
      </c>
      <c r="AL197">
        <v>51</v>
      </c>
      <c r="AM197">
        <v>51</v>
      </c>
      <c r="AN197">
        <v>51</v>
      </c>
      <c r="AO197">
        <v>51</v>
      </c>
      <c r="AP197">
        <v>51</v>
      </c>
      <c r="AQ197">
        <v>51</v>
      </c>
      <c r="AR197">
        <v>51</v>
      </c>
      <c r="AS197">
        <v>51</v>
      </c>
      <c r="AT197">
        <v>51</v>
      </c>
      <c r="AU197">
        <v>51</v>
      </c>
      <c r="AV197">
        <v>51</v>
      </c>
      <c r="AW197">
        <v>51</v>
      </c>
      <c r="AX197">
        <v>51</v>
      </c>
      <c r="AY197">
        <v>51</v>
      </c>
      <c r="AZ197">
        <v>51</v>
      </c>
      <c r="BA197">
        <v>51</v>
      </c>
      <c r="BB197">
        <v>51</v>
      </c>
      <c r="BC197">
        <v>51</v>
      </c>
      <c r="BD197">
        <v>51</v>
      </c>
      <c r="BE197">
        <v>51</v>
      </c>
      <c r="BF197">
        <v>51</v>
      </c>
      <c r="BG197">
        <v>51</v>
      </c>
      <c r="BH197">
        <v>51</v>
      </c>
      <c r="BI197">
        <v>51</v>
      </c>
      <c r="BJ197">
        <v>51</v>
      </c>
      <c r="BK197">
        <v>51</v>
      </c>
      <c r="BL197">
        <v>51</v>
      </c>
      <c r="BM197">
        <v>51</v>
      </c>
      <c r="BN197">
        <v>51</v>
      </c>
      <c r="BO197">
        <v>51</v>
      </c>
      <c r="BP197">
        <v>51</v>
      </c>
      <c r="BQ197">
        <v>51</v>
      </c>
      <c r="BR197">
        <v>51</v>
      </c>
      <c r="BS197">
        <v>51</v>
      </c>
      <c r="BT197">
        <v>51</v>
      </c>
      <c r="BU197">
        <v>51</v>
      </c>
      <c r="BV197">
        <v>51</v>
      </c>
      <c r="BW197">
        <v>51</v>
      </c>
      <c r="BX197">
        <v>51</v>
      </c>
      <c r="BY197">
        <v>51</v>
      </c>
      <c r="BZ197">
        <v>51</v>
      </c>
      <c r="CA197">
        <v>51</v>
      </c>
      <c r="CB197">
        <v>51</v>
      </c>
      <c r="CC197">
        <v>51</v>
      </c>
      <c r="CD197">
        <v>51</v>
      </c>
      <c r="CE197">
        <v>51</v>
      </c>
      <c r="CF197">
        <v>51</v>
      </c>
      <c r="CG197">
        <v>51</v>
      </c>
      <c r="CH197">
        <v>51</v>
      </c>
      <c r="CI197">
        <v>51</v>
      </c>
      <c r="CJ197">
        <v>51</v>
      </c>
      <c r="CK197">
        <v>51</v>
      </c>
      <c r="CL197">
        <v>51</v>
      </c>
      <c r="CM197">
        <v>51</v>
      </c>
      <c r="CN197">
        <v>51</v>
      </c>
      <c r="CO197">
        <v>51</v>
      </c>
      <c r="CP197">
        <v>51</v>
      </c>
      <c r="CQ197">
        <v>51</v>
      </c>
      <c r="CR197">
        <v>51</v>
      </c>
      <c r="CS197">
        <v>51</v>
      </c>
      <c r="CT197">
        <v>51</v>
      </c>
      <c r="CU197">
        <v>51</v>
      </c>
      <c r="CV197">
        <v>51</v>
      </c>
      <c r="CW197">
        <v>51</v>
      </c>
      <c r="CX197">
        <v>51</v>
      </c>
      <c r="CY197">
        <v>51</v>
      </c>
    </row>
    <row r="198" spans="1:103" x14ac:dyDescent="0.3">
      <c r="A198">
        <v>999</v>
      </c>
      <c r="B198" t="s">
        <v>234</v>
      </c>
      <c r="D198">
        <v>5100</v>
      </c>
      <c r="E198">
        <v>5101</v>
      </c>
      <c r="F198">
        <v>5102</v>
      </c>
      <c r="G198">
        <v>5103</v>
      </c>
      <c r="H198">
        <v>5104</v>
      </c>
      <c r="I198">
        <v>5105</v>
      </c>
      <c r="J198">
        <v>5106</v>
      </c>
      <c r="K198">
        <v>5107</v>
      </c>
      <c r="L198">
        <v>5108</v>
      </c>
      <c r="M198">
        <v>5109</v>
      </c>
      <c r="N198">
        <v>5110</v>
      </c>
      <c r="O198">
        <v>5111</v>
      </c>
      <c r="P198">
        <v>5112</v>
      </c>
      <c r="Q198">
        <v>5113</v>
      </c>
      <c r="R198">
        <v>5114</v>
      </c>
      <c r="S198">
        <v>5115</v>
      </c>
      <c r="T198">
        <v>5116</v>
      </c>
      <c r="U198">
        <v>5117</v>
      </c>
      <c r="V198">
        <v>5118</v>
      </c>
      <c r="W198">
        <v>5119</v>
      </c>
      <c r="X198">
        <v>5120</v>
      </c>
      <c r="Y198">
        <v>5121</v>
      </c>
      <c r="Z198">
        <v>5122</v>
      </c>
      <c r="AA198">
        <v>5123</v>
      </c>
      <c r="AB198">
        <v>5124</v>
      </c>
      <c r="AC198">
        <v>5125</v>
      </c>
      <c r="AD198">
        <v>5126</v>
      </c>
      <c r="AE198">
        <v>5127</v>
      </c>
      <c r="AF198">
        <v>5128</v>
      </c>
      <c r="AG198">
        <v>5129</v>
      </c>
      <c r="AH198">
        <v>5130</v>
      </c>
      <c r="AI198">
        <v>5131</v>
      </c>
      <c r="AJ198">
        <v>5132</v>
      </c>
      <c r="AK198">
        <v>5133</v>
      </c>
      <c r="AL198">
        <v>5134</v>
      </c>
      <c r="AM198">
        <v>5135</v>
      </c>
      <c r="AN198">
        <v>5136</v>
      </c>
      <c r="AO198">
        <v>5137</v>
      </c>
      <c r="AP198">
        <v>5138</v>
      </c>
      <c r="AQ198">
        <v>5139</v>
      </c>
      <c r="AR198">
        <v>5140</v>
      </c>
      <c r="AS198">
        <v>5141</v>
      </c>
      <c r="AT198">
        <v>5142</v>
      </c>
      <c r="AU198">
        <v>5143</v>
      </c>
      <c r="AV198">
        <v>5144</v>
      </c>
      <c r="AW198">
        <v>5145</v>
      </c>
      <c r="AX198">
        <v>5146</v>
      </c>
      <c r="AY198">
        <v>5147</v>
      </c>
      <c r="AZ198">
        <v>5148</v>
      </c>
      <c r="BA198">
        <v>5149</v>
      </c>
      <c r="BB198">
        <v>5150</v>
      </c>
      <c r="BC198">
        <v>5151</v>
      </c>
      <c r="BD198">
        <v>5152</v>
      </c>
      <c r="BE198">
        <v>5153</v>
      </c>
      <c r="BF198">
        <v>5154</v>
      </c>
      <c r="BG198">
        <v>5155</v>
      </c>
      <c r="BH198">
        <v>5156</v>
      </c>
      <c r="BI198">
        <v>5157</v>
      </c>
      <c r="BJ198">
        <v>5158</v>
      </c>
      <c r="BK198">
        <v>5159</v>
      </c>
      <c r="BL198">
        <v>5160</v>
      </c>
      <c r="BM198">
        <v>5161</v>
      </c>
      <c r="BN198">
        <v>5162</v>
      </c>
      <c r="BO198">
        <v>5163</v>
      </c>
      <c r="BP198">
        <v>5164</v>
      </c>
      <c r="BQ198">
        <v>5165</v>
      </c>
      <c r="BR198">
        <v>5166</v>
      </c>
      <c r="BS198">
        <v>5167</v>
      </c>
      <c r="BT198">
        <v>5168</v>
      </c>
      <c r="BU198">
        <v>5169</v>
      </c>
      <c r="BV198">
        <v>5170</v>
      </c>
      <c r="BW198">
        <v>5171</v>
      </c>
      <c r="BX198">
        <v>5172</v>
      </c>
      <c r="BY198">
        <v>5173</v>
      </c>
      <c r="BZ198">
        <v>5174</v>
      </c>
      <c r="CA198">
        <v>5175</v>
      </c>
      <c r="CB198">
        <v>5176</v>
      </c>
      <c r="CC198">
        <v>5177</v>
      </c>
      <c r="CD198">
        <v>5178</v>
      </c>
      <c r="CE198">
        <v>5179</v>
      </c>
      <c r="CF198">
        <v>5180</v>
      </c>
      <c r="CG198">
        <v>5181</v>
      </c>
      <c r="CH198">
        <v>5182</v>
      </c>
      <c r="CI198">
        <v>5183</v>
      </c>
      <c r="CJ198">
        <v>5184</v>
      </c>
      <c r="CK198">
        <v>5185</v>
      </c>
      <c r="CL198">
        <v>5186</v>
      </c>
      <c r="CM198">
        <v>5187</v>
      </c>
      <c r="CN198">
        <v>5188</v>
      </c>
      <c r="CO198">
        <v>5189</v>
      </c>
      <c r="CP198">
        <v>5190</v>
      </c>
      <c r="CQ198">
        <v>5191</v>
      </c>
      <c r="CR198">
        <v>5192</v>
      </c>
      <c r="CS198">
        <v>5193</v>
      </c>
      <c r="CT198">
        <v>5194</v>
      </c>
      <c r="CU198">
        <v>5195</v>
      </c>
      <c r="CV198">
        <v>5196</v>
      </c>
      <c r="CW198">
        <v>5197</v>
      </c>
      <c r="CX198">
        <v>5198</v>
      </c>
      <c r="CY198">
        <v>5199</v>
      </c>
    </row>
    <row r="199" spans="1:103" x14ac:dyDescent="0.3">
      <c r="A199">
        <v>1052</v>
      </c>
      <c r="B199" t="s">
        <v>1574</v>
      </c>
      <c r="D199">
        <v>0</v>
      </c>
      <c r="E199">
        <v>0</v>
      </c>
      <c r="F199">
        <v>0</v>
      </c>
      <c r="G199">
        <v>0</v>
      </c>
      <c r="H199">
        <v>0</v>
      </c>
      <c r="I199">
        <v>0</v>
      </c>
      <c r="J199">
        <v>0</v>
      </c>
      <c r="K199">
        <v>0</v>
      </c>
      <c r="L199">
        <v>0</v>
      </c>
      <c r="M199">
        <v>0</v>
      </c>
      <c r="N199">
        <v>-635048</v>
      </c>
      <c r="O199">
        <v>0</v>
      </c>
      <c r="P199">
        <v>-1816363</v>
      </c>
      <c r="Q199">
        <v>0</v>
      </c>
      <c r="R199">
        <v>0</v>
      </c>
      <c r="S199">
        <v>482988</v>
      </c>
      <c r="T199">
        <v>0</v>
      </c>
      <c r="U199">
        <v>-3632941</v>
      </c>
      <c r="V199">
        <v>0</v>
      </c>
      <c r="W199">
        <v>0</v>
      </c>
      <c r="X199">
        <v>0</v>
      </c>
      <c r="Y199">
        <v>0</v>
      </c>
      <c r="Z199">
        <v>0</v>
      </c>
      <c r="AA199">
        <v>0</v>
      </c>
      <c r="AB199">
        <v>-204496</v>
      </c>
      <c r="AC199">
        <v>0</v>
      </c>
      <c r="AD199">
        <v>-620538</v>
      </c>
      <c r="AE199">
        <v>-1461349</v>
      </c>
      <c r="AF199">
        <v>0</v>
      </c>
      <c r="AG199">
        <v>0</v>
      </c>
      <c r="AH199">
        <v>0</v>
      </c>
      <c r="AI199">
        <v>0</v>
      </c>
      <c r="AJ199">
        <v>0</v>
      </c>
      <c r="AK199">
        <v>-815720</v>
      </c>
      <c r="AL199">
        <v>0</v>
      </c>
      <c r="AM199">
        <v>-1677176</v>
      </c>
      <c r="AN199">
        <v>0</v>
      </c>
      <c r="AO199">
        <v>0</v>
      </c>
      <c r="AP199">
        <v>0</v>
      </c>
      <c r="AQ199">
        <v>0</v>
      </c>
      <c r="AR199">
        <v>-5850100</v>
      </c>
      <c r="AS199">
        <v>0</v>
      </c>
      <c r="AT199">
        <v>-40608</v>
      </c>
      <c r="AU199">
        <v>-207612</v>
      </c>
      <c r="AV199">
        <v>-1699409</v>
      </c>
      <c r="AW199">
        <v>0</v>
      </c>
      <c r="AX199">
        <v>0</v>
      </c>
      <c r="AY199">
        <v>0</v>
      </c>
      <c r="AZ199">
        <v>-66290</v>
      </c>
      <c r="BA199">
        <v>0</v>
      </c>
      <c r="BB199">
        <v>0</v>
      </c>
      <c r="BC199">
        <v>0</v>
      </c>
      <c r="BD199">
        <v>0</v>
      </c>
      <c r="BE199">
        <v>0</v>
      </c>
      <c r="BF199">
        <v>-117833</v>
      </c>
      <c r="BG199">
        <v>0</v>
      </c>
      <c r="BH199">
        <v>0</v>
      </c>
      <c r="BI199">
        <v>0</v>
      </c>
      <c r="BJ199">
        <v>0</v>
      </c>
      <c r="BK199">
        <v>-24373977</v>
      </c>
      <c r="BL199">
        <v>0</v>
      </c>
      <c r="BM199">
        <v>0</v>
      </c>
      <c r="BN199">
        <v>0</v>
      </c>
      <c r="BO199">
        <v>0</v>
      </c>
      <c r="BP199">
        <v>-26093285</v>
      </c>
      <c r="BQ199">
        <v>0</v>
      </c>
      <c r="BR199">
        <v>0</v>
      </c>
      <c r="BS199">
        <v>0</v>
      </c>
      <c r="BT199">
        <v>0</v>
      </c>
      <c r="BU199">
        <v>0</v>
      </c>
      <c r="BV199">
        <v>0</v>
      </c>
      <c r="BW199">
        <v>0</v>
      </c>
      <c r="BX199">
        <v>0</v>
      </c>
      <c r="BY199">
        <v>-598383</v>
      </c>
      <c r="BZ199">
        <v>0</v>
      </c>
      <c r="CA199">
        <v>0</v>
      </c>
      <c r="CB199">
        <v>0</v>
      </c>
      <c r="CC199">
        <v>0</v>
      </c>
      <c r="CD199">
        <v>-815638</v>
      </c>
      <c r="CE199">
        <v>-693141</v>
      </c>
      <c r="CF199">
        <v>0</v>
      </c>
      <c r="CG199">
        <v>0</v>
      </c>
      <c r="CH199">
        <v>0</v>
      </c>
      <c r="CI199">
        <v>0</v>
      </c>
      <c r="CJ199">
        <v>0</v>
      </c>
      <c r="CK199">
        <v>0</v>
      </c>
      <c r="CL199">
        <v>0</v>
      </c>
      <c r="CM199">
        <v>0</v>
      </c>
      <c r="CN199">
        <v>0</v>
      </c>
      <c r="CO199">
        <v>-1179778</v>
      </c>
      <c r="CP199">
        <v>0</v>
      </c>
      <c r="CQ199">
        <v>-46152</v>
      </c>
      <c r="CR199">
        <v>0</v>
      </c>
      <c r="CS199">
        <v>0</v>
      </c>
      <c r="CT199">
        <v>0</v>
      </c>
      <c r="CU199">
        <v>0</v>
      </c>
      <c r="CV199">
        <v>0</v>
      </c>
      <c r="CW199">
        <v>0</v>
      </c>
      <c r="CX199">
        <v>0</v>
      </c>
      <c r="CY199">
        <v>0</v>
      </c>
    </row>
    <row r="200" spans="1:103" x14ac:dyDescent="0.3">
      <c r="A200">
        <v>1053</v>
      </c>
      <c r="B200" t="s">
        <v>779</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-506982</v>
      </c>
      <c r="AE200">
        <v>-528391</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-64203</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v>0</v>
      </c>
      <c r="CJ200">
        <v>0</v>
      </c>
      <c r="CK200">
        <v>0</v>
      </c>
      <c r="CL200">
        <v>0</v>
      </c>
      <c r="CM200">
        <v>0</v>
      </c>
      <c r="CN200">
        <v>0</v>
      </c>
      <c r="CO200">
        <v>-990227</v>
      </c>
      <c r="CP200">
        <v>0</v>
      </c>
      <c r="CQ200">
        <v>0</v>
      </c>
      <c r="CR200">
        <v>0</v>
      </c>
      <c r="CS200">
        <v>0</v>
      </c>
      <c r="CT200">
        <v>0</v>
      </c>
      <c r="CU200">
        <v>0</v>
      </c>
      <c r="CV200">
        <v>0</v>
      </c>
      <c r="CW200">
        <v>0</v>
      </c>
      <c r="CX200">
        <v>0</v>
      </c>
      <c r="CY200">
        <v>0</v>
      </c>
    </row>
    <row r="201" spans="1:103" x14ac:dyDescent="0.3">
      <c r="A201">
        <v>1055</v>
      </c>
      <c r="B201" t="s">
        <v>1575</v>
      </c>
      <c r="D201">
        <v>2</v>
      </c>
      <c r="E201">
        <v>2</v>
      </c>
      <c r="F201">
        <v>1</v>
      </c>
      <c r="G201">
        <v>1</v>
      </c>
      <c r="H201">
        <v>2</v>
      </c>
      <c r="I201">
        <v>2</v>
      </c>
      <c r="J201">
        <v>2</v>
      </c>
      <c r="K201">
        <v>2</v>
      </c>
      <c r="L201">
        <v>2</v>
      </c>
      <c r="M201">
        <v>2</v>
      </c>
      <c r="N201">
        <v>2</v>
      </c>
      <c r="O201">
        <v>2</v>
      </c>
      <c r="P201">
        <v>2</v>
      </c>
      <c r="Q201">
        <v>2</v>
      </c>
      <c r="R201">
        <v>2</v>
      </c>
      <c r="S201">
        <v>2</v>
      </c>
      <c r="T201">
        <v>1</v>
      </c>
      <c r="U201">
        <v>2</v>
      </c>
      <c r="V201">
        <v>2</v>
      </c>
      <c r="W201">
        <v>2</v>
      </c>
      <c r="X201">
        <v>2</v>
      </c>
      <c r="Y201">
        <v>2</v>
      </c>
      <c r="Z201">
        <v>2</v>
      </c>
      <c r="AA201">
        <v>2</v>
      </c>
      <c r="AB201">
        <v>2</v>
      </c>
      <c r="AC201">
        <v>2</v>
      </c>
      <c r="AD201">
        <v>2</v>
      </c>
      <c r="AE201">
        <v>2</v>
      </c>
      <c r="AF201">
        <v>2</v>
      </c>
      <c r="AG201">
        <v>2</v>
      </c>
      <c r="AH201">
        <v>2</v>
      </c>
      <c r="AI201">
        <v>2</v>
      </c>
      <c r="AJ201">
        <v>2</v>
      </c>
      <c r="AK201">
        <v>2</v>
      </c>
      <c r="AL201">
        <v>2</v>
      </c>
      <c r="AM201">
        <v>1</v>
      </c>
      <c r="AN201">
        <v>2</v>
      </c>
      <c r="AO201">
        <v>2</v>
      </c>
      <c r="AP201">
        <v>2</v>
      </c>
      <c r="AQ201">
        <v>2</v>
      </c>
      <c r="AR201">
        <v>2</v>
      </c>
      <c r="AS201">
        <v>2</v>
      </c>
      <c r="AT201">
        <v>2</v>
      </c>
      <c r="AU201">
        <v>2</v>
      </c>
      <c r="AV201">
        <v>2</v>
      </c>
      <c r="AW201">
        <v>1</v>
      </c>
      <c r="AX201">
        <v>1</v>
      </c>
      <c r="AY201">
        <v>1</v>
      </c>
      <c r="AZ201">
        <v>2</v>
      </c>
      <c r="BA201">
        <v>2</v>
      </c>
      <c r="BB201">
        <v>2</v>
      </c>
      <c r="BC201">
        <v>2</v>
      </c>
      <c r="BD201">
        <v>2</v>
      </c>
      <c r="BE201">
        <v>2</v>
      </c>
      <c r="BF201">
        <v>2</v>
      </c>
      <c r="BG201">
        <v>2</v>
      </c>
      <c r="BH201">
        <v>2</v>
      </c>
      <c r="BI201">
        <v>2</v>
      </c>
      <c r="BJ201">
        <v>2</v>
      </c>
      <c r="BK201">
        <v>2</v>
      </c>
      <c r="BL201">
        <v>2</v>
      </c>
      <c r="BM201">
        <v>2</v>
      </c>
      <c r="BN201">
        <v>2</v>
      </c>
      <c r="BO201">
        <v>2</v>
      </c>
      <c r="BP201">
        <v>2</v>
      </c>
      <c r="BQ201">
        <v>1</v>
      </c>
      <c r="BR201">
        <v>2</v>
      </c>
      <c r="BS201">
        <v>2</v>
      </c>
      <c r="BT201">
        <v>2</v>
      </c>
      <c r="BU201">
        <v>2</v>
      </c>
      <c r="BV201">
        <v>2</v>
      </c>
      <c r="BW201">
        <v>2</v>
      </c>
      <c r="BX201">
        <v>2</v>
      </c>
      <c r="BY201">
        <v>2</v>
      </c>
      <c r="BZ201">
        <v>2</v>
      </c>
      <c r="CA201">
        <v>2</v>
      </c>
      <c r="CB201">
        <v>1</v>
      </c>
      <c r="CC201">
        <v>2</v>
      </c>
      <c r="CD201">
        <v>2</v>
      </c>
      <c r="CE201">
        <v>2</v>
      </c>
      <c r="CF201">
        <v>2</v>
      </c>
      <c r="CG201">
        <v>2</v>
      </c>
      <c r="CH201">
        <v>2</v>
      </c>
      <c r="CI201">
        <v>2</v>
      </c>
      <c r="CJ201">
        <v>1</v>
      </c>
      <c r="CK201">
        <v>2</v>
      </c>
      <c r="CL201">
        <v>2</v>
      </c>
      <c r="CM201">
        <v>2</v>
      </c>
      <c r="CN201">
        <v>2</v>
      </c>
      <c r="CO201">
        <v>2</v>
      </c>
      <c r="CP201">
        <v>1</v>
      </c>
      <c r="CQ201">
        <v>2</v>
      </c>
      <c r="CR201">
        <v>2</v>
      </c>
      <c r="CS201">
        <v>2</v>
      </c>
      <c r="CT201">
        <v>2</v>
      </c>
      <c r="CU201">
        <v>2</v>
      </c>
      <c r="CV201">
        <v>2</v>
      </c>
      <c r="CW201">
        <v>2</v>
      </c>
      <c r="CX201">
        <v>2</v>
      </c>
      <c r="CY201">
        <v>2</v>
      </c>
    </row>
    <row r="202" spans="1:103" x14ac:dyDescent="0.3">
      <c r="A202">
        <v>1056</v>
      </c>
      <c r="B202" t="s">
        <v>1576</v>
      </c>
      <c r="D202">
        <v>2</v>
      </c>
      <c r="E202">
        <v>2</v>
      </c>
      <c r="F202">
        <v>2</v>
      </c>
      <c r="G202">
        <v>2</v>
      </c>
      <c r="H202">
        <v>2</v>
      </c>
      <c r="I202">
        <v>2</v>
      </c>
      <c r="J202">
        <v>2</v>
      </c>
      <c r="K202">
        <v>2</v>
      </c>
      <c r="L202">
        <v>2</v>
      </c>
      <c r="M202">
        <v>2</v>
      </c>
      <c r="N202">
        <v>2</v>
      </c>
      <c r="O202">
        <v>2</v>
      </c>
      <c r="P202">
        <v>2</v>
      </c>
      <c r="Q202">
        <v>2</v>
      </c>
      <c r="R202">
        <v>2</v>
      </c>
      <c r="S202">
        <v>2</v>
      </c>
      <c r="T202">
        <v>2</v>
      </c>
      <c r="U202">
        <v>2</v>
      </c>
      <c r="V202">
        <v>2</v>
      </c>
      <c r="W202">
        <v>1</v>
      </c>
      <c r="X202">
        <v>2</v>
      </c>
      <c r="Y202">
        <v>2</v>
      </c>
      <c r="Z202">
        <v>2</v>
      </c>
      <c r="AA202">
        <v>2</v>
      </c>
      <c r="AB202">
        <v>2</v>
      </c>
      <c r="AC202">
        <v>2</v>
      </c>
      <c r="AD202">
        <v>2</v>
      </c>
      <c r="AE202">
        <v>2</v>
      </c>
      <c r="AF202">
        <v>2</v>
      </c>
      <c r="AG202">
        <v>2</v>
      </c>
      <c r="AH202">
        <v>1</v>
      </c>
      <c r="AI202">
        <v>2</v>
      </c>
      <c r="AJ202">
        <v>2</v>
      </c>
      <c r="AK202">
        <v>2</v>
      </c>
      <c r="AL202">
        <v>2</v>
      </c>
      <c r="AM202">
        <v>2</v>
      </c>
      <c r="AN202">
        <v>2</v>
      </c>
      <c r="AO202">
        <v>2</v>
      </c>
      <c r="AP202">
        <v>2</v>
      </c>
      <c r="AQ202">
        <v>2</v>
      </c>
      <c r="AR202">
        <v>2</v>
      </c>
      <c r="AS202">
        <v>2</v>
      </c>
      <c r="AT202">
        <v>2</v>
      </c>
      <c r="AU202">
        <v>2</v>
      </c>
      <c r="AV202">
        <v>2</v>
      </c>
      <c r="AW202">
        <v>1</v>
      </c>
      <c r="AX202">
        <v>2</v>
      </c>
      <c r="AY202">
        <v>1</v>
      </c>
      <c r="AZ202">
        <v>2</v>
      </c>
      <c r="BA202">
        <v>2</v>
      </c>
      <c r="BB202">
        <v>2</v>
      </c>
      <c r="BC202">
        <v>2</v>
      </c>
      <c r="BD202">
        <v>2</v>
      </c>
      <c r="BE202">
        <v>2</v>
      </c>
      <c r="BF202">
        <v>2</v>
      </c>
      <c r="BG202">
        <v>2</v>
      </c>
      <c r="BH202">
        <v>2</v>
      </c>
      <c r="BI202">
        <v>2</v>
      </c>
      <c r="BJ202">
        <v>2</v>
      </c>
      <c r="BK202">
        <v>2</v>
      </c>
      <c r="BL202">
        <v>2</v>
      </c>
      <c r="BM202">
        <v>2</v>
      </c>
      <c r="BN202">
        <v>2</v>
      </c>
      <c r="BO202">
        <v>2</v>
      </c>
      <c r="BP202">
        <v>2</v>
      </c>
      <c r="BQ202">
        <v>1</v>
      </c>
      <c r="BR202">
        <v>1</v>
      </c>
      <c r="BS202">
        <v>2</v>
      </c>
      <c r="BT202">
        <v>2</v>
      </c>
      <c r="BU202">
        <v>2</v>
      </c>
      <c r="BV202">
        <v>1</v>
      </c>
      <c r="BW202">
        <v>2</v>
      </c>
      <c r="BX202">
        <v>2</v>
      </c>
      <c r="BY202">
        <v>2</v>
      </c>
      <c r="BZ202">
        <v>2</v>
      </c>
      <c r="CA202">
        <v>2</v>
      </c>
      <c r="CB202">
        <v>2</v>
      </c>
      <c r="CC202">
        <v>2</v>
      </c>
      <c r="CD202">
        <v>2</v>
      </c>
      <c r="CE202">
        <v>2</v>
      </c>
      <c r="CF202">
        <v>2</v>
      </c>
      <c r="CG202">
        <v>2</v>
      </c>
      <c r="CH202">
        <v>2</v>
      </c>
      <c r="CI202">
        <v>2</v>
      </c>
      <c r="CJ202">
        <v>2</v>
      </c>
      <c r="CK202">
        <v>2</v>
      </c>
      <c r="CL202">
        <v>2</v>
      </c>
      <c r="CM202">
        <v>2</v>
      </c>
      <c r="CN202">
        <v>2</v>
      </c>
      <c r="CO202">
        <v>2</v>
      </c>
      <c r="CP202">
        <v>2</v>
      </c>
      <c r="CQ202">
        <v>2</v>
      </c>
      <c r="CR202">
        <v>2</v>
      </c>
      <c r="CS202">
        <v>2</v>
      </c>
      <c r="CT202">
        <v>2</v>
      </c>
      <c r="CU202">
        <v>2</v>
      </c>
      <c r="CV202">
        <v>2</v>
      </c>
      <c r="CW202">
        <v>2</v>
      </c>
      <c r="CX202">
        <v>2</v>
      </c>
      <c r="CY202">
        <v>2</v>
      </c>
    </row>
    <row r="203" spans="1:103" x14ac:dyDescent="0.3">
      <c r="A203">
        <v>1057</v>
      </c>
      <c r="B203" t="s">
        <v>783</v>
      </c>
      <c r="D203">
        <v>2</v>
      </c>
      <c r="E203">
        <v>2</v>
      </c>
      <c r="F203">
        <v>2</v>
      </c>
      <c r="G203">
        <v>1</v>
      </c>
      <c r="H203">
        <v>2</v>
      </c>
      <c r="I203">
        <v>2</v>
      </c>
      <c r="J203">
        <v>2</v>
      </c>
      <c r="K203">
        <v>2</v>
      </c>
      <c r="L203">
        <v>2</v>
      </c>
      <c r="M203">
        <v>2</v>
      </c>
      <c r="N203">
        <v>2</v>
      </c>
      <c r="O203">
        <v>2</v>
      </c>
      <c r="P203">
        <v>2</v>
      </c>
      <c r="Q203">
        <v>1</v>
      </c>
      <c r="R203">
        <v>2</v>
      </c>
      <c r="S203">
        <v>2</v>
      </c>
      <c r="T203">
        <v>1</v>
      </c>
      <c r="U203">
        <v>2</v>
      </c>
      <c r="V203">
        <v>2</v>
      </c>
      <c r="W203">
        <v>2</v>
      </c>
      <c r="X203">
        <v>2</v>
      </c>
      <c r="Y203">
        <v>2</v>
      </c>
      <c r="Z203">
        <v>1</v>
      </c>
      <c r="AA203">
        <v>2</v>
      </c>
      <c r="AB203">
        <v>2</v>
      </c>
      <c r="AC203">
        <v>2</v>
      </c>
      <c r="AD203">
        <v>2</v>
      </c>
      <c r="AE203">
        <v>2</v>
      </c>
      <c r="AF203">
        <v>2</v>
      </c>
      <c r="AG203">
        <v>2</v>
      </c>
      <c r="AH203">
        <v>2</v>
      </c>
      <c r="AI203">
        <v>2</v>
      </c>
      <c r="AJ203">
        <v>1</v>
      </c>
      <c r="AK203">
        <v>2</v>
      </c>
      <c r="AL203">
        <v>1</v>
      </c>
      <c r="AM203">
        <v>2</v>
      </c>
      <c r="AN203">
        <v>2</v>
      </c>
      <c r="AO203">
        <v>2</v>
      </c>
      <c r="AP203">
        <v>1</v>
      </c>
      <c r="AQ203">
        <v>2</v>
      </c>
      <c r="AR203">
        <v>2</v>
      </c>
      <c r="AS203">
        <v>2</v>
      </c>
      <c r="AT203">
        <v>2</v>
      </c>
      <c r="AU203">
        <v>2</v>
      </c>
      <c r="AV203">
        <v>2</v>
      </c>
      <c r="AW203">
        <v>1</v>
      </c>
      <c r="AX203">
        <v>2</v>
      </c>
      <c r="AY203">
        <v>1</v>
      </c>
      <c r="AZ203">
        <v>2</v>
      </c>
      <c r="BA203">
        <v>2</v>
      </c>
      <c r="BB203">
        <v>2</v>
      </c>
      <c r="BC203">
        <v>2</v>
      </c>
      <c r="BD203">
        <v>1</v>
      </c>
      <c r="BE203">
        <v>1</v>
      </c>
      <c r="BF203">
        <v>2</v>
      </c>
      <c r="BG203">
        <v>2</v>
      </c>
      <c r="BH203">
        <v>1</v>
      </c>
      <c r="BI203">
        <v>2</v>
      </c>
      <c r="BJ203">
        <v>2</v>
      </c>
      <c r="BK203">
        <v>2</v>
      </c>
      <c r="BL203">
        <v>2</v>
      </c>
      <c r="BM203">
        <v>1</v>
      </c>
      <c r="BN203">
        <v>2</v>
      </c>
      <c r="BO203">
        <v>2</v>
      </c>
      <c r="BP203">
        <v>2</v>
      </c>
      <c r="BQ203">
        <v>1</v>
      </c>
      <c r="BR203">
        <v>2</v>
      </c>
      <c r="BS203">
        <v>2</v>
      </c>
      <c r="BT203">
        <v>2</v>
      </c>
      <c r="BU203">
        <v>2</v>
      </c>
      <c r="BV203">
        <v>1</v>
      </c>
      <c r="BW203">
        <v>2</v>
      </c>
      <c r="BX203">
        <v>1</v>
      </c>
      <c r="BY203">
        <v>1</v>
      </c>
      <c r="BZ203">
        <v>2</v>
      </c>
      <c r="CA203">
        <v>2</v>
      </c>
      <c r="CB203">
        <v>1</v>
      </c>
      <c r="CC203">
        <v>2</v>
      </c>
      <c r="CD203">
        <v>2</v>
      </c>
      <c r="CE203">
        <v>2</v>
      </c>
      <c r="CF203">
        <v>2</v>
      </c>
      <c r="CG203">
        <v>2</v>
      </c>
      <c r="CH203">
        <v>1</v>
      </c>
      <c r="CI203">
        <v>1</v>
      </c>
      <c r="CJ203">
        <v>2</v>
      </c>
      <c r="CK203">
        <v>2</v>
      </c>
      <c r="CL203">
        <v>2</v>
      </c>
      <c r="CM203">
        <v>2</v>
      </c>
      <c r="CN203">
        <v>2</v>
      </c>
      <c r="CO203">
        <v>2</v>
      </c>
      <c r="CP203">
        <v>1</v>
      </c>
      <c r="CQ203">
        <v>2</v>
      </c>
      <c r="CR203">
        <v>1</v>
      </c>
      <c r="CS203">
        <v>2</v>
      </c>
      <c r="CT203">
        <v>2</v>
      </c>
      <c r="CU203">
        <v>2</v>
      </c>
      <c r="CV203">
        <v>2</v>
      </c>
      <c r="CW203">
        <v>2</v>
      </c>
      <c r="CX203">
        <v>1</v>
      </c>
      <c r="CY203">
        <v>2</v>
      </c>
    </row>
    <row r="204" spans="1:103" x14ac:dyDescent="0.3">
      <c r="A204">
        <v>1058</v>
      </c>
      <c r="B204" t="s">
        <v>784</v>
      </c>
      <c r="D204">
        <v>2</v>
      </c>
      <c r="E204">
        <v>2</v>
      </c>
      <c r="F204">
        <v>2</v>
      </c>
      <c r="G204">
        <v>2</v>
      </c>
      <c r="H204">
        <v>2</v>
      </c>
      <c r="I204">
        <v>2</v>
      </c>
      <c r="J204">
        <v>2</v>
      </c>
      <c r="K204">
        <v>2</v>
      </c>
      <c r="L204">
        <v>2</v>
      </c>
      <c r="M204">
        <v>2</v>
      </c>
      <c r="N204">
        <v>2</v>
      </c>
      <c r="O204">
        <v>2</v>
      </c>
      <c r="P204">
        <v>2</v>
      </c>
      <c r="Q204">
        <v>2</v>
      </c>
      <c r="R204">
        <v>2</v>
      </c>
      <c r="S204">
        <v>2</v>
      </c>
      <c r="T204">
        <v>1</v>
      </c>
      <c r="U204">
        <v>1</v>
      </c>
      <c r="V204">
        <v>2</v>
      </c>
      <c r="W204">
        <v>1</v>
      </c>
      <c r="X204">
        <v>2</v>
      </c>
      <c r="Y204">
        <v>2</v>
      </c>
      <c r="Z204">
        <v>2</v>
      </c>
      <c r="AA204">
        <v>2</v>
      </c>
      <c r="AB204">
        <v>2</v>
      </c>
      <c r="AC204">
        <v>2</v>
      </c>
      <c r="AD204">
        <v>2</v>
      </c>
      <c r="AE204">
        <v>2</v>
      </c>
      <c r="AF204">
        <v>2</v>
      </c>
      <c r="AG204">
        <v>2</v>
      </c>
      <c r="AH204">
        <v>2</v>
      </c>
      <c r="AI204">
        <v>2</v>
      </c>
      <c r="AJ204">
        <v>2</v>
      </c>
      <c r="AK204">
        <v>2</v>
      </c>
      <c r="AL204">
        <v>2</v>
      </c>
      <c r="AM204">
        <v>2</v>
      </c>
      <c r="AN204">
        <v>2</v>
      </c>
      <c r="AO204">
        <v>2</v>
      </c>
      <c r="AP204">
        <v>1</v>
      </c>
      <c r="AQ204">
        <v>2</v>
      </c>
      <c r="AR204">
        <v>2</v>
      </c>
      <c r="AS204">
        <v>2</v>
      </c>
      <c r="AT204">
        <v>2</v>
      </c>
      <c r="AU204">
        <v>2</v>
      </c>
      <c r="AV204">
        <v>2</v>
      </c>
      <c r="AW204">
        <v>2</v>
      </c>
      <c r="AX204">
        <v>2</v>
      </c>
      <c r="AY204">
        <v>1</v>
      </c>
      <c r="AZ204">
        <v>2</v>
      </c>
      <c r="BA204">
        <v>2</v>
      </c>
      <c r="BB204">
        <v>2</v>
      </c>
      <c r="BC204">
        <v>2</v>
      </c>
      <c r="BD204">
        <v>2</v>
      </c>
      <c r="BE204">
        <v>2</v>
      </c>
      <c r="BF204">
        <v>2</v>
      </c>
      <c r="BG204">
        <v>2</v>
      </c>
      <c r="BH204">
        <v>2</v>
      </c>
      <c r="BI204">
        <v>2</v>
      </c>
      <c r="BJ204">
        <v>2</v>
      </c>
      <c r="BK204">
        <v>2</v>
      </c>
      <c r="BL204">
        <v>2</v>
      </c>
      <c r="BM204">
        <v>2</v>
      </c>
      <c r="BN204">
        <v>2</v>
      </c>
      <c r="BO204">
        <v>2</v>
      </c>
      <c r="BP204">
        <v>2</v>
      </c>
      <c r="BQ204">
        <v>1</v>
      </c>
      <c r="BR204">
        <v>1</v>
      </c>
      <c r="BS204">
        <v>2</v>
      </c>
      <c r="BT204">
        <v>2</v>
      </c>
      <c r="BU204">
        <v>2</v>
      </c>
      <c r="BV204">
        <v>1</v>
      </c>
      <c r="BW204">
        <v>2</v>
      </c>
      <c r="BX204">
        <v>2</v>
      </c>
      <c r="BY204">
        <v>2</v>
      </c>
      <c r="BZ204">
        <v>2</v>
      </c>
      <c r="CA204">
        <v>2</v>
      </c>
      <c r="CB204">
        <v>1</v>
      </c>
      <c r="CC204">
        <v>2</v>
      </c>
      <c r="CD204">
        <v>2</v>
      </c>
      <c r="CE204">
        <v>2</v>
      </c>
      <c r="CF204">
        <v>2</v>
      </c>
      <c r="CG204">
        <v>2</v>
      </c>
      <c r="CH204">
        <v>2</v>
      </c>
      <c r="CI204">
        <v>2</v>
      </c>
      <c r="CJ204">
        <v>1</v>
      </c>
      <c r="CK204">
        <v>2</v>
      </c>
      <c r="CL204">
        <v>1</v>
      </c>
      <c r="CM204">
        <v>1</v>
      </c>
      <c r="CN204">
        <v>2</v>
      </c>
      <c r="CO204">
        <v>2</v>
      </c>
      <c r="CP204">
        <v>2</v>
      </c>
      <c r="CQ204">
        <v>2</v>
      </c>
      <c r="CR204">
        <v>1</v>
      </c>
      <c r="CS204">
        <v>2</v>
      </c>
      <c r="CT204">
        <v>2</v>
      </c>
      <c r="CU204">
        <v>2</v>
      </c>
      <c r="CV204">
        <v>2</v>
      </c>
      <c r="CW204">
        <v>2</v>
      </c>
      <c r="CX204">
        <v>2</v>
      </c>
      <c r="CY204">
        <v>2</v>
      </c>
    </row>
    <row r="205" spans="1:103" x14ac:dyDescent="0.3">
      <c r="A205">
        <v>1059</v>
      </c>
      <c r="B205" t="s">
        <v>1577</v>
      </c>
      <c r="D205">
        <v>1</v>
      </c>
      <c r="E205">
        <v>1</v>
      </c>
      <c r="F205">
        <v>1</v>
      </c>
      <c r="G205">
        <v>1</v>
      </c>
      <c r="H205">
        <v>1</v>
      </c>
      <c r="I205">
        <v>1</v>
      </c>
      <c r="J205">
        <v>1</v>
      </c>
      <c r="K205">
        <v>1</v>
      </c>
      <c r="L205">
        <v>1</v>
      </c>
      <c r="M205">
        <v>1</v>
      </c>
      <c r="N205">
        <v>1</v>
      </c>
      <c r="O205">
        <v>1</v>
      </c>
      <c r="P205">
        <v>1</v>
      </c>
      <c r="Q205">
        <v>1</v>
      </c>
      <c r="R205">
        <v>1</v>
      </c>
      <c r="S205">
        <v>1</v>
      </c>
      <c r="T205">
        <v>1</v>
      </c>
      <c r="U205">
        <v>1</v>
      </c>
      <c r="V205">
        <v>1</v>
      </c>
      <c r="W205">
        <v>1</v>
      </c>
      <c r="X205">
        <v>1</v>
      </c>
      <c r="Y205">
        <v>1</v>
      </c>
      <c r="Z205">
        <v>1</v>
      </c>
      <c r="AA205">
        <v>1</v>
      </c>
      <c r="AB205">
        <v>1</v>
      </c>
      <c r="AC205">
        <v>1</v>
      </c>
      <c r="AD205">
        <v>1</v>
      </c>
      <c r="AE205">
        <v>1</v>
      </c>
      <c r="AF205">
        <v>1</v>
      </c>
      <c r="AG205">
        <v>1</v>
      </c>
      <c r="AH205">
        <v>1</v>
      </c>
      <c r="AI205">
        <v>1</v>
      </c>
      <c r="AJ205">
        <v>1</v>
      </c>
      <c r="AK205">
        <v>1</v>
      </c>
      <c r="AL205">
        <v>1</v>
      </c>
      <c r="AM205">
        <v>1</v>
      </c>
      <c r="AN205">
        <v>1</v>
      </c>
      <c r="AO205">
        <v>1</v>
      </c>
      <c r="AP205">
        <v>1</v>
      </c>
      <c r="AQ205">
        <v>1</v>
      </c>
      <c r="AR205">
        <v>1</v>
      </c>
      <c r="AS205">
        <v>1</v>
      </c>
      <c r="AT205">
        <v>1</v>
      </c>
      <c r="AU205">
        <v>1</v>
      </c>
      <c r="AV205">
        <v>1</v>
      </c>
      <c r="AW205">
        <v>1</v>
      </c>
      <c r="AX205">
        <v>1</v>
      </c>
      <c r="AY205">
        <v>1</v>
      </c>
      <c r="AZ205">
        <v>1</v>
      </c>
      <c r="BA205">
        <v>1</v>
      </c>
      <c r="BB205">
        <v>1</v>
      </c>
      <c r="BC205">
        <v>1</v>
      </c>
      <c r="BD205">
        <v>1</v>
      </c>
      <c r="BE205">
        <v>1</v>
      </c>
      <c r="BF205">
        <v>1</v>
      </c>
      <c r="BG205">
        <v>1</v>
      </c>
      <c r="BH205">
        <v>1</v>
      </c>
      <c r="BI205">
        <v>1</v>
      </c>
      <c r="BJ205">
        <v>1</v>
      </c>
      <c r="BK205">
        <v>1</v>
      </c>
      <c r="BL205">
        <v>1</v>
      </c>
      <c r="BM205">
        <v>1</v>
      </c>
      <c r="BN205">
        <v>1</v>
      </c>
      <c r="BO205">
        <v>1</v>
      </c>
      <c r="BP205">
        <v>1</v>
      </c>
      <c r="BQ205">
        <v>1</v>
      </c>
      <c r="BR205">
        <v>1</v>
      </c>
      <c r="BS205">
        <v>1</v>
      </c>
      <c r="BT205">
        <v>1</v>
      </c>
      <c r="BU205">
        <v>1</v>
      </c>
      <c r="BV205">
        <v>1</v>
      </c>
      <c r="BW205">
        <v>1</v>
      </c>
      <c r="BX205">
        <v>1</v>
      </c>
      <c r="BY205">
        <v>1</v>
      </c>
      <c r="BZ205">
        <v>1</v>
      </c>
      <c r="CA205">
        <v>1</v>
      </c>
      <c r="CB205">
        <v>1</v>
      </c>
      <c r="CC205">
        <v>1</v>
      </c>
      <c r="CD205">
        <v>1</v>
      </c>
      <c r="CE205">
        <v>1</v>
      </c>
      <c r="CF205">
        <v>1</v>
      </c>
      <c r="CG205">
        <v>1</v>
      </c>
      <c r="CH205">
        <v>1</v>
      </c>
      <c r="CI205">
        <v>1</v>
      </c>
      <c r="CJ205">
        <v>1</v>
      </c>
      <c r="CK205">
        <v>1</v>
      </c>
      <c r="CL205">
        <v>1</v>
      </c>
      <c r="CM205">
        <v>1</v>
      </c>
      <c r="CN205">
        <v>1</v>
      </c>
      <c r="CO205">
        <v>1</v>
      </c>
      <c r="CP205">
        <v>1</v>
      </c>
      <c r="CQ205">
        <v>1</v>
      </c>
      <c r="CR205">
        <v>1</v>
      </c>
      <c r="CS205">
        <v>1</v>
      </c>
      <c r="CT205">
        <v>1</v>
      </c>
      <c r="CU205">
        <v>1</v>
      </c>
      <c r="CV205">
        <v>1</v>
      </c>
      <c r="CW205">
        <v>1</v>
      </c>
      <c r="CX205">
        <v>1</v>
      </c>
      <c r="CY205">
        <v>1</v>
      </c>
    </row>
    <row r="206" spans="1:103" x14ac:dyDescent="0.3">
      <c r="A206">
        <v>1060</v>
      </c>
      <c r="B206" t="s">
        <v>1578</v>
      </c>
      <c r="D206">
        <v>11308550</v>
      </c>
      <c r="E206">
        <v>68300</v>
      </c>
      <c r="F206">
        <v>1081616</v>
      </c>
      <c r="G206">
        <v>0</v>
      </c>
      <c r="H206">
        <v>464679</v>
      </c>
      <c r="I206">
        <v>0</v>
      </c>
      <c r="J206">
        <v>5128034</v>
      </c>
      <c r="K206">
        <v>1200971</v>
      </c>
      <c r="L206">
        <v>5606307</v>
      </c>
      <c r="M206">
        <v>12536208</v>
      </c>
      <c r="N206">
        <v>11036280</v>
      </c>
      <c r="O206">
        <v>836374</v>
      </c>
      <c r="P206">
        <v>15674687</v>
      </c>
      <c r="Q206">
        <v>11362181</v>
      </c>
      <c r="R206">
        <v>0</v>
      </c>
      <c r="S206">
        <v>3089214</v>
      </c>
      <c r="T206">
        <v>1003082</v>
      </c>
      <c r="U206">
        <v>10954091</v>
      </c>
      <c r="V206">
        <v>883</v>
      </c>
      <c r="W206">
        <v>5558398</v>
      </c>
      <c r="X206">
        <v>663845</v>
      </c>
      <c r="Y206">
        <v>0</v>
      </c>
      <c r="Z206">
        <v>9512529</v>
      </c>
      <c r="AA206">
        <v>443185</v>
      </c>
      <c r="AB206">
        <v>646406</v>
      </c>
      <c r="AC206">
        <v>5102607</v>
      </c>
      <c r="AD206">
        <v>2696948</v>
      </c>
      <c r="AE206">
        <v>7196637</v>
      </c>
      <c r="AF206">
        <v>0</v>
      </c>
      <c r="AG206">
        <v>1756610</v>
      </c>
      <c r="AH206">
        <v>2134449</v>
      </c>
      <c r="AI206">
        <v>0</v>
      </c>
      <c r="AJ206">
        <v>3071125</v>
      </c>
      <c r="AK206">
        <v>3270010</v>
      </c>
      <c r="AL206">
        <v>1000000</v>
      </c>
      <c r="AM206">
        <v>178747</v>
      </c>
      <c r="AN206">
        <v>0</v>
      </c>
      <c r="AO206">
        <v>553469</v>
      </c>
      <c r="AP206">
        <v>0</v>
      </c>
      <c r="AQ206">
        <v>3440406</v>
      </c>
      <c r="AR206">
        <v>2852681</v>
      </c>
      <c r="AS206">
        <v>0</v>
      </c>
      <c r="AT206">
        <v>0</v>
      </c>
      <c r="AU206">
        <v>3003131</v>
      </c>
      <c r="AV206">
        <v>77727</v>
      </c>
      <c r="AW206">
        <v>2299490</v>
      </c>
      <c r="AX206">
        <v>0</v>
      </c>
      <c r="AY206">
        <v>184082</v>
      </c>
      <c r="AZ206">
        <v>3646977</v>
      </c>
      <c r="BA206">
        <v>220595</v>
      </c>
      <c r="BB206">
        <v>0</v>
      </c>
      <c r="BC206">
        <v>1810594</v>
      </c>
      <c r="BD206">
        <v>1494854</v>
      </c>
      <c r="BE206">
        <v>2450499</v>
      </c>
      <c r="BF206">
        <v>2254791</v>
      </c>
      <c r="BG206">
        <v>1841923</v>
      </c>
      <c r="BH206">
        <v>2062403</v>
      </c>
      <c r="BI206">
        <v>0</v>
      </c>
      <c r="BJ206">
        <v>1604250</v>
      </c>
      <c r="BK206">
        <v>9634155</v>
      </c>
      <c r="BL206">
        <v>0</v>
      </c>
      <c r="BM206">
        <v>0</v>
      </c>
      <c r="BN206">
        <v>10000000</v>
      </c>
      <c r="BO206">
        <v>4633622</v>
      </c>
      <c r="BP206">
        <v>17649119</v>
      </c>
      <c r="BQ206">
        <v>953569</v>
      </c>
      <c r="BR206">
        <v>4062170</v>
      </c>
      <c r="BS206">
        <v>6034083</v>
      </c>
      <c r="BT206">
        <v>0</v>
      </c>
      <c r="BU206">
        <v>0</v>
      </c>
      <c r="BV206">
        <v>222250</v>
      </c>
      <c r="BW206">
        <v>0</v>
      </c>
      <c r="BX206">
        <v>0</v>
      </c>
      <c r="BY206">
        <v>1723622</v>
      </c>
      <c r="BZ206">
        <v>2141033</v>
      </c>
      <c r="CA206">
        <v>292731</v>
      </c>
      <c r="CB206">
        <v>2653479</v>
      </c>
      <c r="CC206">
        <v>2213443</v>
      </c>
      <c r="CD206">
        <v>8341318</v>
      </c>
      <c r="CE206">
        <v>5234382</v>
      </c>
      <c r="CF206">
        <v>10000000</v>
      </c>
      <c r="CG206">
        <v>599435</v>
      </c>
      <c r="CH206">
        <v>846118</v>
      </c>
      <c r="CI206">
        <v>75973</v>
      </c>
      <c r="CJ206">
        <v>0</v>
      </c>
      <c r="CK206">
        <v>4294185</v>
      </c>
      <c r="CL206">
        <v>341115</v>
      </c>
      <c r="CM206">
        <v>4290025</v>
      </c>
      <c r="CN206">
        <v>765061</v>
      </c>
      <c r="CO206">
        <v>2444799</v>
      </c>
      <c r="CP206">
        <v>0</v>
      </c>
      <c r="CQ206">
        <v>46043601</v>
      </c>
      <c r="CR206">
        <v>23672</v>
      </c>
      <c r="CS206">
        <v>1699182</v>
      </c>
      <c r="CT206">
        <v>4094317</v>
      </c>
      <c r="CU206">
        <v>0</v>
      </c>
      <c r="CV206">
        <v>827249</v>
      </c>
      <c r="CW206">
        <v>7944443</v>
      </c>
      <c r="CX206">
        <v>7316373</v>
      </c>
      <c r="CY206">
        <v>3509691</v>
      </c>
    </row>
    <row r="207" spans="1:103" x14ac:dyDescent="0.3">
      <c r="A207">
        <v>1061</v>
      </c>
      <c r="B207" t="s">
        <v>1579</v>
      </c>
      <c r="D207">
        <v>982090</v>
      </c>
      <c r="E207">
        <v>510000</v>
      </c>
      <c r="F207">
        <v>1081616</v>
      </c>
      <c r="G207">
        <v>2374175</v>
      </c>
      <c r="H207">
        <v>0</v>
      </c>
      <c r="I207">
        <v>0</v>
      </c>
      <c r="J207">
        <v>0</v>
      </c>
      <c r="K207">
        <v>136078</v>
      </c>
      <c r="L207">
        <v>751327</v>
      </c>
      <c r="M207">
        <v>0</v>
      </c>
      <c r="N207">
        <v>4458832</v>
      </c>
      <c r="O207">
        <v>1368626</v>
      </c>
      <c r="P207">
        <v>0</v>
      </c>
      <c r="Q207">
        <v>0</v>
      </c>
      <c r="R207">
        <v>1057050</v>
      </c>
      <c r="S207">
        <v>0</v>
      </c>
      <c r="T207">
        <v>0</v>
      </c>
      <c r="U207">
        <v>11776309</v>
      </c>
      <c r="V207">
        <v>14464041</v>
      </c>
      <c r="W207">
        <v>0</v>
      </c>
      <c r="X207">
        <v>0</v>
      </c>
      <c r="Y207">
        <v>0</v>
      </c>
      <c r="Z207">
        <v>0</v>
      </c>
      <c r="AA207">
        <v>10419266</v>
      </c>
      <c r="AB207">
        <v>19192897</v>
      </c>
      <c r="AC207">
        <v>60066083</v>
      </c>
      <c r="AD207">
        <v>0</v>
      </c>
      <c r="AE207">
        <v>0</v>
      </c>
      <c r="AF207">
        <v>0</v>
      </c>
      <c r="AG207">
        <v>0</v>
      </c>
      <c r="AH207">
        <v>26492</v>
      </c>
      <c r="AI207">
        <v>0</v>
      </c>
      <c r="AJ207">
        <v>0</v>
      </c>
      <c r="AK207">
        <v>10700</v>
      </c>
      <c r="AL207">
        <v>0</v>
      </c>
      <c r="AM207">
        <v>2595500</v>
      </c>
      <c r="AN207">
        <v>0</v>
      </c>
      <c r="AO207">
        <v>0</v>
      </c>
      <c r="AP207">
        <v>0</v>
      </c>
      <c r="AQ207">
        <v>652000</v>
      </c>
      <c r="AR207">
        <v>5985495</v>
      </c>
      <c r="AS207">
        <v>0</v>
      </c>
      <c r="AT207">
        <v>0</v>
      </c>
      <c r="AU207">
        <v>3049043</v>
      </c>
      <c r="AV207">
        <v>712000</v>
      </c>
      <c r="AW207">
        <v>0</v>
      </c>
      <c r="AX207">
        <v>0</v>
      </c>
      <c r="AY207">
        <v>774872</v>
      </c>
      <c r="AZ207">
        <v>4101466</v>
      </c>
      <c r="BA207">
        <v>0</v>
      </c>
      <c r="BB207">
        <v>2228600</v>
      </c>
      <c r="BC207">
        <v>20424</v>
      </c>
      <c r="BD207">
        <v>1088886</v>
      </c>
      <c r="BE207">
        <v>9017292</v>
      </c>
      <c r="BF207">
        <v>128048</v>
      </c>
      <c r="BG207">
        <v>5123072</v>
      </c>
      <c r="BH207">
        <v>2062403</v>
      </c>
      <c r="BI207">
        <v>0</v>
      </c>
      <c r="BJ207">
        <v>0</v>
      </c>
      <c r="BK207">
        <v>26900962</v>
      </c>
      <c r="BL207">
        <v>0</v>
      </c>
      <c r="BM207">
        <v>0</v>
      </c>
      <c r="BN207">
        <v>0</v>
      </c>
      <c r="BO207">
        <v>0</v>
      </c>
      <c r="BP207">
        <v>21795589</v>
      </c>
      <c r="BQ207">
        <v>0</v>
      </c>
      <c r="BR207">
        <v>6028540</v>
      </c>
      <c r="BS207">
        <v>0</v>
      </c>
      <c r="BT207">
        <v>0</v>
      </c>
      <c r="BU207">
        <v>7735345</v>
      </c>
      <c r="BV207">
        <v>0</v>
      </c>
      <c r="BW207">
        <v>1309916</v>
      </c>
      <c r="BX207">
        <v>0</v>
      </c>
      <c r="BY207">
        <v>0</v>
      </c>
      <c r="BZ207">
        <v>1792713</v>
      </c>
      <c r="CA207">
        <v>1777203</v>
      </c>
      <c r="CB207">
        <v>3600232</v>
      </c>
      <c r="CC207">
        <v>0</v>
      </c>
      <c r="CD207">
        <v>2741401</v>
      </c>
      <c r="CE207">
        <v>103165</v>
      </c>
      <c r="CF207">
        <v>3019596</v>
      </c>
      <c r="CG207">
        <v>0</v>
      </c>
      <c r="CH207">
        <v>0</v>
      </c>
      <c r="CI207">
        <v>0</v>
      </c>
      <c r="CJ207">
        <v>8855517</v>
      </c>
      <c r="CK207">
        <v>9648821</v>
      </c>
      <c r="CL207">
        <v>0</v>
      </c>
      <c r="CM207">
        <v>2381464</v>
      </c>
      <c r="CN207">
        <v>0</v>
      </c>
      <c r="CO207">
        <v>0</v>
      </c>
      <c r="CP207">
        <v>0</v>
      </c>
      <c r="CQ207">
        <v>10785949</v>
      </c>
      <c r="CR207">
        <v>0</v>
      </c>
      <c r="CS207">
        <v>550097</v>
      </c>
      <c r="CT207">
        <v>0</v>
      </c>
      <c r="CU207">
        <v>0</v>
      </c>
      <c r="CV207">
        <v>12461050</v>
      </c>
      <c r="CW207">
        <v>0</v>
      </c>
      <c r="CX207">
        <v>0</v>
      </c>
      <c r="CY207">
        <v>0</v>
      </c>
    </row>
    <row r="208" spans="1:103" x14ac:dyDescent="0.3">
      <c r="A208">
        <v>1062</v>
      </c>
      <c r="B208" t="s">
        <v>1580</v>
      </c>
      <c r="D208">
        <v>1</v>
      </c>
      <c r="E208">
        <v>1</v>
      </c>
      <c r="F208">
        <v>1</v>
      </c>
      <c r="G208">
        <v>1</v>
      </c>
      <c r="H208">
        <v>1</v>
      </c>
      <c r="I208">
        <v>1</v>
      </c>
      <c r="J208">
        <v>1</v>
      </c>
      <c r="K208">
        <v>1</v>
      </c>
      <c r="L208">
        <v>1</v>
      </c>
      <c r="M208">
        <v>1</v>
      </c>
      <c r="N208">
        <v>1</v>
      </c>
      <c r="O208">
        <v>1</v>
      </c>
      <c r="P208">
        <v>1</v>
      </c>
      <c r="Q208">
        <v>1</v>
      </c>
      <c r="R208">
        <v>1</v>
      </c>
      <c r="S208">
        <v>1</v>
      </c>
      <c r="T208">
        <v>1</v>
      </c>
      <c r="U208">
        <v>1</v>
      </c>
      <c r="V208">
        <v>1</v>
      </c>
      <c r="W208">
        <v>1</v>
      </c>
      <c r="X208">
        <v>1</v>
      </c>
      <c r="Y208">
        <v>0</v>
      </c>
      <c r="Z208">
        <v>1</v>
      </c>
      <c r="AA208">
        <v>1</v>
      </c>
      <c r="AB208">
        <v>1</v>
      </c>
      <c r="AC208">
        <v>1</v>
      </c>
      <c r="AD208">
        <v>1</v>
      </c>
      <c r="AE208">
        <v>1</v>
      </c>
      <c r="AF208">
        <v>1</v>
      </c>
      <c r="AG208">
        <v>1</v>
      </c>
      <c r="AH208">
        <v>1</v>
      </c>
      <c r="AI208">
        <v>1</v>
      </c>
      <c r="AJ208">
        <v>1</v>
      </c>
      <c r="AK208">
        <v>1</v>
      </c>
      <c r="AL208">
        <v>1</v>
      </c>
      <c r="AM208">
        <v>1</v>
      </c>
      <c r="AN208">
        <v>1</v>
      </c>
      <c r="AO208">
        <v>1</v>
      </c>
      <c r="AP208">
        <v>1</v>
      </c>
      <c r="AQ208">
        <v>1</v>
      </c>
      <c r="AR208">
        <v>1</v>
      </c>
      <c r="AS208">
        <v>1</v>
      </c>
      <c r="AT208">
        <v>1</v>
      </c>
      <c r="AU208">
        <v>1</v>
      </c>
      <c r="AV208">
        <v>1</v>
      </c>
      <c r="AW208">
        <v>1</v>
      </c>
      <c r="AX208">
        <v>1</v>
      </c>
      <c r="AY208">
        <v>1</v>
      </c>
      <c r="AZ208">
        <v>1</v>
      </c>
      <c r="BA208">
        <v>1</v>
      </c>
      <c r="BB208">
        <v>1</v>
      </c>
      <c r="BC208">
        <v>1</v>
      </c>
      <c r="BD208">
        <v>1</v>
      </c>
      <c r="BE208">
        <v>1</v>
      </c>
      <c r="BF208">
        <v>1</v>
      </c>
      <c r="BG208">
        <v>1</v>
      </c>
      <c r="BH208">
        <v>1</v>
      </c>
      <c r="BI208">
        <v>1</v>
      </c>
      <c r="BJ208">
        <v>0</v>
      </c>
      <c r="BK208">
        <v>1</v>
      </c>
      <c r="BL208">
        <v>1</v>
      </c>
      <c r="BM208">
        <v>1</v>
      </c>
      <c r="BN208">
        <v>1</v>
      </c>
      <c r="BO208">
        <v>1</v>
      </c>
      <c r="BP208">
        <v>1</v>
      </c>
      <c r="BQ208">
        <v>1</v>
      </c>
      <c r="BR208">
        <v>1</v>
      </c>
      <c r="BS208">
        <v>1</v>
      </c>
      <c r="BT208">
        <v>1</v>
      </c>
      <c r="BU208">
        <v>1</v>
      </c>
      <c r="BV208">
        <v>1</v>
      </c>
      <c r="BW208">
        <v>1</v>
      </c>
      <c r="BX208">
        <v>1</v>
      </c>
      <c r="BY208">
        <v>1</v>
      </c>
      <c r="BZ208">
        <v>1</v>
      </c>
      <c r="CA208">
        <v>1</v>
      </c>
      <c r="CB208">
        <v>1</v>
      </c>
      <c r="CC208">
        <v>1</v>
      </c>
      <c r="CD208">
        <v>1</v>
      </c>
      <c r="CE208">
        <v>1</v>
      </c>
      <c r="CF208">
        <v>1</v>
      </c>
      <c r="CG208">
        <v>1</v>
      </c>
      <c r="CH208">
        <v>1</v>
      </c>
      <c r="CI208">
        <v>2</v>
      </c>
      <c r="CJ208">
        <v>1</v>
      </c>
      <c r="CK208">
        <v>1</v>
      </c>
      <c r="CL208">
        <v>1</v>
      </c>
      <c r="CM208">
        <v>1</v>
      </c>
      <c r="CN208">
        <v>1</v>
      </c>
      <c r="CO208">
        <v>1</v>
      </c>
      <c r="CP208">
        <v>1</v>
      </c>
      <c r="CQ208">
        <v>1</v>
      </c>
      <c r="CR208">
        <v>1</v>
      </c>
      <c r="CS208">
        <v>1</v>
      </c>
      <c r="CT208">
        <v>1</v>
      </c>
      <c r="CU208">
        <v>1</v>
      </c>
      <c r="CV208">
        <v>1</v>
      </c>
      <c r="CW208">
        <v>1</v>
      </c>
      <c r="CX208">
        <v>1</v>
      </c>
      <c r="CY208">
        <v>1</v>
      </c>
    </row>
    <row r="209" spans="1:103" x14ac:dyDescent="0.3">
      <c r="A209">
        <v>1063</v>
      </c>
      <c r="B209" t="s">
        <v>1581</v>
      </c>
      <c r="D209">
        <v>1</v>
      </c>
      <c r="E209">
        <v>1</v>
      </c>
      <c r="F209">
        <v>1</v>
      </c>
      <c r="G209">
        <v>1</v>
      </c>
      <c r="H209">
        <v>1</v>
      </c>
      <c r="I209">
        <v>1</v>
      </c>
      <c r="J209">
        <v>1</v>
      </c>
      <c r="K209">
        <v>1</v>
      </c>
      <c r="L209">
        <v>1</v>
      </c>
      <c r="M209">
        <v>1</v>
      </c>
      <c r="N209">
        <v>1</v>
      </c>
      <c r="O209">
        <v>1</v>
      </c>
      <c r="P209">
        <v>1</v>
      </c>
      <c r="Q209">
        <v>1</v>
      </c>
      <c r="R209">
        <v>1</v>
      </c>
      <c r="S209">
        <v>1</v>
      </c>
      <c r="T209">
        <v>1</v>
      </c>
      <c r="U209">
        <v>1</v>
      </c>
      <c r="V209">
        <v>1</v>
      </c>
      <c r="W209">
        <v>1</v>
      </c>
      <c r="X209">
        <v>1</v>
      </c>
      <c r="Y209">
        <v>0</v>
      </c>
      <c r="Z209">
        <v>1</v>
      </c>
      <c r="AA209">
        <v>1</v>
      </c>
      <c r="AB209">
        <v>1</v>
      </c>
      <c r="AC209">
        <v>1</v>
      </c>
      <c r="AD209">
        <v>1</v>
      </c>
      <c r="AE209">
        <v>1</v>
      </c>
      <c r="AF209">
        <v>1</v>
      </c>
      <c r="AG209">
        <v>1</v>
      </c>
      <c r="AH209">
        <v>1</v>
      </c>
      <c r="AI209">
        <v>1</v>
      </c>
      <c r="AJ209">
        <v>1</v>
      </c>
      <c r="AK209">
        <v>1</v>
      </c>
      <c r="AL209">
        <v>1</v>
      </c>
      <c r="AM209">
        <v>1</v>
      </c>
      <c r="AN209">
        <v>1</v>
      </c>
      <c r="AO209">
        <v>1</v>
      </c>
      <c r="AP209">
        <v>1</v>
      </c>
      <c r="AQ209">
        <v>1</v>
      </c>
      <c r="AR209">
        <v>1</v>
      </c>
      <c r="AS209">
        <v>1</v>
      </c>
      <c r="AT209">
        <v>1</v>
      </c>
      <c r="AU209">
        <v>1</v>
      </c>
      <c r="AV209">
        <v>1</v>
      </c>
      <c r="AW209">
        <v>1</v>
      </c>
      <c r="AX209">
        <v>1</v>
      </c>
      <c r="AY209">
        <v>1</v>
      </c>
      <c r="AZ209">
        <v>1</v>
      </c>
      <c r="BA209">
        <v>1</v>
      </c>
      <c r="BB209">
        <v>1</v>
      </c>
      <c r="BC209">
        <v>1</v>
      </c>
      <c r="BD209">
        <v>1</v>
      </c>
      <c r="BE209">
        <v>1</v>
      </c>
      <c r="BF209">
        <v>1</v>
      </c>
      <c r="BG209">
        <v>1</v>
      </c>
      <c r="BH209">
        <v>1</v>
      </c>
      <c r="BI209">
        <v>1</v>
      </c>
      <c r="BJ209">
        <v>0</v>
      </c>
      <c r="BK209">
        <v>1</v>
      </c>
      <c r="BL209">
        <v>1</v>
      </c>
      <c r="BM209">
        <v>1</v>
      </c>
      <c r="BN209">
        <v>1</v>
      </c>
      <c r="BO209">
        <v>1</v>
      </c>
      <c r="BP209">
        <v>1</v>
      </c>
      <c r="BQ209">
        <v>1</v>
      </c>
      <c r="BR209">
        <v>1</v>
      </c>
      <c r="BS209">
        <v>1</v>
      </c>
      <c r="BT209">
        <v>1</v>
      </c>
      <c r="BU209">
        <v>1</v>
      </c>
      <c r="BV209">
        <v>1</v>
      </c>
      <c r="BW209">
        <v>1</v>
      </c>
      <c r="BX209">
        <v>1</v>
      </c>
      <c r="BY209">
        <v>1</v>
      </c>
      <c r="BZ209">
        <v>1</v>
      </c>
      <c r="CA209">
        <v>1</v>
      </c>
      <c r="CB209">
        <v>1</v>
      </c>
      <c r="CC209">
        <v>1</v>
      </c>
      <c r="CD209">
        <v>1</v>
      </c>
      <c r="CE209">
        <v>1</v>
      </c>
      <c r="CF209">
        <v>1</v>
      </c>
      <c r="CG209">
        <v>1</v>
      </c>
      <c r="CH209">
        <v>1</v>
      </c>
      <c r="CI209">
        <v>1</v>
      </c>
      <c r="CJ209">
        <v>1</v>
      </c>
      <c r="CK209">
        <v>1</v>
      </c>
      <c r="CL209">
        <v>1</v>
      </c>
      <c r="CM209">
        <v>1</v>
      </c>
      <c r="CN209">
        <v>1</v>
      </c>
      <c r="CO209">
        <v>1</v>
      </c>
      <c r="CP209">
        <v>1</v>
      </c>
      <c r="CQ209">
        <v>1</v>
      </c>
      <c r="CR209">
        <v>1</v>
      </c>
      <c r="CS209">
        <v>1</v>
      </c>
      <c r="CT209">
        <v>1</v>
      </c>
      <c r="CU209">
        <v>1</v>
      </c>
      <c r="CV209">
        <v>1</v>
      </c>
      <c r="CW209">
        <v>1</v>
      </c>
      <c r="CX209">
        <v>1</v>
      </c>
      <c r="CY209">
        <v>1</v>
      </c>
    </row>
    <row r="210" spans="1:103" x14ac:dyDescent="0.3">
      <c r="A210">
        <v>1064</v>
      </c>
      <c r="B210" t="s">
        <v>1321</v>
      </c>
      <c r="D210">
        <v>7562306</v>
      </c>
      <c r="E210">
        <v>68300</v>
      </c>
      <c r="F210">
        <v>1081616</v>
      </c>
      <c r="G210">
        <v>0</v>
      </c>
      <c r="H210">
        <v>464679</v>
      </c>
      <c r="I210">
        <v>0</v>
      </c>
      <c r="J210">
        <v>5147266</v>
      </c>
      <c r="K210">
        <v>1200971</v>
      </c>
      <c r="L210">
        <v>5606307</v>
      </c>
      <c r="M210">
        <v>12536308</v>
      </c>
      <c r="N210">
        <v>11085275</v>
      </c>
      <c r="O210">
        <v>836374</v>
      </c>
      <c r="P210">
        <v>15674687</v>
      </c>
      <c r="Q210">
        <v>11362181</v>
      </c>
      <c r="R210">
        <v>0</v>
      </c>
      <c r="S210">
        <v>3089214</v>
      </c>
      <c r="T210">
        <v>1003082</v>
      </c>
      <c r="U210">
        <v>10954091</v>
      </c>
      <c r="V210">
        <v>68616</v>
      </c>
      <c r="W210">
        <v>5558398</v>
      </c>
      <c r="X210">
        <v>663845</v>
      </c>
      <c r="Y210">
        <v>1090745</v>
      </c>
      <c r="Z210">
        <v>484386</v>
      </c>
      <c r="AA210">
        <v>443185</v>
      </c>
      <c r="AB210">
        <v>646406</v>
      </c>
      <c r="AC210">
        <v>5095835</v>
      </c>
      <c r="AD210">
        <v>2696949</v>
      </c>
      <c r="AE210">
        <v>7188564</v>
      </c>
      <c r="AF210">
        <v>0</v>
      </c>
      <c r="AG210">
        <v>1756610</v>
      </c>
      <c r="AH210">
        <v>0</v>
      </c>
      <c r="AI210">
        <v>0</v>
      </c>
      <c r="AJ210">
        <v>3071125</v>
      </c>
      <c r="AK210">
        <v>9513808</v>
      </c>
      <c r="AL210">
        <v>1000000</v>
      </c>
      <c r="AM210">
        <v>178747</v>
      </c>
      <c r="AN210">
        <v>0</v>
      </c>
      <c r="AO210">
        <v>737455</v>
      </c>
      <c r="AP210">
        <v>0</v>
      </c>
      <c r="AQ210">
        <v>3440406</v>
      </c>
      <c r="AR210">
        <v>2852681</v>
      </c>
      <c r="AS210">
        <v>0</v>
      </c>
      <c r="AT210">
        <v>0</v>
      </c>
      <c r="AU210">
        <v>3003131</v>
      </c>
      <c r="AV210">
        <v>77727</v>
      </c>
      <c r="AW210">
        <v>2299490</v>
      </c>
      <c r="AX210">
        <v>0</v>
      </c>
      <c r="AY210">
        <v>184082</v>
      </c>
      <c r="AZ210">
        <v>3646977</v>
      </c>
      <c r="BA210">
        <v>220595</v>
      </c>
      <c r="BB210">
        <v>0</v>
      </c>
      <c r="BC210">
        <v>1810594</v>
      </c>
      <c r="BD210">
        <v>1494854</v>
      </c>
      <c r="BE210">
        <v>2450499</v>
      </c>
      <c r="BF210">
        <v>2254791</v>
      </c>
      <c r="BG210">
        <v>1841923</v>
      </c>
      <c r="BH210">
        <v>2062403</v>
      </c>
      <c r="BI210">
        <v>0</v>
      </c>
      <c r="BJ210">
        <v>1733147</v>
      </c>
      <c r="BK210">
        <v>9634155</v>
      </c>
      <c r="BL210">
        <v>0</v>
      </c>
      <c r="BM210">
        <v>0</v>
      </c>
      <c r="BN210">
        <v>10000000</v>
      </c>
      <c r="BO210">
        <v>4144743</v>
      </c>
      <c r="BP210">
        <v>11753039</v>
      </c>
      <c r="BQ210">
        <v>953569</v>
      </c>
      <c r="BR210">
        <v>4062170</v>
      </c>
      <c r="BS210">
        <v>5708508</v>
      </c>
      <c r="BT210">
        <v>0</v>
      </c>
      <c r="BU210">
        <v>0</v>
      </c>
      <c r="BV210">
        <v>222250</v>
      </c>
      <c r="BW210">
        <v>0</v>
      </c>
      <c r="BX210">
        <v>0</v>
      </c>
      <c r="BY210">
        <v>1723622</v>
      </c>
      <c r="BZ210">
        <v>2141033</v>
      </c>
      <c r="CA210">
        <v>292731</v>
      </c>
      <c r="CB210">
        <v>2653479</v>
      </c>
      <c r="CC210">
        <v>2213443</v>
      </c>
      <c r="CD210">
        <v>8341319</v>
      </c>
      <c r="CE210">
        <v>5234382</v>
      </c>
      <c r="CF210">
        <v>10000000</v>
      </c>
      <c r="CG210">
        <v>599435</v>
      </c>
      <c r="CH210">
        <v>846118</v>
      </c>
      <c r="CI210">
        <v>75973</v>
      </c>
      <c r="CJ210">
        <v>0</v>
      </c>
      <c r="CK210">
        <v>4294185</v>
      </c>
      <c r="CL210">
        <v>452234</v>
      </c>
      <c r="CM210">
        <v>4290025</v>
      </c>
      <c r="CN210">
        <v>765061</v>
      </c>
      <c r="CO210">
        <v>1257717</v>
      </c>
      <c r="CP210">
        <v>0</v>
      </c>
      <c r="CQ210">
        <v>49194131</v>
      </c>
      <c r="CR210">
        <v>23671</v>
      </c>
      <c r="CS210">
        <v>1699182</v>
      </c>
      <c r="CT210">
        <v>4057772</v>
      </c>
      <c r="CU210">
        <v>0</v>
      </c>
      <c r="CV210">
        <v>827249</v>
      </c>
      <c r="CW210">
        <v>7944443</v>
      </c>
      <c r="CX210">
        <v>7316373</v>
      </c>
      <c r="CY210">
        <v>3469634</v>
      </c>
    </row>
    <row r="211" spans="1:103" x14ac:dyDescent="0.3">
      <c r="A211">
        <v>1065</v>
      </c>
      <c r="B211" t="s">
        <v>1322</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131911</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v>0</v>
      </c>
      <c r="CB211">
        <v>0</v>
      </c>
      <c r="CC211">
        <v>0</v>
      </c>
      <c r="CD211">
        <v>0</v>
      </c>
      <c r="CE211">
        <v>0</v>
      </c>
      <c r="CF211">
        <v>0</v>
      </c>
      <c r="CG211">
        <v>0</v>
      </c>
      <c r="CH211">
        <v>0</v>
      </c>
      <c r="CI211">
        <v>0</v>
      </c>
      <c r="CJ211">
        <v>0</v>
      </c>
      <c r="CK211">
        <v>0</v>
      </c>
      <c r="CL211">
        <v>0</v>
      </c>
      <c r="CM211">
        <v>0</v>
      </c>
      <c r="CN211">
        <v>0</v>
      </c>
      <c r="CO211">
        <v>0</v>
      </c>
      <c r="CP211">
        <v>0</v>
      </c>
      <c r="CQ211">
        <v>0</v>
      </c>
      <c r="CR211">
        <v>0</v>
      </c>
      <c r="CS211">
        <v>0</v>
      </c>
      <c r="CT211">
        <v>0</v>
      </c>
      <c r="CU211">
        <v>0</v>
      </c>
      <c r="CV211">
        <v>0</v>
      </c>
      <c r="CW211">
        <v>0</v>
      </c>
      <c r="CX211">
        <v>0</v>
      </c>
      <c r="CY211">
        <v>0</v>
      </c>
    </row>
    <row r="212" spans="1:103" x14ac:dyDescent="0.3">
      <c r="A212">
        <v>1066</v>
      </c>
      <c r="B212" t="s">
        <v>1582</v>
      </c>
      <c r="D212" t="s">
        <v>1583</v>
      </c>
      <c r="E212" t="s">
        <v>1584</v>
      </c>
      <c r="F212" t="s">
        <v>1585</v>
      </c>
      <c r="G212" t="s">
        <v>1782</v>
      </c>
      <c r="H212" t="s">
        <v>1586</v>
      </c>
      <c r="I212" t="s">
        <v>1583</v>
      </c>
      <c r="J212" t="s">
        <v>1587</v>
      </c>
      <c r="K212" t="s">
        <v>1588</v>
      </c>
      <c r="L212" t="s">
        <v>1583</v>
      </c>
      <c r="M212" t="s">
        <v>1589</v>
      </c>
      <c r="N212" t="s">
        <v>1590</v>
      </c>
      <c r="O212" t="s">
        <v>1591</v>
      </c>
      <c r="P212" t="s">
        <v>1583</v>
      </c>
      <c r="Q212" t="s">
        <v>1592</v>
      </c>
      <c r="R212" t="s">
        <v>1583</v>
      </c>
      <c r="S212" t="s">
        <v>1593</v>
      </c>
      <c r="T212" t="s">
        <v>1783</v>
      </c>
      <c r="U212" t="s">
        <v>1585</v>
      </c>
      <c r="V212" t="s">
        <v>1594</v>
      </c>
      <c r="W212" t="s">
        <v>1784</v>
      </c>
      <c r="X212" t="s">
        <v>1595</v>
      </c>
      <c r="Y212" t="s">
        <v>1596</v>
      </c>
      <c r="Z212" t="s">
        <v>1585</v>
      </c>
      <c r="AA212" t="s">
        <v>1785</v>
      </c>
      <c r="AB212" t="s">
        <v>1583</v>
      </c>
      <c r="AC212" t="s">
        <v>1597</v>
      </c>
      <c r="AD212" t="s">
        <v>1598</v>
      </c>
      <c r="AE212" t="s">
        <v>1585</v>
      </c>
      <c r="AF212" t="s">
        <v>1599</v>
      </c>
      <c r="AG212" t="s">
        <v>1600</v>
      </c>
      <c r="AH212" t="s">
        <v>1730</v>
      </c>
      <c r="AI212" t="s">
        <v>1583</v>
      </c>
      <c r="AJ212" t="s">
        <v>1601</v>
      </c>
      <c r="AK212" t="s">
        <v>1602</v>
      </c>
      <c r="AL212" t="s">
        <v>1603</v>
      </c>
      <c r="AM212" t="s">
        <v>1604</v>
      </c>
      <c r="AN212" t="s">
        <v>1605</v>
      </c>
      <c r="AO212" t="s">
        <v>1606</v>
      </c>
      <c r="AP212" t="s">
        <v>1588</v>
      </c>
      <c r="AQ212" t="s">
        <v>1607</v>
      </c>
      <c r="AR212" t="s">
        <v>1590</v>
      </c>
      <c r="AS212" t="s">
        <v>1599</v>
      </c>
      <c r="AT212" t="s">
        <v>1599</v>
      </c>
      <c r="AU212" t="s">
        <v>1608</v>
      </c>
      <c r="AV212" t="s">
        <v>1583</v>
      </c>
      <c r="AW212" t="s">
        <v>1786</v>
      </c>
      <c r="AX212" t="s">
        <v>1583</v>
      </c>
      <c r="AY212" t="s">
        <v>1719</v>
      </c>
      <c r="AZ212" t="s">
        <v>1609</v>
      </c>
      <c r="BA212" t="s">
        <v>1590</v>
      </c>
      <c r="BB212" t="s">
        <v>1610</v>
      </c>
      <c r="BC212" t="s">
        <v>1611</v>
      </c>
      <c r="BD212" t="s">
        <v>1585</v>
      </c>
      <c r="BE212" t="s">
        <v>1590</v>
      </c>
      <c r="BF212" t="s">
        <v>1583</v>
      </c>
      <c r="BG212" t="s">
        <v>1587</v>
      </c>
      <c r="BH212" t="s">
        <v>1612</v>
      </c>
      <c r="BI212" t="s">
        <v>1613</v>
      </c>
      <c r="BJ212" t="s">
        <v>1608</v>
      </c>
      <c r="BK212" t="s">
        <v>1614</v>
      </c>
      <c r="BL212" t="s">
        <v>1591</v>
      </c>
      <c r="BM212" t="s">
        <v>1615</v>
      </c>
      <c r="BN212" t="s">
        <v>1616</v>
      </c>
      <c r="BO212" t="s">
        <v>1587</v>
      </c>
      <c r="BP212" t="s">
        <v>1583</v>
      </c>
      <c r="BQ212" t="s">
        <v>1787</v>
      </c>
      <c r="BR212" t="s">
        <v>1617</v>
      </c>
      <c r="BS212" t="s">
        <v>1618</v>
      </c>
      <c r="BT212" t="s">
        <v>1587</v>
      </c>
      <c r="BU212" t="s">
        <v>1597</v>
      </c>
      <c r="BV212" t="s">
        <v>1610</v>
      </c>
      <c r="BW212" t="s">
        <v>1583</v>
      </c>
      <c r="BX212" t="s">
        <v>1619</v>
      </c>
      <c r="BY212" t="s">
        <v>1583</v>
      </c>
      <c r="BZ212" t="s">
        <v>1620</v>
      </c>
      <c r="CA212" t="s">
        <v>1583</v>
      </c>
      <c r="CB212" t="s">
        <v>1621</v>
      </c>
      <c r="CC212" t="s">
        <v>1622</v>
      </c>
      <c r="CD212" t="s">
        <v>1619</v>
      </c>
      <c r="CE212" t="s">
        <v>1583</v>
      </c>
      <c r="CF212" t="s">
        <v>1583</v>
      </c>
      <c r="CG212" t="s">
        <v>1623</v>
      </c>
      <c r="CH212" t="s">
        <v>1622</v>
      </c>
      <c r="CI212" t="s">
        <v>1619</v>
      </c>
      <c r="CJ212" t="s">
        <v>1624</v>
      </c>
      <c r="CK212" t="s">
        <v>1625</v>
      </c>
      <c r="CL212" t="s">
        <v>1626</v>
      </c>
      <c r="CM212" t="s">
        <v>1627</v>
      </c>
      <c r="CN212" t="s">
        <v>1583</v>
      </c>
      <c r="CO212" t="s">
        <v>1585</v>
      </c>
      <c r="CP212" t="s">
        <v>1628</v>
      </c>
      <c r="CQ212" t="s">
        <v>1587</v>
      </c>
      <c r="CR212" t="s">
        <v>1622</v>
      </c>
      <c r="CS212" t="s">
        <v>1605</v>
      </c>
      <c r="CT212" t="s">
        <v>1590</v>
      </c>
      <c r="CU212" t="s">
        <v>1583</v>
      </c>
      <c r="CV212" t="s">
        <v>1599</v>
      </c>
      <c r="CW212" t="s">
        <v>1590</v>
      </c>
      <c r="CX212" t="s">
        <v>1595</v>
      </c>
      <c r="CY212" t="s">
        <v>1629</v>
      </c>
    </row>
    <row r="213" spans="1:103" x14ac:dyDescent="0.3">
      <c r="A213">
        <v>9000</v>
      </c>
      <c r="B213" t="s">
        <v>674</v>
      </c>
      <c r="C213" t="s">
        <v>300</v>
      </c>
      <c r="D213">
        <v>3350666064.1100001</v>
      </c>
      <c r="E213">
        <v>866423227.10000002</v>
      </c>
      <c r="F213">
        <v>350803555.62</v>
      </c>
      <c r="G213">
        <v>827957243.62</v>
      </c>
      <c r="H213">
        <v>713946035.42999995</v>
      </c>
      <c r="I213">
        <v>670242932.64999998</v>
      </c>
      <c r="J213">
        <v>1439805032.3399999</v>
      </c>
      <c r="K213">
        <v>574798560.29999995</v>
      </c>
      <c r="L213">
        <v>1185722344.5999999</v>
      </c>
      <c r="M213">
        <v>8498773099.1199999</v>
      </c>
      <c r="N213">
        <v>6927235265.7799997</v>
      </c>
      <c r="O213">
        <v>1650907641.3199999</v>
      </c>
      <c r="P213">
        <v>6086152102.6000004</v>
      </c>
      <c r="Q213">
        <v>1501040618.4200001</v>
      </c>
      <c r="R213">
        <v>469874113.12</v>
      </c>
      <c r="S213">
        <v>1760254691.98</v>
      </c>
      <c r="T213">
        <v>497971798.44</v>
      </c>
      <c r="U213">
        <v>3846708442</v>
      </c>
      <c r="V213">
        <v>3232487330.04</v>
      </c>
      <c r="W213">
        <v>808917335.41999996</v>
      </c>
      <c r="X213">
        <v>504243147.87</v>
      </c>
      <c r="Y213">
        <v>410422795.63999999</v>
      </c>
      <c r="Z213">
        <v>2599690699.0799999</v>
      </c>
      <c r="AA213">
        <v>1687638292.8299999</v>
      </c>
      <c r="AB213">
        <v>2335155384.8206</v>
      </c>
      <c r="AC213">
        <v>6505305873.9300003</v>
      </c>
      <c r="AD213">
        <v>2243351144.1500001</v>
      </c>
      <c r="AE213">
        <v>3787059218.6799998</v>
      </c>
      <c r="AF213">
        <v>2958814333.23</v>
      </c>
      <c r="AG213">
        <v>1346777531.0599999</v>
      </c>
      <c r="AH213">
        <v>1668222351.6400001</v>
      </c>
      <c r="AI213">
        <v>10619117149.620001</v>
      </c>
      <c r="AJ213">
        <v>1229368839.46</v>
      </c>
      <c r="AK213">
        <v>9107605123.8075008</v>
      </c>
      <c r="AL213">
        <v>2124123819.53</v>
      </c>
      <c r="AM213">
        <v>5253899057.2200003</v>
      </c>
      <c r="AN213">
        <v>281898929.23000002</v>
      </c>
      <c r="AO213">
        <v>340248893.63</v>
      </c>
      <c r="AP213">
        <v>1377817383.9400001</v>
      </c>
      <c r="AQ213">
        <v>664167390.04999995</v>
      </c>
      <c r="AR213">
        <v>8753204727.6200008</v>
      </c>
      <c r="AS213">
        <v>1298532283.23</v>
      </c>
      <c r="AT213">
        <v>5253667686.6400003</v>
      </c>
      <c r="AU213">
        <v>1689451217.8900001</v>
      </c>
      <c r="AV213">
        <v>2978871169.5799999</v>
      </c>
      <c r="AW213">
        <v>605398986.71000004</v>
      </c>
      <c r="AX213">
        <v>1527068528.95</v>
      </c>
      <c r="AY213">
        <v>344557551.12</v>
      </c>
      <c r="AZ213">
        <v>5458427506.9700003</v>
      </c>
      <c r="BA213">
        <v>1443476709.8299999</v>
      </c>
      <c r="BB213">
        <v>8263835625.79</v>
      </c>
      <c r="BC213">
        <v>492198294.12</v>
      </c>
      <c r="BD213">
        <v>1299134464.46</v>
      </c>
      <c r="BE213">
        <v>1120497007.5799999</v>
      </c>
      <c r="BF213">
        <v>3292815900.8699999</v>
      </c>
      <c r="BG213">
        <v>1112128219.9649999</v>
      </c>
      <c r="BH213">
        <v>460795710.74000001</v>
      </c>
      <c r="BI213">
        <v>714187482.82000005</v>
      </c>
      <c r="BJ213">
        <v>869036626.02999997</v>
      </c>
      <c r="BK213">
        <v>29251109792.349998</v>
      </c>
      <c r="BL213">
        <v>320021246.76999998</v>
      </c>
      <c r="BM213">
        <v>1354021136.01</v>
      </c>
      <c r="BN213">
        <v>3493297622.54</v>
      </c>
      <c r="BO213">
        <v>2135437506.05</v>
      </c>
      <c r="BP213">
        <v>9167876140.073</v>
      </c>
      <c r="BQ213">
        <v>813823166.25999999</v>
      </c>
      <c r="BR213">
        <v>3944483073.9200001</v>
      </c>
      <c r="BS213">
        <v>4457976432.6599998</v>
      </c>
      <c r="BT213">
        <v>429221957.63</v>
      </c>
      <c r="BU213">
        <v>1232199004.4200001</v>
      </c>
      <c r="BV213">
        <v>2216925394.3899999</v>
      </c>
      <c r="BW213">
        <v>353193598.25999999</v>
      </c>
      <c r="BX213">
        <v>1194965145.0799999</v>
      </c>
      <c r="BY213">
        <v>3305969561.7644</v>
      </c>
      <c r="BZ213">
        <v>625115290.90999997</v>
      </c>
      <c r="CA213">
        <v>2655723632.48</v>
      </c>
      <c r="CB213">
        <v>1220021464.1500001</v>
      </c>
      <c r="CC213">
        <v>2350420053.4299998</v>
      </c>
      <c r="CD213">
        <v>2177080732.4000001</v>
      </c>
      <c r="CE213">
        <v>2605788076.9899998</v>
      </c>
      <c r="CF213">
        <v>1611800370.3499999</v>
      </c>
      <c r="CG213">
        <v>1941894091.45</v>
      </c>
      <c r="CH213">
        <v>842929730.35000002</v>
      </c>
      <c r="CI213">
        <v>1420117207.29</v>
      </c>
      <c r="CJ213">
        <v>1041585602.05</v>
      </c>
      <c r="CK213">
        <v>1840386562.9000001</v>
      </c>
      <c r="CL213">
        <v>572989583.05999994</v>
      </c>
      <c r="CM213">
        <v>1081581550.6700001</v>
      </c>
      <c r="CN213">
        <v>196948668.66</v>
      </c>
      <c r="CO213">
        <v>11778302678.1</v>
      </c>
      <c r="CP213">
        <v>903336563.11000001</v>
      </c>
      <c r="CQ213">
        <v>29667657980.470001</v>
      </c>
      <c r="CR213">
        <v>746597371.98000002</v>
      </c>
      <c r="CS213">
        <v>380536149.24000001</v>
      </c>
      <c r="CT213">
        <v>1727484634.3399999</v>
      </c>
      <c r="CU213">
        <v>2489333308.1100001</v>
      </c>
      <c r="CV213">
        <v>1319420669.6300001</v>
      </c>
      <c r="CW213">
        <v>1864386788.52</v>
      </c>
      <c r="CX213">
        <v>824617514.07000005</v>
      </c>
      <c r="CY213">
        <v>481335156.74000001</v>
      </c>
    </row>
    <row r="214" spans="1:103" x14ac:dyDescent="0.3">
      <c r="A214">
        <v>9001</v>
      </c>
      <c r="B214" t="s">
        <v>675</v>
      </c>
      <c r="C214" t="s">
        <v>676</v>
      </c>
      <c r="D214">
        <v>355164184</v>
      </c>
      <c r="E214">
        <v>66251947</v>
      </c>
      <c r="F214">
        <v>37645563</v>
      </c>
      <c r="G214">
        <v>62971467</v>
      </c>
      <c r="H214">
        <v>87758216</v>
      </c>
      <c r="I214">
        <v>91038442</v>
      </c>
      <c r="J214">
        <v>94092554</v>
      </c>
      <c r="K214">
        <v>48204961</v>
      </c>
      <c r="L214">
        <v>103994996</v>
      </c>
      <c r="M214">
        <v>460740672</v>
      </c>
      <c r="N214">
        <v>687808684</v>
      </c>
      <c r="O214">
        <v>170565672</v>
      </c>
      <c r="P214">
        <v>649974682</v>
      </c>
      <c r="Q214">
        <v>118899825</v>
      </c>
      <c r="R214">
        <v>42277118</v>
      </c>
      <c r="S214">
        <v>163607804</v>
      </c>
      <c r="T214">
        <v>52558232</v>
      </c>
      <c r="U214">
        <v>428268586</v>
      </c>
      <c r="V214">
        <v>340314152</v>
      </c>
      <c r="W214">
        <v>87910833</v>
      </c>
      <c r="X214">
        <v>54352388</v>
      </c>
      <c r="Y214">
        <v>41097516</v>
      </c>
      <c r="Z214">
        <v>303242370</v>
      </c>
      <c r="AA214">
        <v>213372662</v>
      </c>
      <c r="AB214">
        <v>212372036</v>
      </c>
      <c r="AC214">
        <v>653698562</v>
      </c>
      <c r="AD214">
        <v>276825494</v>
      </c>
      <c r="AE214">
        <v>433246705</v>
      </c>
      <c r="AF214">
        <v>319538783</v>
      </c>
      <c r="AG214">
        <v>84109917</v>
      </c>
      <c r="AH214">
        <v>137277754</v>
      </c>
      <c r="AI214">
        <v>1072181753</v>
      </c>
      <c r="AJ214">
        <v>96981849</v>
      </c>
      <c r="AK214">
        <v>986291083</v>
      </c>
      <c r="AL214">
        <v>168391706</v>
      </c>
      <c r="AM214">
        <v>497893526</v>
      </c>
      <c r="AN214">
        <v>21693708</v>
      </c>
      <c r="AO214">
        <v>39360458</v>
      </c>
      <c r="AP214">
        <v>154178720</v>
      </c>
      <c r="AQ214">
        <v>46609625</v>
      </c>
      <c r="AR214">
        <v>932310501</v>
      </c>
      <c r="AS214">
        <v>99596112</v>
      </c>
      <c r="AT214">
        <v>329928276</v>
      </c>
      <c r="AU214">
        <v>207317045</v>
      </c>
      <c r="AV214">
        <v>316377748</v>
      </c>
      <c r="AW214">
        <v>66633452</v>
      </c>
      <c r="AX214">
        <v>141098324</v>
      </c>
      <c r="AY214">
        <v>39558473</v>
      </c>
      <c r="AZ214">
        <v>738227812</v>
      </c>
      <c r="BA214">
        <v>201322392</v>
      </c>
      <c r="BB214">
        <v>459248724</v>
      </c>
      <c r="BC214">
        <v>67407409</v>
      </c>
      <c r="BD214">
        <v>117532827</v>
      </c>
      <c r="BE214">
        <v>96657457</v>
      </c>
      <c r="BF214">
        <v>282124394</v>
      </c>
      <c r="BG214">
        <v>118866349</v>
      </c>
      <c r="BH214">
        <v>38265492</v>
      </c>
      <c r="BI214">
        <v>79895331</v>
      </c>
      <c r="BJ214">
        <v>98896292</v>
      </c>
      <c r="BK214">
        <v>3179911958</v>
      </c>
      <c r="BL214">
        <v>38164536</v>
      </c>
      <c r="BM214">
        <v>164732465</v>
      </c>
      <c r="BN214">
        <v>320864293</v>
      </c>
      <c r="BO214">
        <v>216119352</v>
      </c>
      <c r="BP214">
        <v>1099538993</v>
      </c>
      <c r="BQ214">
        <v>73740003</v>
      </c>
      <c r="BR214">
        <v>372530555</v>
      </c>
      <c r="BS214">
        <v>429283948</v>
      </c>
      <c r="BT214">
        <v>30325818</v>
      </c>
      <c r="BU214">
        <v>102982628</v>
      </c>
      <c r="BV214">
        <v>142191022</v>
      </c>
      <c r="BW214">
        <v>31025206</v>
      </c>
      <c r="BX214">
        <v>138034339</v>
      </c>
      <c r="BY214">
        <v>387215000</v>
      </c>
      <c r="BZ214">
        <v>76172375</v>
      </c>
      <c r="CA214">
        <v>320701551</v>
      </c>
      <c r="CB214">
        <v>76913543</v>
      </c>
      <c r="CC214">
        <v>177523090</v>
      </c>
      <c r="CD214">
        <v>205283085</v>
      </c>
      <c r="CE214">
        <v>231685484</v>
      </c>
      <c r="CF214">
        <v>188195976</v>
      </c>
      <c r="CG214">
        <v>217232315</v>
      </c>
      <c r="CH214">
        <v>80335852</v>
      </c>
      <c r="CI214">
        <v>113352972</v>
      </c>
      <c r="CJ214">
        <v>114087401</v>
      </c>
      <c r="CK214">
        <v>215734407</v>
      </c>
      <c r="CL214">
        <v>94676185</v>
      </c>
      <c r="CM214">
        <v>112276212</v>
      </c>
      <c r="CN214">
        <v>9170369</v>
      </c>
      <c r="CO214">
        <v>684336460</v>
      </c>
      <c r="CP214">
        <v>89887017</v>
      </c>
      <c r="CQ214">
        <v>2729938598</v>
      </c>
      <c r="CR214">
        <v>51424169</v>
      </c>
      <c r="CS214">
        <v>40699039</v>
      </c>
      <c r="CT214">
        <v>266480238</v>
      </c>
      <c r="CU214">
        <v>325368331</v>
      </c>
      <c r="CV214">
        <v>124836361</v>
      </c>
      <c r="CW214">
        <v>154095783</v>
      </c>
      <c r="CX214">
        <v>94960928</v>
      </c>
      <c r="CY214">
        <v>44731342</v>
      </c>
    </row>
    <row r="215" spans="1:103" x14ac:dyDescent="0.3">
      <c r="A215">
        <v>9002</v>
      </c>
      <c r="B215" t="s">
        <v>677</v>
      </c>
      <c r="C215" t="s">
        <v>678</v>
      </c>
      <c r="D215">
        <v>61645492</v>
      </c>
      <c r="E215">
        <v>7363896</v>
      </c>
      <c r="F215">
        <v>3990063</v>
      </c>
      <c r="G215">
        <v>4491546</v>
      </c>
      <c r="H215">
        <v>8229153</v>
      </c>
      <c r="I215">
        <v>1869713</v>
      </c>
      <c r="J215">
        <v>9000814</v>
      </c>
      <c r="K215">
        <v>3132357</v>
      </c>
      <c r="L215">
        <v>6281084</v>
      </c>
      <c r="M215">
        <v>42250638</v>
      </c>
      <c r="N215">
        <v>138844291</v>
      </c>
      <c r="O215">
        <v>22495158</v>
      </c>
      <c r="P215">
        <v>131890308</v>
      </c>
      <c r="Q215">
        <v>37891892</v>
      </c>
      <c r="R215">
        <v>2226288</v>
      </c>
      <c r="S215">
        <v>18941645</v>
      </c>
      <c r="T215">
        <v>8029123</v>
      </c>
      <c r="U215">
        <v>46685927</v>
      </c>
      <c r="V215">
        <v>39102035</v>
      </c>
      <c r="W215">
        <v>10479476</v>
      </c>
      <c r="X215">
        <v>2603930</v>
      </c>
      <c r="Y215">
        <v>5917953</v>
      </c>
      <c r="Z215">
        <v>73152286</v>
      </c>
      <c r="AA215">
        <v>22014871</v>
      </c>
      <c r="AB215">
        <v>37980000</v>
      </c>
      <c r="AC215">
        <v>108920568</v>
      </c>
      <c r="AD215">
        <v>9771620</v>
      </c>
      <c r="AE215">
        <v>49722410</v>
      </c>
      <c r="AF215">
        <v>36944794</v>
      </c>
      <c r="AG215">
        <v>17931069</v>
      </c>
      <c r="AH215">
        <v>28946234</v>
      </c>
      <c r="AI215">
        <v>121093977</v>
      </c>
      <c r="AJ215">
        <v>9035873</v>
      </c>
      <c r="AK215">
        <v>191767480</v>
      </c>
      <c r="AL215">
        <v>27194253</v>
      </c>
      <c r="AM215">
        <v>98622268</v>
      </c>
      <c r="AN215">
        <v>2633410</v>
      </c>
      <c r="AO215">
        <v>8196997</v>
      </c>
      <c r="AP215">
        <v>17839176</v>
      </c>
      <c r="AQ215">
        <v>1933865</v>
      </c>
      <c r="AR215">
        <v>219428951</v>
      </c>
      <c r="AS215">
        <v>15857322</v>
      </c>
      <c r="AT215">
        <v>56423430</v>
      </c>
      <c r="AU215">
        <v>24211616</v>
      </c>
      <c r="AV215">
        <v>53424590</v>
      </c>
      <c r="AW215">
        <v>4106332</v>
      </c>
      <c r="AX215">
        <v>29242404</v>
      </c>
      <c r="AY215">
        <v>2929163</v>
      </c>
      <c r="AZ215">
        <v>70867009</v>
      </c>
      <c r="BA215">
        <v>19605874</v>
      </c>
      <c r="BB215">
        <v>86163465</v>
      </c>
      <c r="BC215">
        <v>2720820</v>
      </c>
      <c r="BD215">
        <v>25865309</v>
      </c>
      <c r="BE215">
        <v>21004531</v>
      </c>
      <c r="BF215">
        <v>35241777</v>
      </c>
      <c r="BG215">
        <v>10328504</v>
      </c>
      <c r="BH215">
        <v>3178789</v>
      </c>
      <c r="BI215">
        <v>7055766</v>
      </c>
      <c r="BJ215">
        <v>14083777</v>
      </c>
      <c r="BK215">
        <v>602501803</v>
      </c>
      <c r="BL215">
        <v>1825931</v>
      </c>
      <c r="BM215">
        <v>7762953</v>
      </c>
      <c r="BN215">
        <v>41867381</v>
      </c>
      <c r="BO215">
        <v>27727239</v>
      </c>
      <c r="BP215">
        <v>119640170</v>
      </c>
      <c r="BQ215">
        <v>16814853</v>
      </c>
      <c r="BR215">
        <v>74475913</v>
      </c>
      <c r="BS215">
        <v>73859022</v>
      </c>
      <c r="BT215">
        <v>4365787</v>
      </c>
      <c r="BU215">
        <v>10871436</v>
      </c>
      <c r="BV215">
        <v>20413694</v>
      </c>
      <c r="BW215">
        <v>1497835</v>
      </c>
      <c r="BX215">
        <v>25996210</v>
      </c>
      <c r="BY215">
        <v>43746819</v>
      </c>
      <c r="BZ215">
        <v>11760188</v>
      </c>
      <c r="CA215">
        <v>56389521</v>
      </c>
      <c r="CB215">
        <v>7353040</v>
      </c>
      <c r="CC215">
        <v>6201238</v>
      </c>
      <c r="CD215">
        <v>20651770</v>
      </c>
      <c r="CE215">
        <v>44166175</v>
      </c>
      <c r="CF215">
        <v>16607881</v>
      </c>
      <c r="CG215">
        <v>14856198</v>
      </c>
      <c r="CH215">
        <v>11414278</v>
      </c>
      <c r="CI215">
        <v>21040758</v>
      </c>
      <c r="CJ215">
        <v>30130281</v>
      </c>
      <c r="CK215">
        <v>33203731</v>
      </c>
      <c r="CL215">
        <v>8290314</v>
      </c>
      <c r="CM215">
        <v>7424910</v>
      </c>
      <c r="CN215">
        <v>710675</v>
      </c>
      <c r="CO215">
        <v>119592472</v>
      </c>
      <c r="CP215">
        <v>12744864</v>
      </c>
      <c r="CQ215">
        <v>594507323</v>
      </c>
      <c r="CR215">
        <v>4810091</v>
      </c>
      <c r="CS215">
        <v>1414232</v>
      </c>
      <c r="CT215">
        <v>17087026</v>
      </c>
      <c r="CU215">
        <v>53819610</v>
      </c>
      <c r="CV215">
        <v>15628775</v>
      </c>
      <c r="CW215">
        <v>14023376</v>
      </c>
      <c r="CX215">
        <v>6871083</v>
      </c>
      <c r="CY215">
        <v>11761169</v>
      </c>
    </row>
    <row r="216" spans="1:103" x14ac:dyDescent="0.3">
      <c r="A216">
        <v>9003</v>
      </c>
      <c r="B216" t="s">
        <v>679</v>
      </c>
      <c r="C216" t="s">
        <v>680</v>
      </c>
      <c r="D216">
        <v>389319294</v>
      </c>
      <c r="E216">
        <v>47075554</v>
      </c>
      <c r="F216">
        <v>23655993</v>
      </c>
      <c r="G216">
        <v>21827836</v>
      </c>
      <c r="H216">
        <v>38133567</v>
      </c>
      <c r="I216">
        <v>24441043</v>
      </c>
      <c r="J216">
        <v>36563064</v>
      </c>
      <c r="K216">
        <v>48280130</v>
      </c>
      <c r="L216">
        <v>73031069</v>
      </c>
      <c r="M216">
        <v>368113324</v>
      </c>
      <c r="N216">
        <v>763517177</v>
      </c>
      <c r="O216">
        <v>112319468</v>
      </c>
      <c r="P216">
        <v>602059685</v>
      </c>
      <c r="Q216">
        <v>92372797</v>
      </c>
      <c r="R216">
        <v>18649446</v>
      </c>
      <c r="S216">
        <v>61071908</v>
      </c>
      <c r="T216">
        <v>36277183</v>
      </c>
      <c r="U216">
        <v>249520262</v>
      </c>
      <c r="V216">
        <v>295599320</v>
      </c>
      <c r="W216">
        <v>51545630</v>
      </c>
      <c r="X216">
        <v>23127998</v>
      </c>
      <c r="Y216">
        <v>19907153</v>
      </c>
      <c r="Z216">
        <v>170133527</v>
      </c>
      <c r="AA216">
        <v>165795438</v>
      </c>
      <c r="AB216">
        <v>99319263</v>
      </c>
      <c r="AC216">
        <v>462609632</v>
      </c>
      <c r="AD216">
        <v>81759834</v>
      </c>
      <c r="AE216">
        <v>330807885</v>
      </c>
      <c r="AF216">
        <v>183732398</v>
      </c>
      <c r="AG216">
        <v>96961237</v>
      </c>
      <c r="AH216">
        <v>123565588</v>
      </c>
      <c r="AI216">
        <v>1008640242</v>
      </c>
      <c r="AJ216">
        <v>55290042</v>
      </c>
      <c r="AK216">
        <v>1020210377</v>
      </c>
      <c r="AL216">
        <v>161725249</v>
      </c>
      <c r="AM216">
        <v>438535225</v>
      </c>
      <c r="AN216">
        <v>16946157</v>
      </c>
      <c r="AO216">
        <v>15541906</v>
      </c>
      <c r="AP216">
        <v>131245881</v>
      </c>
      <c r="AQ216">
        <v>29887559</v>
      </c>
      <c r="AR216">
        <v>1274655278</v>
      </c>
      <c r="AS216">
        <v>62303105</v>
      </c>
      <c r="AT216">
        <v>323353591</v>
      </c>
      <c r="AU216">
        <v>139912461</v>
      </c>
      <c r="AV216">
        <v>298904297</v>
      </c>
      <c r="AW216">
        <v>35739902</v>
      </c>
      <c r="AX216">
        <v>94218531</v>
      </c>
      <c r="AY216">
        <v>12766340</v>
      </c>
      <c r="AZ216">
        <v>333456216</v>
      </c>
      <c r="BA216">
        <v>136671674</v>
      </c>
      <c r="BB216">
        <v>626446384</v>
      </c>
      <c r="BC216">
        <v>19643249</v>
      </c>
      <c r="BD216">
        <v>143972516</v>
      </c>
      <c r="BE216">
        <v>78103749</v>
      </c>
      <c r="BF216">
        <v>216599830</v>
      </c>
      <c r="BG216">
        <v>135277910</v>
      </c>
      <c r="BH216">
        <v>14897422</v>
      </c>
      <c r="BI216">
        <v>49375188</v>
      </c>
      <c r="BJ216">
        <v>55075272</v>
      </c>
      <c r="BK216">
        <v>2815438999</v>
      </c>
      <c r="BL216">
        <v>25187006</v>
      </c>
      <c r="BM216">
        <v>87897011</v>
      </c>
      <c r="BN216">
        <v>356939743</v>
      </c>
      <c r="BO216">
        <v>185880840</v>
      </c>
      <c r="BP216">
        <v>1121408370</v>
      </c>
      <c r="BQ216">
        <v>59512704</v>
      </c>
      <c r="BR216">
        <v>337376678</v>
      </c>
      <c r="BS216">
        <v>591331631</v>
      </c>
      <c r="BT216">
        <v>16200036</v>
      </c>
      <c r="BU216">
        <v>73688986</v>
      </c>
      <c r="BV216">
        <v>135994246</v>
      </c>
      <c r="BW216">
        <v>13336051</v>
      </c>
      <c r="BX216">
        <v>60896550</v>
      </c>
      <c r="BY216">
        <v>306911574</v>
      </c>
      <c r="BZ216">
        <v>32528304</v>
      </c>
      <c r="CA216">
        <v>258425241</v>
      </c>
      <c r="CB216">
        <v>48239572</v>
      </c>
      <c r="CC216">
        <v>156996985</v>
      </c>
      <c r="CD216">
        <v>185862314</v>
      </c>
      <c r="CE216">
        <v>120695152</v>
      </c>
      <c r="CF216">
        <v>101754612</v>
      </c>
      <c r="CG216">
        <v>149624477</v>
      </c>
      <c r="CH216">
        <v>108876921</v>
      </c>
      <c r="CI216">
        <v>59645295</v>
      </c>
      <c r="CJ216">
        <v>75733350</v>
      </c>
      <c r="CK216">
        <v>158171611</v>
      </c>
      <c r="CL216">
        <v>27767864</v>
      </c>
      <c r="CM216">
        <v>22893707</v>
      </c>
      <c r="CN216">
        <v>7487866</v>
      </c>
      <c r="CO216">
        <v>737484748</v>
      </c>
      <c r="CP216">
        <v>70533033</v>
      </c>
      <c r="CQ216">
        <v>4181962737</v>
      </c>
      <c r="CR216">
        <v>15536101</v>
      </c>
      <c r="CS216">
        <v>22186463</v>
      </c>
      <c r="CT216">
        <v>62098340</v>
      </c>
      <c r="CU216">
        <v>188591498</v>
      </c>
      <c r="CV216">
        <v>110273697</v>
      </c>
      <c r="CW216">
        <v>139893291</v>
      </c>
      <c r="CX216">
        <v>36581287</v>
      </c>
      <c r="CY216">
        <v>33755012</v>
      </c>
    </row>
    <row r="217" spans="1:103" x14ac:dyDescent="0.3">
      <c r="A217">
        <v>9004</v>
      </c>
      <c r="B217" t="s">
        <v>681</v>
      </c>
      <c r="C217" t="s">
        <v>682</v>
      </c>
      <c r="D217" t="s">
        <v>300</v>
      </c>
      <c r="E217" t="s">
        <v>683</v>
      </c>
      <c r="F217" t="s">
        <v>300</v>
      </c>
      <c r="G217" t="s">
        <v>683</v>
      </c>
      <c r="H217" t="s">
        <v>300</v>
      </c>
      <c r="I217" t="s">
        <v>300</v>
      </c>
      <c r="J217" t="s">
        <v>683</v>
      </c>
      <c r="K217" t="s">
        <v>683</v>
      </c>
      <c r="L217" t="s">
        <v>683</v>
      </c>
      <c r="M217" t="s">
        <v>683</v>
      </c>
      <c r="N217" t="s">
        <v>300</v>
      </c>
      <c r="O217" t="s">
        <v>683</v>
      </c>
      <c r="P217" t="s">
        <v>300</v>
      </c>
      <c r="Q217" t="s">
        <v>683</v>
      </c>
      <c r="R217" t="s">
        <v>683</v>
      </c>
      <c r="S217" t="s">
        <v>683</v>
      </c>
      <c r="T217" t="s">
        <v>300</v>
      </c>
      <c r="U217" t="s">
        <v>300</v>
      </c>
      <c r="V217" t="s">
        <v>683</v>
      </c>
      <c r="W217" t="s">
        <v>300</v>
      </c>
      <c r="X217" t="s">
        <v>683</v>
      </c>
      <c r="Y217" t="s">
        <v>683</v>
      </c>
      <c r="Z217" t="s">
        <v>300</v>
      </c>
      <c r="AA217" t="s">
        <v>683</v>
      </c>
      <c r="AB217" t="s">
        <v>683</v>
      </c>
      <c r="AC217" t="s">
        <v>683</v>
      </c>
      <c r="AD217" t="s">
        <v>683</v>
      </c>
      <c r="AE217" t="s">
        <v>683</v>
      </c>
      <c r="AF217" t="s">
        <v>683</v>
      </c>
      <c r="AG217" t="s">
        <v>683</v>
      </c>
      <c r="AH217" t="s">
        <v>683</v>
      </c>
      <c r="AI217" t="s">
        <v>683</v>
      </c>
      <c r="AJ217" t="s">
        <v>683</v>
      </c>
      <c r="AK217" t="s">
        <v>300</v>
      </c>
      <c r="AL217" t="s">
        <v>683</v>
      </c>
      <c r="AM217" t="s">
        <v>300</v>
      </c>
      <c r="AN217" t="s">
        <v>683</v>
      </c>
      <c r="AO217" t="s">
        <v>300</v>
      </c>
      <c r="AP217" t="s">
        <v>300</v>
      </c>
      <c r="AQ217" t="s">
        <v>683</v>
      </c>
      <c r="AR217" t="s">
        <v>300</v>
      </c>
      <c r="AS217" t="s">
        <v>683</v>
      </c>
      <c r="AT217" t="s">
        <v>683</v>
      </c>
      <c r="AU217" t="s">
        <v>300</v>
      </c>
      <c r="AV217" t="s">
        <v>683</v>
      </c>
      <c r="AW217" t="s">
        <v>683</v>
      </c>
      <c r="AX217" t="s">
        <v>683</v>
      </c>
      <c r="AY217" t="s">
        <v>683</v>
      </c>
      <c r="AZ217" t="s">
        <v>300</v>
      </c>
      <c r="BA217" t="s">
        <v>300</v>
      </c>
      <c r="BB217" t="s">
        <v>683</v>
      </c>
      <c r="BC217" t="s">
        <v>683</v>
      </c>
      <c r="BD217" t="s">
        <v>300</v>
      </c>
      <c r="BE217" t="s">
        <v>300</v>
      </c>
      <c r="BF217" t="s">
        <v>683</v>
      </c>
      <c r="BG217" t="s">
        <v>300</v>
      </c>
      <c r="BH217" t="s">
        <v>300</v>
      </c>
      <c r="BI217" t="s">
        <v>683</v>
      </c>
      <c r="BJ217" t="s">
        <v>683</v>
      </c>
      <c r="BK217" t="s">
        <v>300</v>
      </c>
      <c r="BL217" t="s">
        <v>300</v>
      </c>
      <c r="BM217" t="s">
        <v>683</v>
      </c>
      <c r="BN217" t="s">
        <v>683</v>
      </c>
      <c r="BO217" t="s">
        <v>683</v>
      </c>
      <c r="BP217" t="s">
        <v>300</v>
      </c>
      <c r="BQ217" t="s">
        <v>683</v>
      </c>
      <c r="BR217" t="s">
        <v>300</v>
      </c>
      <c r="BS217" t="s">
        <v>300</v>
      </c>
      <c r="BT217" t="s">
        <v>683</v>
      </c>
      <c r="BU217" t="s">
        <v>683</v>
      </c>
      <c r="BV217" t="s">
        <v>683</v>
      </c>
      <c r="BW217" t="s">
        <v>683</v>
      </c>
      <c r="BX217" t="s">
        <v>300</v>
      </c>
      <c r="BY217" t="s">
        <v>300</v>
      </c>
      <c r="BZ217" t="s">
        <v>300</v>
      </c>
      <c r="CA217" t="s">
        <v>300</v>
      </c>
      <c r="CB217" t="s">
        <v>683</v>
      </c>
      <c r="CC217" t="s">
        <v>683</v>
      </c>
      <c r="CD217" t="s">
        <v>683</v>
      </c>
      <c r="CE217" t="s">
        <v>683</v>
      </c>
      <c r="CF217" t="s">
        <v>300</v>
      </c>
      <c r="CG217" t="s">
        <v>683</v>
      </c>
      <c r="CH217" t="s">
        <v>683</v>
      </c>
      <c r="CI217" t="s">
        <v>683</v>
      </c>
      <c r="CJ217" t="s">
        <v>683</v>
      </c>
      <c r="CK217" t="s">
        <v>683</v>
      </c>
      <c r="CL217" t="s">
        <v>300</v>
      </c>
      <c r="CM217" t="s">
        <v>300</v>
      </c>
      <c r="CN217" t="s">
        <v>683</v>
      </c>
      <c r="CO217" t="s">
        <v>683</v>
      </c>
      <c r="CP217" t="s">
        <v>683</v>
      </c>
      <c r="CQ217" t="s">
        <v>300</v>
      </c>
      <c r="CR217" t="s">
        <v>683</v>
      </c>
      <c r="CS217" t="s">
        <v>683</v>
      </c>
      <c r="CT217" t="s">
        <v>300</v>
      </c>
      <c r="CU217" t="s">
        <v>683</v>
      </c>
      <c r="CV217" t="s">
        <v>300</v>
      </c>
      <c r="CW217" t="s">
        <v>683</v>
      </c>
      <c r="CX217" t="s">
        <v>683</v>
      </c>
      <c r="CY217" t="s">
        <v>300</v>
      </c>
    </row>
    <row r="218" spans="1:103" x14ac:dyDescent="0.3">
      <c r="A218">
        <v>9005</v>
      </c>
      <c r="B218" t="s">
        <v>684</v>
      </c>
      <c r="C218" t="s">
        <v>685</v>
      </c>
      <c r="D218">
        <v>68477777</v>
      </c>
      <c r="E218">
        <v>19978985</v>
      </c>
      <c r="F218">
        <v>7805377</v>
      </c>
      <c r="G218">
        <v>24459529</v>
      </c>
      <c r="H218">
        <v>13588968</v>
      </c>
      <c r="I218">
        <v>26494414</v>
      </c>
      <c r="J218">
        <v>32236250</v>
      </c>
      <c r="K218">
        <v>1971903</v>
      </c>
      <c r="L218">
        <v>32688117</v>
      </c>
      <c r="M218">
        <v>124265118</v>
      </c>
      <c r="N218">
        <v>94363738</v>
      </c>
      <c r="O218">
        <v>33500281</v>
      </c>
      <c r="P218">
        <v>147138443</v>
      </c>
      <c r="Q218">
        <v>18776888</v>
      </c>
      <c r="R218">
        <v>13808840</v>
      </c>
      <c r="S218">
        <v>73960365</v>
      </c>
      <c r="T218">
        <v>11293557</v>
      </c>
      <c r="U218">
        <v>107946054</v>
      </c>
      <c r="V218">
        <v>45681967</v>
      </c>
      <c r="W218">
        <v>23850739</v>
      </c>
      <c r="X218">
        <v>11946234</v>
      </c>
      <c r="Y218">
        <v>7572524</v>
      </c>
      <c r="Z218">
        <v>42687706</v>
      </c>
      <c r="AA218">
        <v>29297702</v>
      </c>
      <c r="AB218">
        <v>51527627</v>
      </c>
      <c r="AC218">
        <v>238594945</v>
      </c>
      <c r="AD218">
        <v>28112088</v>
      </c>
      <c r="AE218">
        <v>79212096</v>
      </c>
      <c r="AF218">
        <v>92091255</v>
      </c>
      <c r="AG218">
        <v>11235476</v>
      </c>
      <c r="AH218">
        <v>26001138</v>
      </c>
      <c r="AI218">
        <v>298844930</v>
      </c>
      <c r="AJ218">
        <v>24658696</v>
      </c>
      <c r="AK218">
        <v>162503007</v>
      </c>
      <c r="AL218">
        <v>44160778</v>
      </c>
      <c r="AM218">
        <v>90395010</v>
      </c>
      <c r="AN218">
        <v>6671832</v>
      </c>
      <c r="AO218">
        <v>8440765</v>
      </c>
      <c r="AP218">
        <v>44517907</v>
      </c>
      <c r="AQ218">
        <v>14781369</v>
      </c>
      <c r="AR218">
        <v>170637419</v>
      </c>
      <c r="AS218">
        <v>42360229</v>
      </c>
      <c r="AT218">
        <v>83037150</v>
      </c>
      <c r="AU218">
        <v>33112710</v>
      </c>
      <c r="AV218">
        <v>75297137</v>
      </c>
      <c r="AW218">
        <v>10234452</v>
      </c>
      <c r="AX218">
        <v>37490429</v>
      </c>
      <c r="AY218">
        <v>5371445</v>
      </c>
      <c r="AZ218">
        <v>111479415</v>
      </c>
      <c r="BA218">
        <v>31535544</v>
      </c>
      <c r="BB218">
        <v>182297742</v>
      </c>
      <c r="BC218">
        <v>4596530</v>
      </c>
      <c r="BD218">
        <v>24491034</v>
      </c>
      <c r="BE218">
        <v>34101911</v>
      </c>
      <c r="BF218">
        <v>43567165</v>
      </c>
      <c r="BG218">
        <v>42110863</v>
      </c>
      <c r="BH218">
        <v>12410774</v>
      </c>
      <c r="BI218">
        <v>22783065</v>
      </c>
      <c r="BJ218">
        <v>12803398</v>
      </c>
      <c r="BK218">
        <v>722534535</v>
      </c>
      <c r="BL218">
        <v>6596270</v>
      </c>
      <c r="BM218">
        <v>30208899</v>
      </c>
      <c r="BN218">
        <v>48998752</v>
      </c>
      <c r="BO218">
        <v>41028704</v>
      </c>
      <c r="BP218">
        <v>446218858</v>
      </c>
      <c r="BQ218">
        <v>22402326</v>
      </c>
      <c r="BR218">
        <v>115544801</v>
      </c>
      <c r="BS218">
        <v>61390226</v>
      </c>
      <c r="BT218">
        <v>10134041</v>
      </c>
      <c r="BU218">
        <v>29299571</v>
      </c>
      <c r="BV218">
        <v>60331920</v>
      </c>
      <c r="BW218">
        <v>7096657</v>
      </c>
      <c r="BX218">
        <v>24811857</v>
      </c>
      <c r="BY218">
        <v>59250417</v>
      </c>
      <c r="BZ218">
        <v>11831148</v>
      </c>
      <c r="CA218">
        <v>45292725</v>
      </c>
      <c r="CB218">
        <v>14258454</v>
      </c>
      <c r="CC218">
        <v>54877488</v>
      </c>
      <c r="CD218">
        <v>56770195</v>
      </c>
      <c r="CE218">
        <v>66854711</v>
      </c>
      <c r="CF218">
        <v>47575371</v>
      </c>
      <c r="CG218">
        <v>29655473</v>
      </c>
      <c r="CH218">
        <v>12223707</v>
      </c>
      <c r="CI218">
        <v>39718620</v>
      </c>
      <c r="CJ218">
        <v>17548287</v>
      </c>
      <c r="CK218">
        <v>48549042</v>
      </c>
      <c r="CL218">
        <v>10287886</v>
      </c>
      <c r="CM218">
        <v>26880353</v>
      </c>
      <c r="CN218">
        <v>1423870</v>
      </c>
      <c r="CO218">
        <v>100531752</v>
      </c>
      <c r="CP218">
        <v>23102453</v>
      </c>
      <c r="CQ218">
        <v>565920547</v>
      </c>
      <c r="CR218">
        <v>19799552</v>
      </c>
      <c r="CS218">
        <v>10681619</v>
      </c>
      <c r="CT218">
        <v>40493398</v>
      </c>
      <c r="CU218">
        <v>52434343</v>
      </c>
      <c r="CV218">
        <v>40331275</v>
      </c>
      <c r="CW218">
        <v>52691395</v>
      </c>
      <c r="CX218">
        <v>22358498</v>
      </c>
      <c r="CY218">
        <v>9673131</v>
      </c>
    </row>
    <row r="219" spans="1:103" x14ac:dyDescent="0.3">
      <c r="A219">
        <v>9006</v>
      </c>
      <c r="B219" t="s">
        <v>686</v>
      </c>
      <c r="C219" t="s">
        <v>687</v>
      </c>
      <c r="D219">
        <v>191797928</v>
      </c>
      <c r="E219">
        <v>46315496</v>
      </c>
      <c r="F219">
        <v>17364725</v>
      </c>
      <c r="G219">
        <v>32092482</v>
      </c>
      <c r="H219">
        <v>40359924</v>
      </c>
      <c r="I219">
        <v>30863988</v>
      </c>
      <c r="J219">
        <v>63573100</v>
      </c>
      <c r="K219">
        <v>27710818</v>
      </c>
      <c r="L219">
        <v>48072156</v>
      </c>
      <c r="M219">
        <v>254834011</v>
      </c>
      <c r="N219">
        <v>370544010</v>
      </c>
      <c r="O219">
        <v>94858789</v>
      </c>
      <c r="P219">
        <v>359042783</v>
      </c>
      <c r="Q219">
        <v>91002630</v>
      </c>
      <c r="R219">
        <v>15584352</v>
      </c>
      <c r="S219">
        <v>105424635</v>
      </c>
      <c r="T219">
        <v>24622029</v>
      </c>
      <c r="U219">
        <v>210639867</v>
      </c>
      <c r="V219">
        <v>151347050</v>
      </c>
      <c r="W219">
        <v>43667167</v>
      </c>
      <c r="X219">
        <v>19493662</v>
      </c>
      <c r="Y219">
        <v>21341662</v>
      </c>
      <c r="Z219">
        <v>149202855</v>
      </c>
      <c r="AA219">
        <v>66111320</v>
      </c>
      <c r="AB219">
        <v>124520177</v>
      </c>
      <c r="AC219">
        <v>336693893</v>
      </c>
      <c r="AD219">
        <v>73379751</v>
      </c>
      <c r="AE219">
        <v>114272044</v>
      </c>
      <c r="AF219">
        <v>179694908</v>
      </c>
      <c r="AG219">
        <v>72063001</v>
      </c>
      <c r="AH219">
        <v>59906848</v>
      </c>
      <c r="AI219">
        <v>565783146</v>
      </c>
      <c r="AJ219">
        <v>64990079</v>
      </c>
      <c r="AK219">
        <v>451277138</v>
      </c>
      <c r="AL219">
        <v>100572992</v>
      </c>
      <c r="AM219">
        <v>313098598</v>
      </c>
      <c r="AN219">
        <v>12551189</v>
      </c>
      <c r="AO219">
        <v>18731111</v>
      </c>
      <c r="AP219">
        <v>72745041</v>
      </c>
      <c r="AQ219">
        <v>18563411</v>
      </c>
      <c r="AR219">
        <v>648916968</v>
      </c>
      <c r="AS219">
        <v>65747856</v>
      </c>
      <c r="AT219">
        <v>142426261</v>
      </c>
      <c r="AU219">
        <v>101458340</v>
      </c>
      <c r="AV219">
        <v>173388733</v>
      </c>
      <c r="AW219">
        <v>27205752</v>
      </c>
      <c r="AX219">
        <v>51943177</v>
      </c>
      <c r="AY219">
        <v>15639537</v>
      </c>
      <c r="AZ219">
        <v>231833489</v>
      </c>
      <c r="BA219">
        <v>84394900</v>
      </c>
      <c r="BB219">
        <v>306281474</v>
      </c>
      <c r="BC219">
        <v>16773055</v>
      </c>
      <c r="BD219">
        <v>81481997</v>
      </c>
      <c r="BE219">
        <v>65961214</v>
      </c>
      <c r="BF219">
        <v>139210795</v>
      </c>
      <c r="BG219">
        <v>56638387</v>
      </c>
      <c r="BH219">
        <v>27986764</v>
      </c>
      <c r="BI219">
        <v>31967062</v>
      </c>
      <c r="BJ219">
        <v>54734671</v>
      </c>
      <c r="BK219">
        <v>1515311516</v>
      </c>
      <c r="BL219">
        <v>21650102</v>
      </c>
      <c r="BM219">
        <v>33368575</v>
      </c>
      <c r="BN219">
        <v>136046086</v>
      </c>
      <c r="BO219">
        <v>104519606</v>
      </c>
      <c r="BP219">
        <v>337675458</v>
      </c>
      <c r="BQ219">
        <v>34389949</v>
      </c>
      <c r="BR219">
        <v>228361092</v>
      </c>
      <c r="BS219">
        <v>251460588</v>
      </c>
      <c r="BT219">
        <v>21972864</v>
      </c>
      <c r="BU219">
        <v>55170552</v>
      </c>
      <c r="BV219">
        <v>87223873</v>
      </c>
      <c r="BW219">
        <v>17873616</v>
      </c>
      <c r="BX219">
        <v>67328831</v>
      </c>
      <c r="BY219">
        <v>179316060</v>
      </c>
      <c r="BZ219">
        <v>31866765</v>
      </c>
      <c r="CA219">
        <v>158092765</v>
      </c>
      <c r="CB219">
        <v>60342988</v>
      </c>
      <c r="CC219">
        <v>136401209</v>
      </c>
      <c r="CD219">
        <v>94112823</v>
      </c>
      <c r="CE219">
        <v>157626365</v>
      </c>
      <c r="CF219">
        <v>81895634</v>
      </c>
      <c r="CG219">
        <v>85032879</v>
      </c>
      <c r="CH219">
        <v>48896205</v>
      </c>
      <c r="CI219">
        <v>72297237</v>
      </c>
      <c r="CJ219">
        <v>56177002</v>
      </c>
      <c r="CK219">
        <v>91281854</v>
      </c>
      <c r="CL219">
        <v>25423588</v>
      </c>
      <c r="CM219">
        <v>74502174</v>
      </c>
      <c r="CN219">
        <v>7366921</v>
      </c>
      <c r="CO219">
        <v>349346906</v>
      </c>
      <c r="CP219">
        <v>54517650</v>
      </c>
      <c r="CQ219">
        <v>1574115008</v>
      </c>
      <c r="CR219">
        <v>32528488</v>
      </c>
      <c r="CS219">
        <v>14373938</v>
      </c>
      <c r="CT219">
        <v>78840169</v>
      </c>
      <c r="CU219">
        <v>143535927</v>
      </c>
      <c r="CV219">
        <v>86693591</v>
      </c>
      <c r="CW219">
        <v>109006806</v>
      </c>
      <c r="CX219">
        <v>34506079</v>
      </c>
      <c r="CY219">
        <v>27207076</v>
      </c>
    </row>
    <row r="220" spans="1:103" x14ac:dyDescent="0.3">
      <c r="A220">
        <v>9007</v>
      </c>
      <c r="B220" t="s">
        <v>1237</v>
      </c>
      <c r="C220" t="s">
        <v>688</v>
      </c>
      <c r="D220">
        <v>0.35699999999999998</v>
      </c>
      <c r="E220">
        <v>0.43140000000000001</v>
      </c>
      <c r="F220">
        <v>0.44950000000000001</v>
      </c>
      <c r="G220">
        <v>0.76219999999999999</v>
      </c>
      <c r="H220">
        <v>0.3367</v>
      </c>
      <c r="I220">
        <v>0.85840000000000005</v>
      </c>
      <c r="J220">
        <v>0.5071</v>
      </c>
      <c r="K220">
        <v>7.1199999999999999E-2</v>
      </c>
      <c r="L220">
        <v>0.68</v>
      </c>
      <c r="M220">
        <v>0.48759999999999998</v>
      </c>
      <c r="N220">
        <v>0.25469999999999998</v>
      </c>
      <c r="O220">
        <v>0.35320000000000001</v>
      </c>
      <c r="P220">
        <v>0.4098</v>
      </c>
      <c r="Q220">
        <v>0.20630000000000001</v>
      </c>
      <c r="R220">
        <v>0.8861</v>
      </c>
      <c r="S220">
        <v>0.70150000000000001</v>
      </c>
      <c r="T220">
        <v>0.4587</v>
      </c>
      <c r="U220">
        <v>0.51249999999999996</v>
      </c>
      <c r="V220">
        <v>0.30180000000000001</v>
      </c>
      <c r="W220">
        <v>0.54620000000000002</v>
      </c>
      <c r="X220">
        <v>0.61280000000000001</v>
      </c>
      <c r="Y220">
        <v>0.3548</v>
      </c>
      <c r="Z220">
        <v>0.28610000000000002</v>
      </c>
      <c r="AA220">
        <v>0.44319999999999998</v>
      </c>
      <c r="AB220">
        <v>0.4138</v>
      </c>
      <c r="AC220">
        <v>0.70860000000000001</v>
      </c>
      <c r="AD220">
        <v>0.3831</v>
      </c>
      <c r="AE220">
        <v>0.69320000000000004</v>
      </c>
      <c r="AF220">
        <v>0.51249999999999996</v>
      </c>
      <c r="AG220">
        <v>0.15590000000000001</v>
      </c>
      <c r="AH220">
        <v>0.434</v>
      </c>
      <c r="AI220">
        <v>0.5282</v>
      </c>
      <c r="AJ220">
        <v>0.37940000000000002</v>
      </c>
      <c r="AK220">
        <v>0.36009999999999998</v>
      </c>
      <c r="AL220">
        <v>0.43909999999999999</v>
      </c>
      <c r="AM220">
        <v>0.28870000000000001</v>
      </c>
      <c r="AN220">
        <v>0.53159999999999996</v>
      </c>
      <c r="AO220">
        <v>0.4506</v>
      </c>
      <c r="AP220">
        <v>0.61199999999999999</v>
      </c>
      <c r="AQ220">
        <v>0.79630000000000001</v>
      </c>
      <c r="AR220">
        <v>0.26300000000000001</v>
      </c>
      <c r="AS220">
        <v>0.64429999999999998</v>
      </c>
      <c r="AT220">
        <v>0.58299999999999996</v>
      </c>
      <c r="AU220">
        <v>0.32640000000000002</v>
      </c>
      <c r="AV220">
        <v>0.43430000000000002</v>
      </c>
      <c r="AW220">
        <v>0.37619999999999998</v>
      </c>
      <c r="AX220">
        <v>0.7218</v>
      </c>
      <c r="AY220">
        <v>0.34350000000000003</v>
      </c>
      <c r="AZ220">
        <v>0.48089999999999999</v>
      </c>
      <c r="BA220">
        <v>0.37369999999999998</v>
      </c>
      <c r="BB220">
        <v>0.59519999999999995</v>
      </c>
      <c r="BC220">
        <v>0.27400000000000002</v>
      </c>
      <c r="BD220">
        <v>0.30059999999999998</v>
      </c>
      <c r="BE220">
        <v>0.51700000000000002</v>
      </c>
      <c r="BF220">
        <v>0.313</v>
      </c>
      <c r="BG220">
        <v>0.74350000000000005</v>
      </c>
      <c r="BH220">
        <v>0.44350000000000001</v>
      </c>
      <c r="BI220">
        <v>0.7127</v>
      </c>
      <c r="BJ220">
        <v>0.2339</v>
      </c>
      <c r="BK220">
        <v>0.4768</v>
      </c>
      <c r="BL220">
        <v>0.30470000000000003</v>
      </c>
      <c r="BM220">
        <v>0.90529999999999999</v>
      </c>
      <c r="BN220">
        <v>0.36020000000000002</v>
      </c>
      <c r="BO220">
        <v>0.39250000000000002</v>
      </c>
      <c r="BP220">
        <v>1.3213999999999999</v>
      </c>
      <c r="BQ220">
        <v>0.65139999999999998</v>
      </c>
      <c r="BR220">
        <v>0.50600000000000001</v>
      </c>
      <c r="BS220">
        <v>0.24410000000000001</v>
      </c>
      <c r="BT220">
        <v>0.4612</v>
      </c>
      <c r="BU220">
        <v>0.53110000000000002</v>
      </c>
      <c r="BV220">
        <v>0.69169999999999998</v>
      </c>
      <c r="BW220">
        <v>0.39700000000000002</v>
      </c>
      <c r="BX220">
        <v>0.36849999999999999</v>
      </c>
      <c r="BY220">
        <v>0.33040000000000003</v>
      </c>
      <c r="BZ220">
        <v>0.37130000000000002</v>
      </c>
      <c r="CA220">
        <v>0.28649999999999998</v>
      </c>
      <c r="CB220">
        <v>0.23630000000000001</v>
      </c>
      <c r="CC220">
        <v>0.40229999999999999</v>
      </c>
      <c r="CD220">
        <v>0.60319999999999996</v>
      </c>
      <c r="CE220">
        <v>0.42409999999999998</v>
      </c>
      <c r="CF220">
        <v>0.58089999999999997</v>
      </c>
      <c r="CG220">
        <v>0.3488</v>
      </c>
      <c r="CH220">
        <v>0.25</v>
      </c>
      <c r="CI220">
        <v>0.5494</v>
      </c>
      <c r="CJ220">
        <v>0.31240000000000001</v>
      </c>
      <c r="CK220">
        <v>0.53190000000000004</v>
      </c>
      <c r="CL220">
        <v>0.4047</v>
      </c>
      <c r="CM220">
        <v>0.36080000000000001</v>
      </c>
      <c r="CN220">
        <v>0.1933</v>
      </c>
      <c r="CO220">
        <v>0.2878</v>
      </c>
      <c r="CP220">
        <v>0.42380000000000001</v>
      </c>
      <c r="CQ220">
        <v>0.35949999999999999</v>
      </c>
      <c r="CR220">
        <v>0.60870000000000002</v>
      </c>
      <c r="CS220">
        <v>0.74309999999999998</v>
      </c>
      <c r="CT220">
        <v>0.51359999999999995</v>
      </c>
      <c r="CU220">
        <v>0.36530000000000001</v>
      </c>
      <c r="CV220">
        <v>0.4652</v>
      </c>
      <c r="CW220">
        <v>0.4834</v>
      </c>
      <c r="CX220">
        <v>0.64800000000000002</v>
      </c>
      <c r="CY220">
        <v>0.35549999999999998</v>
      </c>
    </row>
    <row r="221" spans="1:103" x14ac:dyDescent="0.3">
      <c r="A221">
        <v>9008</v>
      </c>
      <c r="B221" t="s">
        <v>689</v>
      </c>
      <c r="C221" t="s">
        <v>300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0</v>
      </c>
      <c r="BY221">
        <v>0</v>
      </c>
      <c r="BZ221">
        <v>0</v>
      </c>
      <c r="CA221">
        <v>0</v>
      </c>
      <c r="CB221">
        <v>0</v>
      </c>
      <c r="CC221">
        <v>0</v>
      </c>
      <c r="CD221">
        <v>0</v>
      </c>
      <c r="CE221">
        <v>0</v>
      </c>
      <c r="CF221">
        <v>0</v>
      </c>
      <c r="CG221">
        <v>0</v>
      </c>
      <c r="CH221">
        <v>0</v>
      </c>
      <c r="CI221">
        <v>0</v>
      </c>
      <c r="CJ221">
        <v>0</v>
      </c>
      <c r="CK221">
        <v>0</v>
      </c>
      <c r="CL221">
        <v>0</v>
      </c>
      <c r="CM221">
        <v>0</v>
      </c>
      <c r="CN221">
        <v>0</v>
      </c>
      <c r="CO221">
        <v>0</v>
      </c>
      <c r="CP221">
        <v>0</v>
      </c>
      <c r="CQ221">
        <v>0</v>
      </c>
      <c r="CR221">
        <v>0</v>
      </c>
      <c r="CS221">
        <v>0</v>
      </c>
      <c r="CT221">
        <v>0</v>
      </c>
      <c r="CU221">
        <v>0</v>
      </c>
      <c r="CV221">
        <v>0</v>
      </c>
      <c r="CW221">
        <v>0</v>
      </c>
      <c r="CX221">
        <v>0</v>
      </c>
      <c r="CY221">
        <v>0</v>
      </c>
    </row>
    <row r="222" spans="1:103" x14ac:dyDescent="0.3">
      <c r="A222">
        <v>9010</v>
      </c>
      <c r="B222" t="s">
        <v>690</v>
      </c>
      <c r="C222" t="s">
        <v>691</v>
      </c>
      <c r="D222">
        <v>0</v>
      </c>
      <c r="E222">
        <v>9.5500000000000007</v>
      </c>
      <c r="F222">
        <v>0</v>
      </c>
      <c r="G222">
        <v>7.71</v>
      </c>
      <c r="H222">
        <v>0</v>
      </c>
      <c r="I222">
        <v>0</v>
      </c>
      <c r="J222">
        <v>4.79</v>
      </c>
      <c r="K222">
        <v>2.44</v>
      </c>
      <c r="L222">
        <v>25.67</v>
      </c>
      <c r="M222">
        <v>3.56</v>
      </c>
      <c r="N222">
        <v>0</v>
      </c>
      <c r="O222">
        <v>5.0199999999999996</v>
      </c>
      <c r="P222">
        <v>0</v>
      </c>
      <c r="Q222">
        <v>75.41</v>
      </c>
      <c r="R222">
        <v>13.47</v>
      </c>
      <c r="S222">
        <v>3.08</v>
      </c>
      <c r="T222">
        <v>0</v>
      </c>
      <c r="U222">
        <v>0</v>
      </c>
      <c r="V222">
        <v>43.35</v>
      </c>
      <c r="W222">
        <v>0</v>
      </c>
      <c r="X222">
        <v>37.75</v>
      </c>
      <c r="Y222">
        <v>4.3099999999999996</v>
      </c>
      <c r="Z222">
        <v>0</v>
      </c>
      <c r="AA222">
        <v>0</v>
      </c>
      <c r="AB222">
        <v>12.4</v>
      </c>
      <c r="AC222">
        <v>11.16</v>
      </c>
      <c r="AD222">
        <v>9.69</v>
      </c>
      <c r="AE222">
        <v>4.1100000000000003</v>
      </c>
      <c r="AF222">
        <v>2.3199999999999998</v>
      </c>
      <c r="AG222">
        <v>11.67</v>
      </c>
      <c r="AH222">
        <v>8.9600000000000009</v>
      </c>
      <c r="AI222">
        <v>39.46</v>
      </c>
      <c r="AJ222">
        <v>3.06</v>
      </c>
      <c r="AK222">
        <v>0</v>
      </c>
      <c r="AL222">
        <v>6.7</v>
      </c>
      <c r="AM222">
        <v>0</v>
      </c>
      <c r="AN222">
        <v>20.55</v>
      </c>
      <c r="AO222">
        <v>0</v>
      </c>
      <c r="AP222">
        <v>0</v>
      </c>
      <c r="AQ222">
        <v>2.41</v>
      </c>
      <c r="AR222">
        <v>0</v>
      </c>
      <c r="AS222">
        <v>2.95</v>
      </c>
      <c r="AT222">
        <v>11.44</v>
      </c>
      <c r="AU222">
        <v>0</v>
      </c>
      <c r="AV222">
        <v>337.26</v>
      </c>
      <c r="AW222">
        <v>2.84</v>
      </c>
      <c r="AX222">
        <v>7.04</v>
      </c>
      <c r="AY222">
        <v>3.23</v>
      </c>
      <c r="AZ222">
        <v>0</v>
      </c>
      <c r="BA222">
        <v>0</v>
      </c>
      <c r="BB222">
        <v>5.33</v>
      </c>
      <c r="BC222">
        <v>13.06</v>
      </c>
      <c r="BD222">
        <v>0</v>
      </c>
      <c r="BE222">
        <v>0</v>
      </c>
      <c r="BF222">
        <v>7.24</v>
      </c>
      <c r="BG222">
        <v>0</v>
      </c>
      <c r="BH222">
        <v>0</v>
      </c>
      <c r="BI222">
        <v>0.15</v>
      </c>
      <c r="BJ222">
        <v>29.46</v>
      </c>
      <c r="BK222">
        <v>0</v>
      </c>
      <c r="BL222">
        <v>0</v>
      </c>
      <c r="BM222">
        <v>8.18</v>
      </c>
      <c r="BN222">
        <v>5.2</v>
      </c>
      <c r="BO222">
        <v>1.82</v>
      </c>
      <c r="BP222">
        <v>0</v>
      </c>
      <c r="BQ222">
        <v>2.33</v>
      </c>
      <c r="BR222">
        <v>0</v>
      </c>
      <c r="BS222">
        <v>0</v>
      </c>
      <c r="BT222">
        <v>7.74</v>
      </c>
      <c r="BU222">
        <v>8.91</v>
      </c>
      <c r="BV222">
        <v>4.25</v>
      </c>
      <c r="BW222">
        <v>6.14</v>
      </c>
      <c r="BX222">
        <v>0</v>
      </c>
      <c r="BY222">
        <v>0</v>
      </c>
      <c r="BZ222">
        <v>1.91</v>
      </c>
      <c r="CA222">
        <v>0</v>
      </c>
      <c r="CB222">
        <v>18.920000000000002</v>
      </c>
      <c r="CC222">
        <v>5.36</v>
      </c>
      <c r="CD222">
        <v>1.25</v>
      </c>
      <c r="CE222">
        <v>28.5</v>
      </c>
      <c r="CF222">
        <v>0</v>
      </c>
      <c r="CG222">
        <v>7.36</v>
      </c>
      <c r="CH222">
        <v>3.53</v>
      </c>
      <c r="CI222">
        <v>2.21</v>
      </c>
      <c r="CJ222">
        <v>78.900000000000006</v>
      </c>
      <c r="CK222">
        <v>1.65</v>
      </c>
      <c r="CL222">
        <v>0</v>
      </c>
      <c r="CM222">
        <v>0</v>
      </c>
      <c r="CN222">
        <v>13.34</v>
      </c>
      <c r="CO222">
        <v>2.91</v>
      </c>
      <c r="CP222">
        <v>3.88</v>
      </c>
      <c r="CQ222">
        <v>0</v>
      </c>
      <c r="CR222">
        <v>6.95</v>
      </c>
      <c r="CS222">
        <v>2.0699999999999998</v>
      </c>
      <c r="CT222">
        <v>0</v>
      </c>
      <c r="CU222">
        <v>1.54</v>
      </c>
      <c r="CV222">
        <v>0</v>
      </c>
      <c r="CW222">
        <v>13.59</v>
      </c>
      <c r="CX222">
        <v>2.72</v>
      </c>
      <c r="CY222">
        <v>0.66</v>
      </c>
    </row>
    <row r="223" spans="1:103" x14ac:dyDescent="0.3">
      <c r="A223">
        <v>9011</v>
      </c>
      <c r="B223" t="s">
        <v>1630</v>
      </c>
      <c r="C223" t="s">
        <v>692</v>
      </c>
      <c r="D223">
        <v>0</v>
      </c>
      <c r="E223">
        <v>721101</v>
      </c>
      <c r="F223">
        <v>0</v>
      </c>
      <c r="G223">
        <v>-71509</v>
      </c>
      <c r="H223">
        <v>0</v>
      </c>
      <c r="I223">
        <v>0</v>
      </c>
      <c r="J223">
        <v>1162692</v>
      </c>
      <c r="K223">
        <v>534824</v>
      </c>
      <c r="L223">
        <v>340773</v>
      </c>
      <c r="M223">
        <v>29821250</v>
      </c>
      <c r="N223">
        <v>0</v>
      </c>
      <c r="O223">
        <v>515218</v>
      </c>
      <c r="P223">
        <v>0</v>
      </c>
      <c r="Q223">
        <v>1075916</v>
      </c>
      <c r="R223">
        <v>310528</v>
      </c>
      <c r="S223">
        <v>214260</v>
      </c>
      <c r="T223">
        <v>0</v>
      </c>
      <c r="U223">
        <v>0</v>
      </c>
      <c r="V223">
        <v>3979811</v>
      </c>
      <c r="W223">
        <v>0</v>
      </c>
      <c r="X223">
        <v>302855</v>
      </c>
      <c r="Y223">
        <v>75308</v>
      </c>
      <c r="Z223">
        <v>0</v>
      </c>
      <c r="AA223">
        <v>984082</v>
      </c>
      <c r="AB223">
        <v>969285</v>
      </c>
      <c r="AC223">
        <v>145274</v>
      </c>
      <c r="AD223">
        <v>3678262</v>
      </c>
      <c r="AE223">
        <v>2935002</v>
      </c>
      <c r="AF223">
        <v>-548900</v>
      </c>
      <c r="AG223">
        <v>1521031</v>
      </c>
      <c r="AH223">
        <v>1119323</v>
      </c>
      <c r="AI223">
        <v>4484069</v>
      </c>
      <c r="AJ223">
        <v>726411</v>
      </c>
      <c r="AK223">
        <v>0</v>
      </c>
      <c r="AL223">
        <v>5568612</v>
      </c>
      <c r="AM223">
        <v>0</v>
      </c>
      <c r="AN223">
        <v>133448</v>
      </c>
      <c r="AO223">
        <v>0</v>
      </c>
      <c r="AP223">
        <v>0</v>
      </c>
      <c r="AQ223">
        <v>-441502</v>
      </c>
      <c r="AR223">
        <v>0</v>
      </c>
      <c r="AS223">
        <v>219094</v>
      </c>
      <c r="AT223">
        <v>19336151</v>
      </c>
      <c r="AU223">
        <v>0</v>
      </c>
      <c r="AV223">
        <v>-10138</v>
      </c>
      <c r="AW223">
        <v>-113671</v>
      </c>
      <c r="AX223">
        <v>413761</v>
      </c>
      <c r="AY223">
        <v>67390</v>
      </c>
      <c r="AZ223">
        <v>0</v>
      </c>
      <c r="BA223">
        <v>0</v>
      </c>
      <c r="BB223">
        <v>9635137</v>
      </c>
      <c r="BC223">
        <v>179356</v>
      </c>
      <c r="BD223">
        <v>0</v>
      </c>
      <c r="BE223">
        <v>0</v>
      </c>
      <c r="BF223">
        <v>6846315</v>
      </c>
      <c r="BG223">
        <v>0</v>
      </c>
      <c r="BH223">
        <v>0</v>
      </c>
      <c r="BI223">
        <v>-212735</v>
      </c>
      <c r="BJ223">
        <v>-102662</v>
      </c>
      <c r="BK223">
        <v>0</v>
      </c>
      <c r="BL223">
        <v>0</v>
      </c>
      <c r="BM223">
        <v>1006420</v>
      </c>
      <c r="BN223">
        <v>4136625</v>
      </c>
      <c r="BO223">
        <v>311990</v>
      </c>
      <c r="BP223">
        <v>0</v>
      </c>
      <c r="BQ223">
        <v>318119</v>
      </c>
      <c r="BR223">
        <v>0</v>
      </c>
      <c r="BS223">
        <v>0</v>
      </c>
      <c r="BT223">
        <v>236091</v>
      </c>
      <c r="BU223">
        <v>-3693</v>
      </c>
      <c r="BV223">
        <v>2000569</v>
      </c>
      <c r="BW223">
        <v>434547</v>
      </c>
      <c r="BX223">
        <v>0</v>
      </c>
      <c r="BY223">
        <v>0</v>
      </c>
      <c r="BZ223">
        <v>-16250</v>
      </c>
      <c r="CA223">
        <v>0</v>
      </c>
      <c r="CB223">
        <v>1676932</v>
      </c>
      <c r="CC223">
        <v>5659610</v>
      </c>
      <c r="CD223">
        <v>-184848</v>
      </c>
      <c r="CE223">
        <v>-5030</v>
      </c>
      <c r="CF223">
        <v>0</v>
      </c>
      <c r="CG223">
        <v>357918</v>
      </c>
      <c r="CH223">
        <v>245899</v>
      </c>
      <c r="CI223">
        <v>125603</v>
      </c>
      <c r="CJ223">
        <v>31596</v>
      </c>
      <c r="CK223">
        <v>-6110</v>
      </c>
      <c r="CL223">
        <v>0</v>
      </c>
      <c r="CM223">
        <v>0</v>
      </c>
      <c r="CN223">
        <v>289180</v>
      </c>
      <c r="CO223">
        <v>22720175</v>
      </c>
      <c r="CP223">
        <v>43107</v>
      </c>
      <c r="CQ223">
        <v>0</v>
      </c>
      <c r="CR223">
        <v>748360</v>
      </c>
      <c r="CS223">
        <v>280448</v>
      </c>
      <c r="CT223">
        <v>0</v>
      </c>
      <c r="CU223">
        <v>-118073</v>
      </c>
      <c r="CV223">
        <v>0</v>
      </c>
      <c r="CW223">
        <v>957297</v>
      </c>
      <c r="CX223">
        <v>-129471</v>
      </c>
      <c r="CY223">
        <v>-38162</v>
      </c>
    </row>
    <row r="224" spans="1:103" x14ac:dyDescent="0.3">
      <c r="A224">
        <v>9012</v>
      </c>
      <c r="B224" t="s">
        <v>1631</v>
      </c>
      <c r="C224" t="s">
        <v>692</v>
      </c>
      <c r="D224">
        <v>0</v>
      </c>
      <c r="E224">
        <v>2.7728999999999999</v>
      </c>
      <c r="F224">
        <v>0</v>
      </c>
      <c r="G224">
        <v>1.2197</v>
      </c>
      <c r="H224">
        <v>0</v>
      </c>
      <c r="I224">
        <v>0</v>
      </c>
      <c r="J224">
        <v>1.6217999999999999</v>
      </c>
      <c r="K224">
        <v>0.622</v>
      </c>
      <c r="L224">
        <v>1.0865</v>
      </c>
      <c r="M224">
        <v>1.6306</v>
      </c>
      <c r="N224">
        <v>0</v>
      </c>
      <c r="O224">
        <v>0.58240000000000003</v>
      </c>
      <c r="P224">
        <v>0</v>
      </c>
      <c r="Q224">
        <v>2.9108000000000001</v>
      </c>
      <c r="R224">
        <v>1.8889</v>
      </c>
      <c r="S224">
        <v>2.9203000000000001</v>
      </c>
      <c r="T224">
        <v>0</v>
      </c>
      <c r="U224">
        <v>0</v>
      </c>
      <c r="V224">
        <v>3.5499000000000001</v>
      </c>
      <c r="W224">
        <v>0</v>
      </c>
      <c r="X224">
        <v>2.1602000000000001</v>
      </c>
      <c r="Y224">
        <v>0.38500000000000001</v>
      </c>
      <c r="Z224">
        <v>0</v>
      </c>
      <c r="AA224">
        <v>1.7942</v>
      </c>
      <c r="AB224">
        <v>3.8521000000000001</v>
      </c>
      <c r="AC224">
        <v>2.1362000000000001</v>
      </c>
      <c r="AD224">
        <v>2.3592</v>
      </c>
      <c r="AE224">
        <v>0.4597</v>
      </c>
      <c r="AF224">
        <v>1.0476000000000001</v>
      </c>
      <c r="AG224">
        <v>2.0718999999999999</v>
      </c>
      <c r="AH224">
        <v>3.8696000000000002</v>
      </c>
      <c r="AI224">
        <v>4.4554</v>
      </c>
      <c r="AJ224">
        <v>0.38840000000000002</v>
      </c>
      <c r="AK224">
        <v>0</v>
      </c>
      <c r="AL224">
        <v>2.3071000000000002</v>
      </c>
      <c r="AM224">
        <v>0</v>
      </c>
      <c r="AN224">
        <v>3.1019999999999999</v>
      </c>
      <c r="AO224">
        <v>0</v>
      </c>
      <c r="AP224">
        <v>0</v>
      </c>
      <c r="AQ224">
        <v>0.65710000000000002</v>
      </c>
      <c r="AR224">
        <v>0</v>
      </c>
      <c r="AS224">
        <v>0.77339999999999998</v>
      </c>
      <c r="AT224">
        <v>2.6816</v>
      </c>
      <c r="AU224">
        <v>0</v>
      </c>
      <c r="AV224">
        <v>13.143800000000001</v>
      </c>
      <c r="AW224">
        <v>2.5745</v>
      </c>
      <c r="AX224">
        <v>1.0981000000000001</v>
      </c>
      <c r="AY224">
        <v>0.3135</v>
      </c>
      <c r="AZ224">
        <v>0</v>
      </c>
      <c r="BA224">
        <v>0</v>
      </c>
      <c r="BB224">
        <v>1.6031</v>
      </c>
      <c r="BC224">
        <v>3.1013999999999999</v>
      </c>
      <c r="BD224">
        <v>0</v>
      </c>
      <c r="BE224">
        <v>0</v>
      </c>
      <c r="BF224">
        <v>2.0274000000000001</v>
      </c>
      <c r="BG224">
        <v>0</v>
      </c>
      <c r="BH224">
        <v>0</v>
      </c>
      <c r="BI224">
        <v>1.15E-2</v>
      </c>
      <c r="BJ224">
        <v>0.8337</v>
      </c>
      <c r="BK224">
        <v>0</v>
      </c>
      <c r="BL224">
        <v>0</v>
      </c>
      <c r="BM224">
        <v>2.0617000000000001</v>
      </c>
      <c r="BN224">
        <v>1.3003</v>
      </c>
      <c r="BO224">
        <v>0.48159999999999997</v>
      </c>
      <c r="BP224">
        <v>0</v>
      </c>
      <c r="BQ224">
        <v>0.29160000000000003</v>
      </c>
      <c r="BR224">
        <v>0</v>
      </c>
      <c r="BS224">
        <v>0</v>
      </c>
      <c r="BT224">
        <v>1.2608999999999999</v>
      </c>
      <c r="BU224">
        <v>1.4913000000000001</v>
      </c>
      <c r="BV224">
        <v>1.4346000000000001</v>
      </c>
      <c r="BW224">
        <v>0.6552</v>
      </c>
      <c r="BX224">
        <v>0</v>
      </c>
      <c r="BY224">
        <v>0</v>
      </c>
      <c r="BZ224">
        <v>4.1216999999999997</v>
      </c>
      <c r="CA224">
        <v>0</v>
      </c>
      <c r="CB224">
        <v>2.4426999999999999</v>
      </c>
      <c r="CC224">
        <v>1.125</v>
      </c>
      <c r="CD224">
        <v>1.2294</v>
      </c>
      <c r="CE224">
        <v>5.1787999999999998</v>
      </c>
      <c r="CF224">
        <v>0</v>
      </c>
      <c r="CG224">
        <v>2.919</v>
      </c>
      <c r="CH224">
        <v>1.9630000000000001</v>
      </c>
      <c r="CI224">
        <v>0.6512</v>
      </c>
      <c r="CJ224">
        <v>1.7072000000000001</v>
      </c>
      <c r="CK224">
        <v>4.3574999999999999</v>
      </c>
      <c r="CL224">
        <v>0</v>
      </c>
      <c r="CM224">
        <v>0</v>
      </c>
      <c r="CN224">
        <v>1.343</v>
      </c>
      <c r="CO224">
        <v>3.0415999999999999</v>
      </c>
      <c r="CP224">
        <v>0.9466</v>
      </c>
      <c r="CQ224">
        <v>0</v>
      </c>
      <c r="CR224">
        <v>2.6617000000000002</v>
      </c>
      <c r="CS224">
        <v>1.8478000000000001</v>
      </c>
      <c r="CT224">
        <v>0</v>
      </c>
      <c r="CU224">
        <v>0.9446</v>
      </c>
      <c r="CV224">
        <v>0</v>
      </c>
      <c r="CW224">
        <v>2.5579000000000001</v>
      </c>
      <c r="CX224">
        <v>1.1506000000000001</v>
      </c>
      <c r="CY224">
        <v>0</v>
      </c>
    </row>
    <row r="225" spans="1:103" x14ac:dyDescent="0.3">
      <c r="A225">
        <v>9013</v>
      </c>
      <c r="B225" t="s">
        <v>693</v>
      </c>
      <c r="C225" t="s">
        <v>694</v>
      </c>
      <c r="D225">
        <v>0</v>
      </c>
      <c r="E225">
        <v>9.5500000000000007</v>
      </c>
      <c r="F225">
        <v>0</v>
      </c>
      <c r="G225">
        <v>7.71</v>
      </c>
      <c r="H225">
        <v>0</v>
      </c>
      <c r="I225">
        <v>0</v>
      </c>
      <c r="J225">
        <v>4.79</v>
      </c>
      <c r="K225">
        <v>2.44</v>
      </c>
      <c r="L225">
        <v>25.67</v>
      </c>
      <c r="M225">
        <v>3.56</v>
      </c>
      <c r="N225">
        <v>0</v>
      </c>
      <c r="O225">
        <v>5.0199999999999996</v>
      </c>
      <c r="P225">
        <v>0</v>
      </c>
      <c r="Q225">
        <v>75.41</v>
      </c>
      <c r="R225">
        <v>13.47</v>
      </c>
      <c r="S225">
        <v>3.08</v>
      </c>
      <c r="T225">
        <v>0</v>
      </c>
      <c r="U225">
        <v>0</v>
      </c>
      <c r="V225">
        <v>43.35</v>
      </c>
      <c r="W225">
        <v>0</v>
      </c>
      <c r="X225">
        <v>37.75</v>
      </c>
      <c r="Y225">
        <v>4.3099999999999996</v>
      </c>
      <c r="Z225">
        <v>0</v>
      </c>
      <c r="AA225">
        <v>0</v>
      </c>
      <c r="AB225">
        <v>12.4</v>
      </c>
      <c r="AC225">
        <v>11.16</v>
      </c>
      <c r="AD225">
        <v>9.69</v>
      </c>
      <c r="AE225">
        <v>4.1100000000000003</v>
      </c>
      <c r="AF225">
        <v>2.3199999999999998</v>
      </c>
      <c r="AG225">
        <v>11.67</v>
      </c>
      <c r="AH225">
        <v>8.9600000000000009</v>
      </c>
      <c r="AI225">
        <v>39.46</v>
      </c>
      <c r="AJ225">
        <v>3.06</v>
      </c>
      <c r="AK225">
        <v>0</v>
      </c>
      <c r="AL225">
        <v>6.7</v>
      </c>
      <c r="AM225">
        <v>0</v>
      </c>
      <c r="AN225">
        <v>20.55</v>
      </c>
      <c r="AO225">
        <v>0</v>
      </c>
      <c r="AP225">
        <v>0</v>
      </c>
      <c r="AQ225">
        <v>2.41</v>
      </c>
      <c r="AR225">
        <v>0</v>
      </c>
      <c r="AS225">
        <v>2.95</v>
      </c>
      <c r="AT225">
        <v>11.44</v>
      </c>
      <c r="AU225">
        <v>0</v>
      </c>
      <c r="AV225">
        <v>337.26</v>
      </c>
      <c r="AW225">
        <v>2.84</v>
      </c>
      <c r="AX225">
        <v>7.04</v>
      </c>
      <c r="AY225">
        <v>3.23</v>
      </c>
      <c r="AZ225">
        <v>0</v>
      </c>
      <c r="BA225">
        <v>0</v>
      </c>
      <c r="BB225">
        <v>5.33</v>
      </c>
      <c r="BC225">
        <v>13.06</v>
      </c>
      <c r="BD225">
        <v>0</v>
      </c>
      <c r="BE225">
        <v>0</v>
      </c>
      <c r="BF225">
        <v>7.24</v>
      </c>
      <c r="BG225">
        <v>0</v>
      </c>
      <c r="BH225">
        <v>0</v>
      </c>
      <c r="BI225">
        <v>0.15</v>
      </c>
      <c r="BJ225">
        <v>29.46</v>
      </c>
      <c r="BK225">
        <v>0</v>
      </c>
      <c r="BL225">
        <v>0</v>
      </c>
      <c r="BM225">
        <v>8.18</v>
      </c>
      <c r="BN225">
        <v>5.2</v>
      </c>
      <c r="BO225">
        <v>1.82</v>
      </c>
      <c r="BP225">
        <v>0</v>
      </c>
      <c r="BQ225">
        <v>2.33</v>
      </c>
      <c r="BR225">
        <v>0</v>
      </c>
      <c r="BS225">
        <v>0</v>
      </c>
      <c r="BT225">
        <v>7.74</v>
      </c>
      <c r="BU225">
        <v>8.91</v>
      </c>
      <c r="BV225">
        <v>4.25</v>
      </c>
      <c r="BW225">
        <v>6.14</v>
      </c>
      <c r="BX225">
        <v>0</v>
      </c>
      <c r="BY225">
        <v>0</v>
      </c>
      <c r="BZ225">
        <v>1.91</v>
      </c>
      <c r="CA225">
        <v>0</v>
      </c>
      <c r="CB225">
        <v>18.920000000000002</v>
      </c>
      <c r="CC225">
        <v>5.36</v>
      </c>
      <c r="CD225">
        <v>1.25</v>
      </c>
      <c r="CE225">
        <v>28.5</v>
      </c>
      <c r="CF225">
        <v>0</v>
      </c>
      <c r="CG225">
        <v>7.36</v>
      </c>
      <c r="CH225">
        <v>3.53</v>
      </c>
      <c r="CI225">
        <v>2.21</v>
      </c>
      <c r="CJ225">
        <v>78.900000000000006</v>
      </c>
      <c r="CK225">
        <v>1.65</v>
      </c>
      <c r="CL225">
        <v>0</v>
      </c>
      <c r="CM225">
        <v>0</v>
      </c>
      <c r="CN225">
        <v>13.34</v>
      </c>
      <c r="CO225">
        <v>2.91</v>
      </c>
      <c r="CP225">
        <v>3.88</v>
      </c>
      <c r="CQ225">
        <v>0</v>
      </c>
      <c r="CR225">
        <v>6.95</v>
      </c>
      <c r="CS225">
        <v>2.0699999999999998</v>
      </c>
      <c r="CT225">
        <v>0</v>
      </c>
      <c r="CU225">
        <v>1.54</v>
      </c>
      <c r="CV225">
        <v>0</v>
      </c>
      <c r="CW225">
        <v>13.59</v>
      </c>
      <c r="CX225">
        <v>2.72</v>
      </c>
      <c r="CY225">
        <v>0.66</v>
      </c>
    </row>
    <row r="226" spans="1:103" x14ac:dyDescent="0.3">
      <c r="A226">
        <v>9014</v>
      </c>
      <c r="B226" t="s">
        <v>695</v>
      </c>
      <c r="C226" t="s">
        <v>696</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CV226">
        <v>0</v>
      </c>
      <c r="CW226">
        <v>0</v>
      </c>
      <c r="CX226">
        <v>0</v>
      </c>
      <c r="CY226">
        <v>0</v>
      </c>
    </row>
    <row r="227" spans="1:103" x14ac:dyDescent="0.3">
      <c r="A227">
        <v>9015</v>
      </c>
      <c r="B227" t="s">
        <v>1632</v>
      </c>
      <c r="C227" t="s">
        <v>300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row>
    <row r="228" spans="1:103" x14ac:dyDescent="0.3">
      <c r="A228">
        <v>9016</v>
      </c>
      <c r="B228" t="s">
        <v>1633</v>
      </c>
      <c r="C228" t="s">
        <v>300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0</v>
      </c>
      <c r="CQ228">
        <v>0</v>
      </c>
      <c r="CR228">
        <v>0</v>
      </c>
      <c r="CS228">
        <v>0</v>
      </c>
      <c r="CT228">
        <v>0</v>
      </c>
      <c r="CU228">
        <v>0</v>
      </c>
      <c r="CV228">
        <v>0</v>
      </c>
      <c r="CW228">
        <v>0</v>
      </c>
      <c r="CX228">
        <v>0</v>
      </c>
      <c r="CY228">
        <v>0</v>
      </c>
    </row>
    <row r="229" spans="1:103" x14ac:dyDescent="0.3">
      <c r="A229">
        <v>9017</v>
      </c>
      <c r="B229" t="s">
        <v>697</v>
      </c>
      <c r="C229" t="s">
        <v>698</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BX229">
        <v>0</v>
      </c>
      <c r="BY229">
        <v>0</v>
      </c>
      <c r="BZ229">
        <v>0</v>
      </c>
      <c r="CA229">
        <v>0</v>
      </c>
      <c r="CB229">
        <v>0</v>
      </c>
      <c r="CC229">
        <v>0</v>
      </c>
      <c r="CD229">
        <v>0</v>
      </c>
      <c r="CE229">
        <v>0</v>
      </c>
      <c r="CF229">
        <v>0</v>
      </c>
      <c r="CG229">
        <v>0</v>
      </c>
      <c r="CH229">
        <v>0</v>
      </c>
      <c r="CI229">
        <v>0</v>
      </c>
      <c r="CJ229">
        <v>0</v>
      </c>
      <c r="CK229">
        <v>0</v>
      </c>
      <c r="CL229">
        <v>0</v>
      </c>
      <c r="CM229">
        <v>0</v>
      </c>
      <c r="CN229">
        <v>0</v>
      </c>
      <c r="CO229">
        <v>0</v>
      </c>
      <c r="CP229">
        <v>0</v>
      </c>
      <c r="CQ229">
        <v>0</v>
      </c>
      <c r="CR229">
        <v>0</v>
      </c>
      <c r="CS229">
        <v>0</v>
      </c>
      <c r="CT229">
        <v>0</v>
      </c>
      <c r="CU229">
        <v>0</v>
      </c>
      <c r="CV229">
        <v>0</v>
      </c>
      <c r="CW229">
        <v>0</v>
      </c>
      <c r="CX229">
        <v>0</v>
      </c>
      <c r="CY229">
        <v>0</v>
      </c>
    </row>
    <row r="230" spans="1:103" x14ac:dyDescent="0.3">
      <c r="A230">
        <v>9018</v>
      </c>
      <c r="B230" t="s">
        <v>699</v>
      </c>
      <c r="C230" t="s">
        <v>700</v>
      </c>
      <c r="D230">
        <v>22449119</v>
      </c>
      <c r="E230">
        <v>6460573</v>
      </c>
      <c r="F230">
        <v>3723973</v>
      </c>
      <c r="G230">
        <v>4491546</v>
      </c>
      <c r="H230">
        <v>3326179</v>
      </c>
      <c r="I230">
        <v>1869713</v>
      </c>
      <c r="J230">
        <v>8588404</v>
      </c>
      <c r="K230">
        <v>2788191</v>
      </c>
      <c r="L230">
        <v>5780223</v>
      </c>
      <c r="M230">
        <v>41853941</v>
      </c>
      <c r="N230">
        <v>129122002</v>
      </c>
      <c r="O230">
        <v>20719804</v>
      </c>
      <c r="P230">
        <v>127552806</v>
      </c>
      <c r="Q230">
        <v>8161605</v>
      </c>
      <c r="R230">
        <v>2016288</v>
      </c>
      <c r="S230">
        <v>17557115</v>
      </c>
      <c r="T230">
        <v>7904501</v>
      </c>
      <c r="U230">
        <v>42912952</v>
      </c>
      <c r="V230">
        <v>36048168</v>
      </c>
      <c r="W230">
        <v>9899476</v>
      </c>
      <c r="X230">
        <v>2336345</v>
      </c>
      <c r="Y230">
        <v>5917953</v>
      </c>
      <c r="Z230">
        <v>72703473</v>
      </c>
      <c r="AA230">
        <v>21747219</v>
      </c>
      <c r="AB230">
        <v>36248417</v>
      </c>
      <c r="AC230">
        <v>38575416</v>
      </c>
      <c r="AD230">
        <v>9156257</v>
      </c>
      <c r="AE230">
        <v>49094231</v>
      </c>
      <c r="AF230">
        <v>17054642</v>
      </c>
      <c r="AG230">
        <v>10527485</v>
      </c>
      <c r="AH230">
        <v>28664388</v>
      </c>
      <c r="AI230">
        <v>72510218</v>
      </c>
      <c r="AJ230">
        <v>9035873</v>
      </c>
      <c r="AK230">
        <v>185354933</v>
      </c>
      <c r="AL230">
        <v>12882364</v>
      </c>
      <c r="AM230">
        <v>95807028</v>
      </c>
      <c r="AN230">
        <v>2513092</v>
      </c>
      <c r="AO230">
        <v>7790997</v>
      </c>
      <c r="AP230">
        <v>11428528</v>
      </c>
      <c r="AQ230">
        <v>1933865</v>
      </c>
      <c r="AR230">
        <v>215170716</v>
      </c>
      <c r="AS230">
        <v>14996349</v>
      </c>
      <c r="AT230">
        <v>56662113</v>
      </c>
      <c r="AU230">
        <v>11206388</v>
      </c>
      <c r="AV230">
        <v>29939410</v>
      </c>
      <c r="AW230">
        <v>3930519</v>
      </c>
      <c r="AX230">
        <v>28567469</v>
      </c>
      <c r="AY230">
        <v>1480972</v>
      </c>
      <c r="AZ230">
        <v>67954326</v>
      </c>
      <c r="BA230">
        <v>19118618</v>
      </c>
      <c r="BB230">
        <v>42206390</v>
      </c>
      <c r="BC230">
        <v>2570820</v>
      </c>
      <c r="BD230">
        <v>22999425</v>
      </c>
      <c r="BE230">
        <v>20504531</v>
      </c>
      <c r="BF230">
        <v>22983151</v>
      </c>
      <c r="BG230">
        <v>8099014</v>
      </c>
      <c r="BH230">
        <v>2907973</v>
      </c>
      <c r="BI230">
        <v>6855766</v>
      </c>
      <c r="BJ230">
        <v>1886380</v>
      </c>
      <c r="BK230">
        <v>569060067</v>
      </c>
      <c r="BL230">
        <v>1825931</v>
      </c>
      <c r="BM230">
        <v>7621646</v>
      </c>
      <c r="BN230">
        <v>34881165</v>
      </c>
      <c r="BO230">
        <v>12791517</v>
      </c>
      <c r="BP230">
        <v>113829439</v>
      </c>
      <c r="BQ230">
        <v>17066103</v>
      </c>
      <c r="BR230">
        <v>72933292</v>
      </c>
      <c r="BS230">
        <v>71383586</v>
      </c>
      <c r="BT230">
        <v>4215787</v>
      </c>
      <c r="BU230">
        <v>10261436</v>
      </c>
      <c r="BV230">
        <v>19784555</v>
      </c>
      <c r="BW230">
        <v>1337835</v>
      </c>
      <c r="BX230">
        <v>25681557</v>
      </c>
      <c r="BY230">
        <v>42198819</v>
      </c>
      <c r="BZ230">
        <v>11358337</v>
      </c>
      <c r="CA230">
        <v>47592473</v>
      </c>
      <c r="CB230">
        <v>7353040</v>
      </c>
      <c r="CC230">
        <v>6213916</v>
      </c>
      <c r="CD230">
        <v>19073938</v>
      </c>
      <c r="CE230">
        <v>42886499</v>
      </c>
      <c r="CF230">
        <v>10374300</v>
      </c>
      <c r="CG230">
        <v>14379798</v>
      </c>
      <c r="CH230">
        <v>4837799</v>
      </c>
      <c r="CI230">
        <v>19984966</v>
      </c>
      <c r="CJ230">
        <v>28738368</v>
      </c>
      <c r="CK230">
        <v>15189553</v>
      </c>
      <c r="CL230">
        <v>7850314</v>
      </c>
      <c r="CM230">
        <v>6163354</v>
      </c>
      <c r="CN230">
        <v>451037</v>
      </c>
      <c r="CO230">
        <v>112722156</v>
      </c>
      <c r="CP230">
        <v>12744864</v>
      </c>
      <c r="CQ230">
        <v>374623661</v>
      </c>
      <c r="CR230">
        <v>4532748</v>
      </c>
      <c r="CS230">
        <v>1414232</v>
      </c>
      <c r="CT230">
        <v>16657584</v>
      </c>
      <c r="CU230">
        <v>51484867</v>
      </c>
      <c r="CV230">
        <v>13876169</v>
      </c>
      <c r="CW230">
        <v>11792976</v>
      </c>
      <c r="CX230">
        <v>6629627</v>
      </c>
      <c r="CY230">
        <v>2636477</v>
      </c>
    </row>
    <row r="231" spans="1:103" x14ac:dyDescent="0.3">
      <c r="A231">
        <v>9019</v>
      </c>
      <c r="B231" t="s">
        <v>701</v>
      </c>
      <c r="C231" t="s">
        <v>702</v>
      </c>
      <c r="D231">
        <v>22449119</v>
      </c>
      <c r="E231">
        <v>6460573</v>
      </c>
      <c r="F231">
        <v>3723973</v>
      </c>
      <c r="G231">
        <v>4491546</v>
      </c>
      <c r="H231">
        <v>3326179</v>
      </c>
      <c r="I231">
        <v>1869713</v>
      </c>
      <c r="J231">
        <v>8588404</v>
      </c>
      <c r="K231">
        <v>2788191</v>
      </c>
      <c r="L231">
        <v>5780223</v>
      </c>
      <c r="M231">
        <v>41853941</v>
      </c>
      <c r="N231">
        <v>129122002</v>
      </c>
      <c r="O231">
        <v>20719804</v>
      </c>
      <c r="P231">
        <v>127552806</v>
      </c>
      <c r="Q231">
        <v>8161605</v>
      </c>
      <c r="R231">
        <v>2016288</v>
      </c>
      <c r="S231">
        <v>17557115</v>
      </c>
      <c r="T231">
        <v>7904501</v>
      </c>
      <c r="U231">
        <v>42912952</v>
      </c>
      <c r="V231">
        <v>36048168</v>
      </c>
      <c r="W231">
        <v>9899476</v>
      </c>
      <c r="X231">
        <v>2336345</v>
      </c>
      <c r="Y231">
        <v>5917953</v>
      </c>
      <c r="Z231">
        <v>72703473</v>
      </c>
      <c r="AA231">
        <v>21747219</v>
      </c>
      <c r="AB231">
        <v>36248417</v>
      </c>
      <c r="AC231">
        <v>38575416</v>
      </c>
      <c r="AD231">
        <v>9156257</v>
      </c>
      <c r="AE231">
        <v>49094231</v>
      </c>
      <c r="AF231">
        <v>17054642</v>
      </c>
      <c r="AG231">
        <v>10527485</v>
      </c>
      <c r="AH231">
        <v>28664388</v>
      </c>
      <c r="AI231">
        <v>72510218</v>
      </c>
      <c r="AJ231">
        <v>9035873</v>
      </c>
      <c r="AK231">
        <v>185354933</v>
      </c>
      <c r="AL231">
        <v>12882364</v>
      </c>
      <c r="AM231">
        <v>95807028</v>
      </c>
      <c r="AN231">
        <v>2513092</v>
      </c>
      <c r="AO231">
        <v>7790997</v>
      </c>
      <c r="AP231">
        <v>11428528</v>
      </c>
      <c r="AQ231">
        <v>1933865</v>
      </c>
      <c r="AR231">
        <v>215170716</v>
      </c>
      <c r="AS231">
        <v>14996349</v>
      </c>
      <c r="AT231">
        <v>56662113</v>
      </c>
      <c r="AU231">
        <v>11206388</v>
      </c>
      <c r="AV231">
        <v>29939410</v>
      </c>
      <c r="AW231">
        <v>3930519</v>
      </c>
      <c r="AX231">
        <v>28567469</v>
      </c>
      <c r="AY231">
        <v>1480972</v>
      </c>
      <c r="AZ231">
        <v>67954326</v>
      </c>
      <c r="BA231">
        <v>19118618</v>
      </c>
      <c r="BB231">
        <v>42206390</v>
      </c>
      <c r="BC231">
        <v>2570820</v>
      </c>
      <c r="BD231">
        <v>22999425</v>
      </c>
      <c r="BE231">
        <v>20504531</v>
      </c>
      <c r="BF231">
        <v>22983151</v>
      </c>
      <c r="BG231">
        <v>8099014</v>
      </c>
      <c r="BH231">
        <v>2907973</v>
      </c>
      <c r="BI231">
        <v>6855766</v>
      </c>
      <c r="BJ231">
        <v>1886380</v>
      </c>
      <c r="BK231">
        <v>569060067</v>
      </c>
      <c r="BL231">
        <v>1825931</v>
      </c>
      <c r="BM231">
        <v>7621646</v>
      </c>
      <c r="BN231">
        <v>34881165</v>
      </c>
      <c r="BO231">
        <v>12791517</v>
      </c>
      <c r="BP231">
        <v>113829439</v>
      </c>
      <c r="BQ231">
        <v>17066103</v>
      </c>
      <c r="BR231">
        <v>72933292</v>
      </c>
      <c r="BS231">
        <v>71383586</v>
      </c>
      <c r="BT231">
        <v>4215787</v>
      </c>
      <c r="BU231">
        <v>10261436</v>
      </c>
      <c r="BV231">
        <v>19784555</v>
      </c>
      <c r="BW231">
        <v>1337835</v>
      </c>
      <c r="BX231">
        <v>25681557</v>
      </c>
      <c r="BY231">
        <v>42198819</v>
      </c>
      <c r="BZ231">
        <v>11358337</v>
      </c>
      <c r="CA231">
        <v>47592473</v>
      </c>
      <c r="CB231">
        <v>7353040</v>
      </c>
      <c r="CC231">
        <v>6213916</v>
      </c>
      <c r="CD231">
        <v>19073938</v>
      </c>
      <c r="CE231">
        <v>42886499</v>
      </c>
      <c r="CF231">
        <v>10374300</v>
      </c>
      <c r="CG231">
        <v>14379798</v>
      </c>
      <c r="CH231">
        <v>4837799</v>
      </c>
      <c r="CI231">
        <v>19984966</v>
      </c>
      <c r="CJ231">
        <v>28738368</v>
      </c>
      <c r="CK231">
        <v>15189553</v>
      </c>
      <c r="CL231">
        <v>7850314</v>
      </c>
      <c r="CM231">
        <v>6163354</v>
      </c>
      <c r="CN231">
        <v>451037</v>
      </c>
      <c r="CO231">
        <v>112722156</v>
      </c>
      <c r="CP231">
        <v>12744864</v>
      </c>
      <c r="CQ231">
        <v>374623661</v>
      </c>
      <c r="CR231">
        <v>4532748</v>
      </c>
      <c r="CS231">
        <v>1414232</v>
      </c>
      <c r="CT231">
        <v>16657584</v>
      </c>
      <c r="CU231">
        <v>51484867</v>
      </c>
      <c r="CV231">
        <v>13876169</v>
      </c>
      <c r="CW231">
        <v>11792976</v>
      </c>
      <c r="CX231">
        <v>6629627</v>
      </c>
      <c r="CY231">
        <v>2636477</v>
      </c>
    </row>
    <row r="232" spans="1:103" x14ac:dyDescent="0.3">
      <c r="B232" s="913" t="s">
        <v>1721</v>
      </c>
      <c r="D232">
        <f>1-((J93+J94+J95+J96)/(J85+J86+J87+J88))</f>
        <v>0.63719891897455105</v>
      </c>
      <c r="E232" s="173">
        <f t="shared" ref="E232:I232" si="0">1-((K93+K94+K95+K96)/(K85+K86+K87+K88))</f>
        <v>0.6594349921964231</v>
      </c>
      <c r="F232" s="173">
        <f t="shared" si="0"/>
        <v>0.61411205528616297</v>
      </c>
      <c r="G232" s="173">
        <f t="shared" si="0"/>
        <v>0.66033631226457623</v>
      </c>
      <c r="H232" s="173" t="e">
        <f t="shared" si="0"/>
        <v>#DIV/0!</v>
      </c>
      <c r="I232" s="173">
        <f t="shared" si="0"/>
        <v>0.47647250769976834</v>
      </c>
      <c r="J232">
        <f>1-((J93+J94+J95+J96)/(J85+J86+J87+J88))</f>
        <v>0.63719891897455105</v>
      </c>
      <c r="K232" s="173">
        <f t="shared" ref="K232:BV232" si="1">1-((K93+K94+K95+K96)/(K85+K86+K87+K88))</f>
        <v>0.6594349921964231</v>
      </c>
      <c r="L232" s="173">
        <f t="shared" si="1"/>
        <v>0.61411205528616297</v>
      </c>
      <c r="M232" s="173">
        <f t="shared" si="1"/>
        <v>0.66033631226457623</v>
      </c>
      <c r="N232" s="173" t="e">
        <f t="shared" si="1"/>
        <v>#DIV/0!</v>
      </c>
      <c r="O232" s="173">
        <f t="shared" si="1"/>
        <v>0.47647250769976834</v>
      </c>
      <c r="P232" s="173" t="e">
        <f t="shared" si="1"/>
        <v>#DIV/0!</v>
      </c>
      <c r="Q232" s="173">
        <f t="shared" si="1"/>
        <v>0.23497512042275337</v>
      </c>
      <c r="R232" s="173">
        <f t="shared" si="1"/>
        <v>0.71153425309946317</v>
      </c>
      <c r="S232" s="173">
        <f t="shared" si="1"/>
        <v>0.43261199580536458</v>
      </c>
      <c r="T232" s="173" t="e">
        <f t="shared" si="1"/>
        <v>#DIV/0!</v>
      </c>
      <c r="U232" s="173" t="e">
        <f t="shared" si="1"/>
        <v>#DIV/0!</v>
      </c>
      <c r="V232" s="173">
        <f t="shared" si="1"/>
        <v>0.6039136658205273</v>
      </c>
      <c r="W232" s="173" t="e">
        <f t="shared" si="1"/>
        <v>#DIV/0!</v>
      </c>
      <c r="X232" s="173">
        <f t="shared" si="1"/>
        <v>0.21840097826171612</v>
      </c>
      <c r="Y232" s="173">
        <f t="shared" si="1"/>
        <v>0.30939957229097559</v>
      </c>
      <c r="Z232" s="173" t="e">
        <f t="shared" si="1"/>
        <v>#DIV/0!</v>
      </c>
      <c r="AA232" s="173">
        <f t="shared" si="1"/>
        <v>0.57848579489033725</v>
      </c>
      <c r="AB232" s="173">
        <f t="shared" si="1"/>
        <v>0.59007545197565636</v>
      </c>
      <c r="AC232" s="173">
        <f t="shared" si="1"/>
        <v>0.67197754356479755</v>
      </c>
      <c r="AD232" s="173">
        <f t="shared" si="1"/>
        <v>0.45943117291551572</v>
      </c>
      <c r="AE232" s="173">
        <f t="shared" si="1"/>
        <v>0.43376024720607254</v>
      </c>
      <c r="AF232" s="173">
        <f t="shared" si="1"/>
        <v>0.74759102608635064</v>
      </c>
      <c r="AG232" s="173">
        <f t="shared" si="1"/>
        <v>0.61852673520598023</v>
      </c>
      <c r="AH232" s="173">
        <f t="shared" si="1"/>
        <v>0.61248341505495385</v>
      </c>
      <c r="AI232" s="173">
        <f t="shared" si="1"/>
        <v>0.55638871270266321</v>
      </c>
      <c r="AJ232" s="173">
        <f t="shared" si="1"/>
        <v>0.74413243901500192</v>
      </c>
      <c r="AK232" s="173" t="e">
        <f t="shared" si="1"/>
        <v>#DIV/0!</v>
      </c>
      <c r="AL232" s="173">
        <f t="shared" si="1"/>
        <v>0.52812061666153065</v>
      </c>
      <c r="AM232" s="173" t="e">
        <f t="shared" si="1"/>
        <v>#DIV/0!</v>
      </c>
      <c r="AN232" s="173">
        <f t="shared" si="1"/>
        <v>0.51083345151981319</v>
      </c>
      <c r="AO232" s="173" t="e">
        <f t="shared" si="1"/>
        <v>#DIV/0!</v>
      </c>
      <c r="AP232" s="173" t="e">
        <f t="shared" si="1"/>
        <v>#DIV/0!</v>
      </c>
      <c r="AQ232" s="173">
        <f t="shared" si="1"/>
        <v>0.69571994770517975</v>
      </c>
      <c r="AR232" s="173" t="e">
        <f t="shared" si="1"/>
        <v>#DIV/0!</v>
      </c>
      <c r="AS232" s="173">
        <f t="shared" si="1"/>
        <v>0.42930021836287668</v>
      </c>
      <c r="AT232" s="173">
        <f t="shared" si="1"/>
        <v>0.66986732555578155</v>
      </c>
      <c r="AU232" s="173" t="e">
        <f t="shared" si="1"/>
        <v>#DIV/0!</v>
      </c>
      <c r="AV232" s="173">
        <f t="shared" si="1"/>
        <v>0.38474002616450875</v>
      </c>
      <c r="AW232" s="173">
        <f t="shared" si="1"/>
        <v>0.61085132282266585</v>
      </c>
      <c r="AX232" s="173">
        <f t="shared" si="1"/>
        <v>0.70837085274307632</v>
      </c>
      <c r="AY232" s="173">
        <f t="shared" si="1"/>
        <v>0.4887366326024486</v>
      </c>
      <c r="AZ232" s="173" t="e">
        <f t="shared" si="1"/>
        <v>#DIV/0!</v>
      </c>
      <c r="BA232" s="173" t="e">
        <f t="shared" si="1"/>
        <v>#DIV/0!</v>
      </c>
      <c r="BB232" s="173">
        <f t="shared" si="1"/>
        <v>0.57885306897865929</v>
      </c>
      <c r="BC232" s="173">
        <f t="shared" si="1"/>
        <v>0.44180839832029317</v>
      </c>
      <c r="BD232" s="173" t="e">
        <f t="shared" si="1"/>
        <v>#DIV/0!</v>
      </c>
      <c r="BE232" s="173" t="e">
        <f t="shared" si="1"/>
        <v>#DIV/0!</v>
      </c>
      <c r="BF232" s="173">
        <f t="shared" si="1"/>
        <v>0.59299363742401923</v>
      </c>
      <c r="BG232" s="173" t="e">
        <f t="shared" si="1"/>
        <v>#DIV/0!</v>
      </c>
      <c r="BH232" s="173" t="e">
        <f t="shared" si="1"/>
        <v>#DIV/0!</v>
      </c>
      <c r="BI232" s="173">
        <f t="shared" si="1"/>
        <v>0.70990732957784575</v>
      </c>
      <c r="BJ232" s="173">
        <f t="shared" si="1"/>
        <v>0.80791300237291785</v>
      </c>
      <c r="BK232" s="173" t="e">
        <f t="shared" si="1"/>
        <v>#DIV/0!</v>
      </c>
      <c r="BL232" s="173" t="e">
        <f t="shared" si="1"/>
        <v>#DIV/0!</v>
      </c>
      <c r="BM232" s="173">
        <f t="shared" si="1"/>
        <v>0.43665308543374137</v>
      </c>
      <c r="BN232" s="173">
        <f t="shared" si="1"/>
        <v>0.44125186347811018</v>
      </c>
      <c r="BO232" s="173">
        <f t="shared" si="1"/>
        <v>0.76574161788658868</v>
      </c>
      <c r="BP232" s="173" t="e">
        <f t="shared" si="1"/>
        <v>#DIV/0!</v>
      </c>
      <c r="BQ232" s="173">
        <f t="shared" si="1"/>
        <v>0.59154739678326096</v>
      </c>
      <c r="BR232" s="173" t="e">
        <f t="shared" si="1"/>
        <v>#DIV/0!</v>
      </c>
      <c r="BS232" s="173" t="e">
        <f t="shared" si="1"/>
        <v>#DIV/0!</v>
      </c>
      <c r="BT232" s="173">
        <f t="shared" si="1"/>
        <v>0.48434259215992159</v>
      </c>
      <c r="BU232" s="173">
        <f t="shared" si="1"/>
        <v>0.47855682283409151</v>
      </c>
      <c r="BV232" s="173">
        <f t="shared" si="1"/>
        <v>0.7828065247133783</v>
      </c>
      <c r="BW232" s="173">
        <f t="shared" ref="BW232:CY232" si="2">1-((BW93+BW94+BW95+BW96)/(BW85+BW86+BW87+BW88))</f>
        <v>0.41366797999302563</v>
      </c>
      <c r="BX232" s="173" t="e">
        <f t="shared" si="2"/>
        <v>#DIV/0!</v>
      </c>
      <c r="BY232" s="173" t="e">
        <f t="shared" si="2"/>
        <v>#DIV/0!</v>
      </c>
      <c r="BZ232" s="173">
        <f t="shared" si="2"/>
        <v>0.76449224416239603</v>
      </c>
      <c r="CA232" s="173" t="e">
        <f t="shared" si="2"/>
        <v>#DIV/0!</v>
      </c>
      <c r="CB232" s="173">
        <f t="shared" si="2"/>
        <v>0.41825034969813779</v>
      </c>
      <c r="CC232" s="173">
        <f t="shared" si="2"/>
        <v>0.27977194026445595</v>
      </c>
      <c r="CD232" s="173">
        <f t="shared" si="2"/>
        <v>0.6586368966835574</v>
      </c>
      <c r="CE232" s="173">
        <f t="shared" si="2"/>
        <v>0.92062414291538486</v>
      </c>
      <c r="CF232" s="173" t="e">
        <f t="shared" si="2"/>
        <v>#DIV/0!</v>
      </c>
      <c r="CG232" s="173">
        <f t="shared" si="2"/>
        <v>0.57395478371458508</v>
      </c>
      <c r="CH232" s="173">
        <f t="shared" si="2"/>
        <v>0.50519262594705128</v>
      </c>
      <c r="CI232" s="173">
        <f t="shared" si="2"/>
        <v>0.41789846487137261</v>
      </c>
      <c r="CJ232" s="173">
        <f t="shared" si="2"/>
        <v>0.6457957746528209</v>
      </c>
      <c r="CK232" s="173">
        <f t="shared" si="2"/>
        <v>0.77359857464582615</v>
      </c>
      <c r="CL232" s="173" t="e">
        <f t="shared" si="2"/>
        <v>#DIV/0!</v>
      </c>
      <c r="CM232" s="173" t="e">
        <f t="shared" si="2"/>
        <v>#DIV/0!</v>
      </c>
      <c r="CN232" s="173">
        <f t="shared" si="2"/>
        <v>0.70542358367679214</v>
      </c>
      <c r="CO232" s="173">
        <f t="shared" si="2"/>
        <v>0.53040792380002189</v>
      </c>
      <c r="CP232" s="173">
        <f t="shared" si="2"/>
        <v>0.85172540318390066</v>
      </c>
      <c r="CQ232" s="173" t="e">
        <f t="shared" si="2"/>
        <v>#DIV/0!</v>
      </c>
      <c r="CR232" s="173">
        <f t="shared" si="2"/>
        <v>0.57433393164143476</v>
      </c>
      <c r="CS232" s="173">
        <f t="shared" si="2"/>
        <v>0.49771507798481951</v>
      </c>
      <c r="CT232" s="173" t="e">
        <f t="shared" si="2"/>
        <v>#DIV/0!</v>
      </c>
      <c r="CU232" s="173">
        <f t="shared" si="2"/>
        <v>0.54439126085805922</v>
      </c>
      <c r="CV232" s="173" t="e">
        <f t="shared" si="2"/>
        <v>#DIV/0!</v>
      </c>
      <c r="CW232" s="173">
        <f t="shared" si="2"/>
        <v>0.60965147632515204</v>
      </c>
      <c r="CX232" s="173">
        <f t="shared" si="2"/>
        <v>0.65701399095611746</v>
      </c>
      <c r="CY232" s="173" t="e">
        <f t="shared" si="2"/>
        <v>#DIV/0!</v>
      </c>
    </row>
    <row r="234" spans="1:103" x14ac:dyDescent="0.3">
      <c r="D234" s="543">
        <v>3350666064.1100001</v>
      </c>
      <c r="E234" s="543">
        <v>866423227.10000002</v>
      </c>
      <c r="F234" s="543">
        <v>350803555.62</v>
      </c>
      <c r="G234" s="543">
        <v>827957243.62</v>
      </c>
      <c r="H234" s="543">
        <v>713946035.42999995</v>
      </c>
      <c r="I234" s="543">
        <v>670242932.64999998</v>
      </c>
      <c r="J234" s="543">
        <v>1439805032.3399999</v>
      </c>
      <c r="K234" s="543">
        <v>574798560.29999995</v>
      </c>
      <c r="L234" s="543">
        <v>1185722344.5999999</v>
      </c>
      <c r="M234" s="543">
        <v>8498773099.1199999</v>
      </c>
      <c r="N234" s="543">
        <v>6927235265.7799997</v>
      </c>
      <c r="O234" s="543">
        <v>1650907641.3199999</v>
      </c>
      <c r="P234" s="543">
        <v>6086152102.6000004</v>
      </c>
      <c r="Q234" s="543">
        <v>1501040618.4200001</v>
      </c>
      <c r="R234" s="543">
        <v>469874113.12</v>
      </c>
      <c r="S234" s="543">
        <v>1760254691.98</v>
      </c>
      <c r="T234" s="543">
        <v>497971798.44</v>
      </c>
      <c r="U234" s="543">
        <v>3846708442</v>
      </c>
      <c r="V234" s="543">
        <v>3232487330.04</v>
      </c>
      <c r="W234" s="543">
        <v>808917335.41999996</v>
      </c>
      <c r="X234" s="543">
        <v>504243147.87</v>
      </c>
      <c r="Y234" s="543">
        <v>410422795.63999999</v>
      </c>
      <c r="Z234" s="543">
        <v>2599690699.0799999</v>
      </c>
      <c r="AA234" s="543">
        <v>1687638292.8299999</v>
      </c>
      <c r="AB234" s="543">
        <v>2335155384.8200002</v>
      </c>
      <c r="AC234" s="543">
        <v>6505305873.9300003</v>
      </c>
      <c r="AD234" s="543">
        <v>2243351144.1500001</v>
      </c>
      <c r="AE234" s="543">
        <v>3787059218.6799998</v>
      </c>
      <c r="AF234" s="543">
        <v>2958814333.23</v>
      </c>
      <c r="AG234" s="543">
        <v>1346777531.0599999</v>
      </c>
      <c r="AH234" s="543">
        <v>1668222351.6400001</v>
      </c>
      <c r="AI234" s="543">
        <v>10619117149.620001</v>
      </c>
      <c r="AJ234" s="543">
        <v>1229368839.46</v>
      </c>
      <c r="AK234" s="543">
        <v>9107605123.8099995</v>
      </c>
      <c r="AL234" s="543">
        <v>2124123819.53</v>
      </c>
      <c r="AM234" s="543">
        <v>5253899057.2200003</v>
      </c>
      <c r="AN234" s="543">
        <v>281898929.23000002</v>
      </c>
      <c r="AO234" s="543">
        <v>340248893.63</v>
      </c>
      <c r="AP234" s="543">
        <v>1377817383.9400001</v>
      </c>
      <c r="AQ234" s="543">
        <v>664167390.04999995</v>
      </c>
      <c r="AR234" s="543">
        <v>8753204727.6200008</v>
      </c>
      <c r="AS234" s="543">
        <v>1298532283.23</v>
      </c>
      <c r="AT234" s="543">
        <v>5253667686.6400003</v>
      </c>
      <c r="AU234" s="543">
        <v>1689451217.8900001</v>
      </c>
      <c r="AV234" s="543">
        <v>2978871169.5799999</v>
      </c>
      <c r="AW234" s="543">
        <v>605398986.71000004</v>
      </c>
      <c r="AX234" s="543">
        <v>1527068528.95</v>
      </c>
      <c r="AY234" s="543">
        <v>344557551.12</v>
      </c>
      <c r="AZ234" s="543">
        <v>5458427506.9700003</v>
      </c>
      <c r="BA234" s="543">
        <v>1443476709.8299999</v>
      </c>
      <c r="BB234" s="543">
        <v>8263835625.79</v>
      </c>
      <c r="BC234" s="543">
        <v>492198294.12</v>
      </c>
      <c r="BD234" s="543">
        <v>1299134464.46</v>
      </c>
      <c r="BE234" s="543">
        <v>1120497007.5799999</v>
      </c>
      <c r="BF234" s="543">
        <v>3292815900.8699999</v>
      </c>
      <c r="BG234" s="543">
        <v>1112128219.97</v>
      </c>
      <c r="BH234" s="543">
        <v>460795710.74000001</v>
      </c>
      <c r="BI234" s="543">
        <v>714187482.82000005</v>
      </c>
      <c r="BJ234" s="543">
        <v>869036626.02999997</v>
      </c>
      <c r="BK234" s="543">
        <v>29251109792.349998</v>
      </c>
      <c r="BL234" s="543">
        <v>320021246.76999998</v>
      </c>
      <c r="BM234" s="543">
        <v>1354021136.01</v>
      </c>
      <c r="BN234" s="543">
        <v>3493297622.54</v>
      </c>
      <c r="BO234" s="543">
        <v>2135437506.05</v>
      </c>
      <c r="BP234" s="543">
        <v>9167876140.0799999</v>
      </c>
      <c r="BQ234" s="543">
        <v>813823166.25999999</v>
      </c>
      <c r="BR234" s="543">
        <v>3944483073.9200001</v>
      </c>
      <c r="BS234" s="543">
        <v>4457976432.6599998</v>
      </c>
      <c r="BT234" s="543">
        <v>429221957.63</v>
      </c>
      <c r="BU234" s="543">
        <v>1232199004.4200001</v>
      </c>
      <c r="BV234" s="543">
        <v>2216925394.3899999</v>
      </c>
      <c r="BW234" s="543">
        <v>353193598.25999999</v>
      </c>
      <c r="BX234" s="543">
        <v>1194965145.0799999</v>
      </c>
      <c r="BY234" s="543">
        <v>3305969561.7600002</v>
      </c>
      <c r="BZ234" s="543">
        <v>625115290.90999997</v>
      </c>
      <c r="CA234" s="543">
        <v>2655723632.48</v>
      </c>
      <c r="CB234" s="543">
        <v>1220021464.1500001</v>
      </c>
      <c r="CC234" s="543">
        <v>2350420053.4299998</v>
      </c>
      <c r="CD234" s="543">
        <v>2177080732.4000001</v>
      </c>
      <c r="CE234" s="543">
        <v>2605788076.98</v>
      </c>
      <c r="CF234" s="543">
        <v>1611800370.3499999</v>
      </c>
      <c r="CG234" s="543">
        <v>1941894091.45</v>
      </c>
      <c r="CH234" s="543">
        <v>842929730.35000002</v>
      </c>
      <c r="CI234" s="543">
        <v>1420117207.29</v>
      </c>
      <c r="CJ234" s="543">
        <v>1041585602.05</v>
      </c>
      <c r="CK234" s="543">
        <v>1840386562.9000001</v>
      </c>
      <c r="CL234" s="543">
        <v>572989583.05999994</v>
      </c>
      <c r="CM234" s="543">
        <v>1081581550.6700001</v>
      </c>
      <c r="CN234" s="543">
        <v>196948668.66</v>
      </c>
      <c r="CO234" s="543">
        <v>11778302678.1</v>
      </c>
      <c r="CP234" s="543">
        <v>903336563.11000001</v>
      </c>
      <c r="CQ234" s="543">
        <v>29667657980.470001</v>
      </c>
      <c r="CR234" s="543">
        <v>746597371.98000002</v>
      </c>
      <c r="CS234" s="543">
        <v>380536149.24000001</v>
      </c>
      <c r="CT234" s="543">
        <v>1727484634.3399999</v>
      </c>
      <c r="CU234" s="543">
        <v>2489333308.1100001</v>
      </c>
      <c r="CV234" s="543">
        <v>1319420669.6300001</v>
      </c>
      <c r="CW234" s="543">
        <v>1864386788.52</v>
      </c>
      <c r="CX234" s="543">
        <v>824617514.07000005</v>
      </c>
      <c r="CY234" s="543">
        <v>481335156.74000001</v>
      </c>
    </row>
    <row r="235" spans="1:103" x14ac:dyDescent="0.3">
      <c r="D235" s="543">
        <f>D213-D234</f>
        <v>0</v>
      </c>
      <c r="E235" s="543">
        <f t="shared" ref="E235:BP235" si="3">E213-E234</f>
        <v>0</v>
      </c>
      <c r="F235" s="543">
        <f t="shared" si="3"/>
        <v>0</v>
      </c>
      <c r="G235" s="543">
        <f t="shared" si="3"/>
        <v>0</v>
      </c>
      <c r="H235" s="543">
        <f t="shared" si="3"/>
        <v>0</v>
      </c>
      <c r="I235" s="543">
        <f t="shared" si="3"/>
        <v>0</v>
      </c>
      <c r="J235" s="543">
        <f t="shared" si="3"/>
        <v>0</v>
      </c>
      <c r="K235" s="543">
        <f t="shared" si="3"/>
        <v>0</v>
      </c>
      <c r="L235" s="543">
        <f t="shared" si="3"/>
        <v>0</v>
      </c>
      <c r="M235" s="543">
        <f t="shared" si="3"/>
        <v>0</v>
      </c>
      <c r="N235" s="543">
        <f t="shared" si="3"/>
        <v>0</v>
      </c>
      <c r="O235" s="543">
        <f t="shared" si="3"/>
        <v>0</v>
      </c>
      <c r="P235" s="543">
        <f t="shared" si="3"/>
        <v>0</v>
      </c>
      <c r="Q235" s="543">
        <f t="shared" si="3"/>
        <v>0</v>
      </c>
      <c r="R235" s="543">
        <f t="shared" si="3"/>
        <v>0</v>
      </c>
      <c r="S235" s="543">
        <f t="shared" si="3"/>
        <v>0</v>
      </c>
      <c r="T235" s="543">
        <f t="shared" si="3"/>
        <v>0</v>
      </c>
      <c r="U235" s="543">
        <f t="shared" si="3"/>
        <v>0</v>
      </c>
      <c r="V235" s="543">
        <f t="shared" si="3"/>
        <v>0</v>
      </c>
      <c r="W235" s="543">
        <f t="shared" si="3"/>
        <v>0</v>
      </c>
      <c r="X235" s="543">
        <f t="shared" si="3"/>
        <v>0</v>
      </c>
      <c r="Y235" s="543">
        <f t="shared" si="3"/>
        <v>0</v>
      </c>
      <c r="Z235" s="543">
        <f t="shared" si="3"/>
        <v>0</v>
      </c>
      <c r="AA235" s="543">
        <f t="shared" si="3"/>
        <v>0</v>
      </c>
      <c r="AB235" s="543">
        <f t="shared" si="3"/>
        <v>5.9986114501953125E-4</v>
      </c>
      <c r="AC235" s="543">
        <f t="shared" si="3"/>
        <v>0</v>
      </c>
      <c r="AD235" s="543">
        <f t="shared" si="3"/>
        <v>0</v>
      </c>
      <c r="AE235" s="543">
        <f t="shared" si="3"/>
        <v>0</v>
      </c>
      <c r="AF235" s="543">
        <f t="shared" si="3"/>
        <v>0</v>
      </c>
      <c r="AG235" s="543">
        <f t="shared" si="3"/>
        <v>0</v>
      </c>
      <c r="AH235" s="543">
        <f t="shared" si="3"/>
        <v>0</v>
      </c>
      <c r="AI235" s="543">
        <f t="shared" si="3"/>
        <v>0</v>
      </c>
      <c r="AJ235" s="543">
        <f t="shared" si="3"/>
        <v>0</v>
      </c>
      <c r="AK235" s="543">
        <f t="shared" si="3"/>
        <v>-2.498626708984375E-3</v>
      </c>
      <c r="AL235" s="543">
        <f t="shared" si="3"/>
        <v>0</v>
      </c>
      <c r="AM235" s="543">
        <f t="shared" si="3"/>
        <v>0</v>
      </c>
      <c r="AN235" s="543">
        <f t="shared" si="3"/>
        <v>0</v>
      </c>
      <c r="AO235" s="543">
        <f t="shared" si="3"/>
        <v>0</v>
      </c>
      <c r="AP235" s="543">
        <f t="shared" si="3"/>
        <v>0</v>
      </c>
      <c r="AQ235" s="543">
        <f t="shared" si="3"/>
        <v>0</v>
      </c>
      <c r="AR235" s="543">
        <f t="shared" si="3"/>
        <v>0</v>
      </c>
      <c r="AS235" s="543">
        <f t="shared" si="3"/>
        <v>0</v>
      </c>
      <c r="AT235" s="543">
        <f t="shared" si="3"/>
        <v>0</v>
      </c>
      <c r="AU235" s="543">
        <f t="shared" si="3"/>
        <v>0</v>
      </c>
      <c r="AV235" s="543">
        <f t="shared" si="3"/>
        <v>0</v>
      </c>
      <c r="AW235" s="543">
        <f t="shared" si="3"/>
        <v>0</v>
      </c>
      <c r="AX235" s="543">
        <f t="shared" si="3"/>
        <v>0</v>
      </c>
      <c r="AY235" s="543">
        <f t="shared" si="3"/>
        <v>0</v>
      </c>
      <c r="AZ235" s="543">
        <f t="shared" si="3"/>
        <v>0</v>
      </c>
      <c r="BA235" s="543">
        <f t="shared" si="3"/>
        <v>0</v>
      </c>
      <c r="BB235" s="543">
        <f t="shared" si="3"/>
        <v>0</v>
      </c>
      <c r="BC235" s="543">
        <f t="shared" si="3"/>
        <v>0</v>
      </c>
      <c r="BD235" s="543">
        <f t="shared" si="3"/>
        <v>0</v>
      </c>
      <c r="BE235" s="543">
        <f t="shared" si="3"/>
        <v>0</v>
      </c>
      <c r="BF235" s="543">
        <f t="shared" si="3"/>
        <v>0</v>
      </c>
      <c r="BG235" s="543">
        <f t="shared" si="3"/>
        <v>-5.0001144409179688E-3</v>
      </c>
      <c r="BH235" s="543">
        <f t="shared" si="3"/>
        <v>0</v>
      </c>
      <c r="BI235" s="543">
        <f t="shared" si="3"/>
        <v>0</v>
      </c>
      <c r="BJ235" s="543">
        <f t="shared" si="3"/>
        <v>0</v>
      </c>
      <c r="BK235" s="543">
        <f t="shared" si="3"/>
        <v>0</v>
      </c>
      <c r="BL235" s="543">
        <f t="shared" si="3"/>
        <v>0</v>
      </c>
      <c r="BM235" s="543">
        <f t="shared" si="3"/>
        <v>0</v>
      </c>
      <c r="BN235" s="543">
        <f t="shared" si="3"/>
        <v>0</v>
      </c>
      <c r="BO235" s="543">
        <f t="shared" si="3"/>
        <v>0</v>
      </c>
      <c r="BP235" s="543">
        <f t="shared" si="3"/>
        <v>-6.999969482421875E-3</v>
      </c>
      <c r="BQ235" s="543">
        <f t="shared" ref="BQ235:CY235" si="4">BQ213-BQ234</f>
        <v>0</v>
      </c>
      <c r="BR235" s="543">
        <f t="shared" si="4"/>
        <v>0</v>
      </c>
      <c r="BS235" s="543">
        <f t="shared" si="4"/>
        <v>0</v>
      </c>
      <c r="BT235" s="543">
        <f t="shared" si="4"/>
        <v>0</v>
      </c>
      <c r="BU235" s="543">
        <f t="shared" si="4"/>
        <v>0</v>
      </c>
      <c r="BV235" s="543">
        <f t="shared" si="4"/>
        <v>0</v>
      </c>
      <c r="BW235" s="543">
        <f t="shared" si="4"/>
        <v>0</v>
      </c>
      <c r="BX235" s="543">
        <f t="shared" si="4"/>
        <v>0</v>
      </c>
      <c r="BY235" s="543">
        <f t="shared" si="4"/>
        <v>4.3997764587402344E-3</v>
      </c>
      <c r="BZ235" s="543">
        <f t="shared" si="4"/>
        <v>0</v>
      </c>
      <c r="CA235" s="543">
        <f t="shared" si="4"/>
        <v>0</v>
      </c>
      <c r="CB235" s="543">
        <f t="shared" si="4"/>
        <v>0</v>
      </c>
      <c r="CC235" s="543">
        <f t="shared" si="4"/>
        <v>0</v>
      </c>
      <c r="CD235" s="543">
        <f t="shared" si="4"/>
        <v>0</v>
      </c>
      <c r="CE235" s="543">
        <f t="shared" si="4"/>
        <v>9.9997520446777344E-3</v>
      </c>
      <c r="CF235" s="543">
        <f t="shared" si="4"/>
        <v>0</v>
      </c>
      <c r="CG235" s="543">
        <f t="shared" si="4"/>
        <v>0</v>
      </c>
      <c r="CH235" s="543">
        <f t="shared" si="4"/>
        <v>0</v>
      </c>
      <c r="CI235" s="543">
        <f t="shared" si="4"/>
        <v>0</v>
      </c>
      <c r="CJ235" s="543">
        <f t="shared" si="4"/>
        <v>0</v>
      </c>
      <c r="CK235" s="543">
        <f t="shared" si="4"/>
        <v>0</v>
      </c>
      <c r="CL235" s="543">
        <f t="shared" si="4"/>
        <v>0</v>
      </c>
      <c r="CM235" s="543">
        <f t="shared" si="4"/>
        <v>0</v>
      </c>
      <c r="CN235" s="543">
        <f t="shared" si="4"/>
        <v>0</v>
      </c>
      <c r="CO235" s="543">
        <f t="shared" si="4"/>
        <v>0</v>
      </c>
      <c r="CP235" s="543">
        <f t="shared" si="4"/>
        <v>0</v>
      </c>
      <c r="CQ235" s="543">
        <f t="shared" si="4"/>
        <v>0</v>
      </c>
      <c r="CR235" s="543">
        <f t="shared" si="4"/>
        <v>0</v>
      </c>
      <c r="CS235" s="543">
        <f t="shared" si="4"/>
        <v>0</v>
      </c>
      <c r="CT235" s="543">
        <f t="shared" si="4"/>
        <v>0</v>
      </c>
      <c r="CU235" s="543">
        <f t="shared" si="4"/>
        <v>0</v>
      </c>
      <c r="CV235" s="543">
        <f t="shared" si="4"/>
        <v>0</v>
      </c>
      <c r="CW235" s="543">
        <f t="shared" si="4"/>
        <v>0</v>
      </c>
      <c r="CX235" s="543">
        <f t="shared" si="4"/>
        <v>0</v>
      </c>
      <c r="CY235" s="543">
        <f t="shared" si="4"/>
        <v>0</v>
      </c>
    </row>
  </sheetData>
  <sheetProtection algorithmName="SHA-512" hashValue="xrOjSR50s1xS3STBS0tt9K4usci8AtSueFICRGb28gmge2G3H1ahI9YrMhVTT+/NEs6p8uq52PAUBgB1o6+Utw==" saltValue="HlKHW8aghwfQvrfBvL8gcQ==" spinCount="100000"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I D A A B Q S w M E F A A C A A g A F Y I L V d h e i d O i A A A A 9 g A A A B I A H A B D b 2 5 m a W c v U G F j a 2 F n Z S 5 4 b W w g o h g A K K A U A A A A A A A A A A A A A A A A A A A A A A A A A A A A h Y + x D o I w F E V / h X S n L X U x 5 F E H V 0 l M i M a 1 K R U a 4 W F o s f y b g 5 / k L 4 h R 1 M 3 x n n u G e + / X G 6 z G t o k u p n e 2 w 4 w k l J P I o O 5 K i 1 V G B n + M l 2 Q l Y a v 0 S V U m m m R 0 6 e j K j N T e n 1 P G Q g g 0 L G j X V 0 x w n r B D v i l 0 b V p F P r L 9 L 8 c W n V e o D Z G w f 4 2 R g i Z c U M G n T c B m C L n F r y C m 7 t n + Q F g P j R 9 6 I w 3 G u w L Y H I G 9 P 8 g H U E s D B B Q A A g A I A B W C C 1 U 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V g g t V K I p H u A 4 A A A A R A A A A E w A c A E Z v c m 1 1 b G F z L 1 N l Y 3 R p b 2 4 x L m 0 g o h g A K K A U A A A A A A A A A A A A A A A A A A A A A A A A A A A A K 0 5 N L s n M z 1 M I h t C G 1 g B Q S w E C L Q A U A A I A C A A V g g t V 2 F 6 J 0 6 I A A A D 2 A A A A E g A A A A A A A A A A A A A A A A A A A A A A Q 2 9 u Z m l n L 1 B h Y 2 t h Z 2 U u e G 1 s U E s B A i 0 A F A A C A A g A F Y I L V Q / K 6 a u k A A A A 6 Q A A A B M A A A A A A A A A A A A A A A A A 7 g A A A F t D b 2 5 0 Z W 5 0 X 1 R 5 c G V z X S 5 4 b W x Q S w E C L Q A U A A I A C A A V g g t V 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c F n 0 r 4 t G j k q Z p R V F d 5 w n R g A A A A A C A A A A A A A D Z g A A w A A A A B A A A A D 6 u A y 4 4 A f 4 Z 1 1 B + c p 9 u A 1 o A A A A A A S A A A C g A A A A E A A A A D 8 I E f e o / D + p W r V 4 d W 4 C c y x Q A A A A e X 9 Y Z h G O J F t M H B Z A a f Z C 1 Y 7 p v W k y A F T X f 6 d z 0 A w s 8 3 T S Q M g J L G 7 5 e v Y n V e d W F I / S M + e t 7 p J Y Z N o l D d j h t R g 4 L z p I a A R b N l 4 N y M c g S K y R 7 M w U A A A A d G p 5 g C 3 s i a m 3 s d 1 o + C K d a h r H U p s = < / D a t a M a s h u p > 
</file>

<file path=customXml/item2.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A231FF3-BB2B-4D5F-94B1-114326DD2B96}">
  <ds:schemaRefs>
    <ds:schemaRef ds:uri="http://schemas.microsoft.com/DataMashup"/>
  </ds:schemaRefs>
</ds:datastoreItem>
</file>

<file path=customXml/itemProps2.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4.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Instructions</vt:lpstr>
      <vt:lpstr>Unit Data from Audit Worksheet</vt:lpstr>
      <vt:lpstr>TD Info Completed by Auditor</vt:lpstr>
      <vt:lpstr>Performance  Indicators Print</vt:lpstr>
      <vt:lpstr>Performance Indicators FBA%</vt:lpstr>
      <vt:lpstr>RSS</vt:lpstr>
      <vt:lpstr>Import</vt:lpstr>
      <vt:lpstr>PY1 Data(H)</vt:lpstr>
      <vt:lpstr>PY2 Data(H)</vt:lpstr>
      <vt:lpstr>Unit Names(H)</vt:lpstr>
      <vt:lpstr>'Performance  Indicators Print'!Print_Area</vt:lpstr>
      <vt:lpstr>'TD Info Completed by Auditor'!Print_Area</vt:lpstr>
      <vt:lpstr>'Unit Data from Audit Worksheet'!Print_Area</vt:lpstr>
      <vt:lpstr>'Performance  Indicators Print'!Print_Titles</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2023-09-12T16:09:57Z</cp:lastPrinted>
  <dcterms:created xsi:type="dcterms:W3CDTF">2011-03-11T21:05:05Z</dcterms:created>
  <dcterms:modified xsi:type="dcterms:W3CDTF">2024-09-03T15:00:33Z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